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2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isk\Documents\TETSUO 3D\esto NO es porno\"/>
    </mc:Choice>
  </mc:AlternateContent>
  <bookViews>
    <workbookView xWindow="-120" yWindow="-120" windowWidth="29040" windowHeight="15840" tabRatio="710" activeTab="1"/>
  </bookViews>
  <sheets>
    <sheet name="1.I_Compras" sheetId="1" r:id="rId1"/>
    <sheet name="1.C_Listas" sheetId="3" r:id="rId2"/>
    <sheet name="1.O_IVAs" sheetId="4" r:id="rId3"/>
    <sheet name="2.I_Catalogo" sheetId="7" r:id="rId4"/>
    <sheet name="2.C_Datos" sheetId="11" r:id="rId5"/>
    <sheet name="2.O_Asignacion" sheetId="8" r:id="rId6"/>
    <sheet name="3.I_Registro" sheetId="5" r:id="rId7"/>
    <sheet name="3.C_Listas" sheetId="6" r:id="rId8"/>
    <sheet name="4.I_Pedidos" sheetId="10" r:id="rId9"/>
    <sheet name="4.O_IVAs" sheetId="12" r:id="rId10"/>
  </sheets>
  <definedNames>
    <definedName name="NativeTimeline_Fecha">#N/A</definedName>
    <definedName name="NativeTimeline_Fecha_cobro">#N/A</definedName>
    <definedName name="NativeTimeline_Fecha_devolucion">#N/A</definedName>
    <definedName name="SegmentaciónDeDatos_Material">#N/A</definedName>
    <definedName name="SegmentaciónDeDatos_Nombre">#N/A</definedName>
    <definedName name="SegmentaciónDeDatos_Proveedor">#N/A</definedName>
    <definedName name="SegmentaciónDeDatos_Proveedor1">#N/A</definedName>
    <definedName name="SegmentaciónDeDatos_Tipo_IVA">#N/A</definedName>
    <definedName name="SegmentaciónDeDatos_Tipo_IVA1">#N/A</definedName>
  </definedNames>
  <calcPr calcId="162913"/>
  <pivotCaches>
    <pivotCache cacheId="0" r:id="rId11"/>
    <pivotCache cacheId="1" r:id="rId12"/>
    <pivotCache cacheId="2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0"/>
        <x15:timelineCacheRef r:id="rId21"/>
        <x15:timelineCacheRef r:id="rId2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0" l="1"/>
  <c r="K4" i="10"/>
  <c r="K5" i="10"/>
  <c r="K6" i="10"/>
  <c r="K7" i="10"/>
  <c r="K8" i="10"/>
  <c r="K9" i="10"/>
  <c r="C2" i="8" l="1" a="1"/>
  <c r="C2" i="8" s="1"/>
  <c r="B4" i="11" a="1"/>
  <c r="B4" i="11" s="1"/>
  <c r="Z4" i="11" a="1"/>
  <c r="E12" i="11"/>
  <c r="O12" i="11" s="1"/>
  <c r="E13" i="11"/>
  <c r="J13" i="11" s="1"/>
  <c r="E14" i="11"/>
  <c r="E15" i="11"/>
  <c r="E16" i="11"/>
  <c r="J16" i="11" s="1"/>
  <c r="E17" i="11"/>
  <c r="O17" i="11" s="1"/>
  <c r="E18" i="11"/>
  <c r="E19" i="11"/>
  <c r="E20" i="11"/>
  <c r="J20" i="11" s="1"/>
  <c r="E21" i="11"/>
  <c r="O21" i="11" s="1"/>
  <c r="E22" i="11"/>
  <c r="E23" i="11"/>
  <c r="O23" i="11" s="1"/>
  <c r="E24" i="11"/>
  <c r="O24" i="11" s="1"/>
  <c r="E25" i="11"/>
  <c r="E26" i="11"/>
  <c r="E27" i="11"/>
  <c r="O27" i="11" s="1"/>
  <c r="E28" i="11"/>
  <c r="J28" i="11" s="1"/>
  <c r="E29" i="11"/>
  <c r="J29" i="11" s="1"/>
  <c r="E30" i="11"/>
  <c r="E31" i="11"/>
  <c r="E32" i="11"/>
  <c r="O32" i="11" s="1"/>
  <c r="E33" i="11"/>
  <c r="O33" i="11" s="1"/>
  <c r="E34" i="11"/>
  <c r="E35" i="11"/>
  <c r="E36" i="11"/>
  <c r="O36" i="11" s="1"/>
  <c r="E37" i="11"/>
  <c r="J37" i="11" s="1"/>
  <c r="E38" i="11"/>
  <c r="E39" i="11"/>
  <c r="O39" i="11" s="1"/>
  <c r="E40" i="11"/>
  <c r="J40" i="11" s="1"/>
  <c r="E41" i="11"/>
  <c r="E42" i="11"/>
  <c r="E43" i="11"/>
  <c r="O43" i="11" s="1"/>
  <c r="E44" i="11"/>
  <c r="J44" i="11" s="1"/>
  <c r="E45" i="11"/>
  <c r="J45" i="11" s="1"/>
  <c r="E46" i="11"/>
  <c r="E47" i="11"/>
  <c r="O47" i="11" s="1"/>
  <c r="E48" i="11"/>
  <c r="O48" i="11" s="1"/>
  <c r="E49" i="11"/>
  <c r="O49" i="11" s="1"/>
  <c r="E50" i="11"/>
  <c r="E51" i="11"/>
  <c r="E52" i="11"/>
  <c r="J52" i="11" s="1"/>
  <c r="E53" i="11"/>
  <c r="J53" i="11" s="1"/>
  <c r="E54" i="11"/>
  <c r="E55" i="11"/>
  <c r="O55" i="11" s="1"/>
  <c r="E56" i="11"/>
  <c r="J56" i="11" s="1"/>
  <c r="E57" i="11"/>
  <c r="O57" i="11" s="1"/>
  <c r="E58" i="11"/>
  <c r="E59" i="11"/>
  <c r="O59" i="11" s="1"/>
  <c r="E60" i="11"/>
  <c r="O60" i="11" s="1"/>
  <c r="E61" i="11"/>
  <c r="J61" i="11" s="1"/>
  <c r="E62" i="11"/>
  <c r="E63" i="11"/>
  <c r="O63" i="11" s="1"/>
  <c r="E64" i="11"/>
  <c r="O64" i="11" s="1"/>
  <c r="E65" i="11"/>
  <c r="J65" i="11" s="1"/>
  <c r="E66" i="11"/>
  <c r="E67" i="11"/>
  <c r="E68" i="11"/>
  <c r="O68" i="11" s="1"/>
  <c r="E69" i="11"/>
  <c r="O69" i="11" s="1"/>
  <c r="E70" i="11"/>
  <c r="E71" i="11"/>
  <c r="O71" i="11" s="1"/>
  <c r="E72" i="11"/>
  <c r="J72" i="11" s="1"/>
  <c r="E73" i="11"/>
  <c r="O73" i="11" s="1"/>
  <c r="E74" i="11"/>
  <c r="E75" i="11"/>
  <c r="O75" i="11" s="1"/>
  <c r="E76" i="11"/>
  <c r="O76" i="11" s="1"/>
  <c r="E77" i="11"/>
  <c r="J77" i="11" s="1"/>
  <c r="E78" i="11"/>
  <c r="E79" i="11"/>
  <c r="O79" i="11" s="1"/>
  <c r="E80" i="11"/>
  <c r="O80" i="11" s="1"/>
  <c r="E81" i="11"/>
  <c r="J81" i="11" s="1"/>
  <c r="E82" i="11"/>
  <c r="E83" i="11"/>
  <c r="E84" i="11"/>
  <c r="J84" i="11" s="1"/>
  <c r="E85" i="11"/>
  <c r="O85" i="11" s="1"/>
  <c r="E86" i="11"/>
  <c r="E87" i="11"/>
  <c r="O87" i="11" s="1"/>
  <c r="E88" i="11"/>
  <c r="J88" i="11" s="1"/>
  <c r="E89" i="11"/>
  <c r="O89" i="11" s="1"/>
  <c r="E90" i="11"/>
  <c r="E91" i="11"/>
  <c r="O91" i="11" s="1"/>
  <c r="E92" i="11"/>
  <c r="O92" i="11" s="1"/>
  <c r="E93" i="11"/>
  <c r="J93" i="11" s="1"/>
  <c r="E94" i="11"/>
  <c r="E95" i="11"/>
  <c r="O95" i="11" s="1"/>
  <c r="E96" i="11"/>
  <c r="O96" i="11" s="1"/>
  <c r="E97" i="11"/>
  <c r="J97" i="11" s="1"/>
  <c r="E98" i="11"/>
  <c r="E99" i="11"/>
  <c r="E100" i="11"/>
  <c r="O100" i="11" s="1"/>
  <c r="E101" i="11"/>
  <c r="J101" i="11" s="1"/>
  <c r="E102" i="11"/>
  <c r="E103" i="11"/>
  <c r="O103" i="11" s="1"/>
  <c r="E104" i="11"/>
  <c r="J104" i="11" s="1"/>
  <c r="E105" i="11"/>
  <c r="O105" i="11" s="1"/>
  <c r="E106" i="11"/>
  <c r="E107" i="11"/>
  <c r="O107" i="11" s="1"/>
  <c r="E108" i="11"/>
  <c r="O108" i="11" s="1"/>
  <c r="E109" i="11"/>
  <c r="J109" i="11" s="1"/>
  <c r="E110" i="11"/>
  <c r="E111" i="11"/>
  <c r="O111" i="11" s="1"/>
  <c r="E112" i="11"/>
  <c r="O112" i="11" s="1"/>
  <c r="E113" i="11"/>
  <c r="O113" i="11" s="1"/>
  <c r="E114" i="11"/>
  <c r="E115" i="11"/>
  <c r="E116" i="11"/>
  <c r="O116" i="11" s="1"/>
  <c r="E117" i="11"/>
  <c r="J117" i="11" s="1"/>
  <c r="E118" i="11"/>
  <c r="E119" i="11"/>
  <c r="O119" i="11" s="1"/>
  <c r="E120" i="11"/>
  <c r="J120" i="11" s="1"/>
  <c r="E121" i="11"/>
  <c r="O121" i="11" s="1"/>
  <c r="E122" i="11"/>
  <c r="E123" i="11"/>
  <c r="O123" i="11" s="1"/>
  <c r="E124" i="11"/>
  <c r="J124" i="11" s="1"/>
  <c r="E125" i="11"/>
  <c r="J125" i="11" s="1"/>
  <c r="E126" i="11"/>
  <c r="E127" i="11"/>
  <c r="O127" i="11" s="1"/>
  <c r="E128" i="11"/>
  <c r="O128" i="11" s="1"/>
  <c r="E129" i="11"/>
  <c r="J129" i="11" s="1"/>
  <c r="E130" i="11"/>
  <c r="E131" i="11"/>
  <c r="E132" i="11"/>
  <c r="O132" i="11" s="1"/>
  <c r="E133" i="11"/>
  <c r="O133" i="11" s="1"/>
  <c r="E134" i="11"/>
  <c r="E135" i="11"/>
  <c r="O135" i="11" s="1"/>
  <c r="E136" i="11"/>
  <c r="O136" i="11" s="1"/>
  <c r="E137" i="11"/>
  <c r="O137" i="11" s="1"/>
  <c r="E138" i="11"/>
  <c r="E139" i="11"/>
  <c r="O139" i="11" s="1"/>
  <c r="E140" i="11"/>
  <c r="O140" i="11" s="1"/>
  <c r="E141" i="11"/>
  <c r="J141" i="11" s="1"/>
  <c r="E142" i="11"/>
  <c r="E143" i="11"/>
  <c r="O143" i="11" s="1"/>
  <c r="E144" i="11"/>
  <c r="J144" i="11" s="1"/>
  <c r="E145" i="11"/>
  <c r="J145" i="11" s="1"/>
  <c r="E146" i="11"/>
  <c r="E147" i="11"/>
  <c r="E148" i="11"/>
  <c r="O148" i="11" s="1"/>
  <c r="E149" i="11"/>
  <c r="O149" i="11" s="1"/>
  <c r="E150" i="11"/>
  <c r="E151" i="11"/>
  <c r="J151" i="11" s="1"/>
  <c r="E152" i="11"/>
  <c r="J152" i="11" s="1"/>
  <c r="E153" i="11"/>
  <c r="O153" i="11" s="1"/>
  <c r="E154" i="11"/>
  <c r="E155" i="11"/>
  <c r="J155" i="11" s="1"/>
  <c r="E156" i="11"/>
  <c r="J156" i="11" s="1"/>
  <c r="E157" i="11"/>
  <c r="J157" i="11" s="1"/>
  <c r="E158" i="11"/>
  <c r="E159" i="11"/>
  <c r="J159" i="11" s="1"/>
  <c r="E160" i="11"/>
  <c r="O160" i="11" s="1"/>
  <c r="E161" i="11"/>
  <c r="J161" i="11" s="1"/>
  <c r="E162" i="11"/>
  <c r="E163" i="11"/>
  <c r="J163" i="11" s="1"/>
  <c r="E164" i="11"/>
  <c r="O164" i="11" s="1"/>
  <c r="E165" i="11"/>
  <c r="J165" i="11" s="1"/>
  <c r="E166" i="11"/>
  <c r="E167" i="11"/>
  <c r="J167" i="11" s="1"/>
  <c r="E168" i="11"/>
  <c r="J168" i="11" s="1"/>
  <c r="E169" i="11"/>
  <c r="O169" i="11" s="1"/>
  <c r="E170" i="11"/>
  <c r="E171" i="11"/>
  <c r="J171" i="11" s="1"/>
  <c r="E172" i="11"/>
  <c r="J172" i="11" s="1"/>
  <c r="E173" i="11"/>
  <c r="J173" i="11" s="1"/>
  <c r="E174" i="11"/>
  <c r="E175" i="11"/>
  <c r="J175" i="11" s="1"/>
  <c r="E176" i="11"/>
  <c r="O176" i="11" s="1"/>
  <c r="E177" i="11"/>
  <c r="O177" i="11" s="1"/>
  <c r="E178" i="11"/>
  <c r="E179" i="11"/>
  <c r="J179" i="11" s="1"/>
  <c r="E180" i="11"/>
  <c r="O180" i="11" s="1"/>
  <c r="E181" i="11"/>
  <c r="J181" i="11" s="1"/>
  <c r="E182" i="11"/>
  <c r="E183" i="11"/>
  <c r="J183" i="11" s="1"/>
  <c r="E184" i="11"/>
  <c r="O184" i="11" s="1"/>
  <c r="E185" i="11"/>
  <c r="O185" i="11" s="1"/>
  <c r="E186" i="11"/>
  <c r="E187" i="11"/>
  <c r="J187" i="11" s="1"/>
  <c r="E188" i="11"/>
  <c r="O188" i="11" s="1"/>
  <c r="E189" i="11"/>
  <c r="J189" i="11" s="1"/>
  <c r="E190" i="11"/>
  <c r="E191" i="11"/>
  <c r="J191" i="11" s="1"/>
  <c r="E192" i="11"/>
  <c r="J192" i="11" s="1"/>
  <c r="E193" i="11"/>
  <c r="J193" i="11" s="1"/>
  <c r="E194" i="11"/>
  <c r="E195" i="11"/>
  <c r="J195" i="11" s="1"/>
  <c r="E196" i="11"/>
  <c r="O196" i="11" s="1"/>
  <c r="E197" i="11"/>
  <c r="O197" i="11" s="1"/>
  <c r="E198" i="11"/>
  <c r="E199" i="11"/>
  <c r="J199" i="11" s="1"/>
  <c r="E200" i="11"/>
  <c r="O200" i="11" s="1"/>
  <c r="E201" i="11"/>
  <c r="O201" i="11" s="1"/>
  <c r="E202" i="11"/>
  <c r="E203" i="11"/>
  <c r="J203" i="11" s="1"/>
  <c r="E204" i="11"/>
  <c r="O204" i="11" s="1"/>
  <c r="E205" i="11"/>
  <c r="J205" i="11" s="1"/>
  <c r="E206" i="11"/>
  <c r="E207" i="11"/>
  <c r="J207" i="11" s="1"/>
  <c r="E208" i="11"/>
  <c r="O208" i="11" s="1"/>
  <c r="E209" i="11"/>
  <c r="J209" i="11" s="1"/>
  <c r="E210" i="11"/>
  <c r="I12" i="11"/>
  <c r="S12" i="11" s="1"/>
  <c r="I13" i="11"/>
  <c r="S13" i="11" s="1"/>
  <c r="I14" i="11"/>
  <c r="S14" i="11" s="1"/>
  <c r="I15" i="11"/>
  <c r="S15" i="11" s="1"/>
  <c r="I16" i="11"/>
  <c r="S16" i="11" s="1"/>
  <c r="I17" i="11"/>
  <c r="S17" i="11" s="1"/>
  <c r="I18" i="11"/>
  <c r="S18" i="11" s="1"/>
  <c r="I19" i="11"/>
  <c r="S19" i="11" s="1"/>
  <c r="I20" i="11"/>
  <c r="S20" i="11" s="1"/>
  <c r="I21" i="11"/>
  <c r="S21" i="11" s="1"/>
  <c r="I22" i="11"/>
  <c r="S22" i="11" s="1"/>
  <c r="I23" i="11"/>
  <c r="S23" i="11" s="1"/>
  <c r="I24" i="11"/>
  <c r="S24" i="11" s="1"/>
  <c r="I25" i="11"/>
  <c r="S25" i="11" s="1"/>
  <c r="I26" i="11"/>
  <c r="S26" i="11" s="1"/>
  <c r="I27" i="11"/>
  <c r="S27" i="11" s="1"/>
  <c r="I28" i="11"/>
  <c r="S28" i="11" s="1"/>
  <c r="I29" i="11"/>
  <c r="S29" i="11" s="1"/>
  <c r="I30" i="11"/>
  <c r="S30" i="11" s="1"/>
  <c r="I31" i="11"/>
  <c r="S31" i="11" s="1"/>
  <c r="I32" i="11"/>
  <c r="S32" i="11" s="1"/>
  <c r="I33" i="11"/>
  <c r="S33" i="11" s="1"/>
  <c r="I34" i="11"/>
  <c r="S34" i="11" s="1"/>
  <c r="I35" i="11"/>
  <c r="S35" i="11" s="1"/>
  <c r="I36" i="11"/>
  <c r="S36" i="11" s="1"/>
  <c r="I37" i="11"/>
  <c r="S37" i="11" s="1"/>
  <c r="I38" i="11"/>
  <c r="S38" i="11" s="1"/>
  <c r="I39" i="11"/>
  <c r="S39" i="11" s="1"/>
  <c r="I40" i="11"/>
  <c r="S40" i="11" s="1"/>
  <c r="I41" i="11"/>
  <c r="S41" i="11" s="1"/>
  <c r="I42" i="11"/>
  <c r="S42" i="11" s="1"/>
  <c r="I43" i="11"/>
  <c r="S43" i="11" s="1"/>
  <c r="I44" i="11"/>
  <c r="S44" i="11" s="1"/>
  <c r="I45" i="11"/>
  <c r="S45" i="11" s="1"/>
  <c r="I46" i="11"/>
  <c r="S46" i="11" s="1"/>
  <c r="I47" i="11"/>
  <c r="S47" i="11" s="1"/>
  <c r="I48" i="11"/>
  <c r="S48" i="11" s="1"/>
  <c r="I49" i="11"/>
  <c r="S49" i="11" s="1"/>
  <c r="I50" i="11"/>
  <c r="S50" i="11" s="1"/>
  <c r="I51" i="11"/>
  <c r="S51" i="11" s="1"/>
  <c r="I52" i="11"/>
  <c r="S52" i="11" s="1"/>
  <c r="I53" i="11"/>
  <c r="S53" i="11" s="1"/>
  <c r="I54" i="11"/>
  <c r="S54" i="11" s="1"/>
  <c r="I55" i="11"/>
  <c r="S55" i="11" s="1"/>
  <c r="I56" i="11"/>
  <c r="S56" i="11" s="1"/>
  <c r="I57" i="11"/>
  <c r="S57" i="11" s="1"/>
  <c r="I58" i="11"/>
  <c r="S58" i="11" s="1"/>
  <c r="I59" i="11"/>
  <c r="S59" i="11" s="1"/>
  <c r="I60" i="11"/>
  <c r="S60" i="11" s="1"/>
  <c r="I61" i="11"/>
  <c r="S61" i="11" s="1"/>
  <c r="I62" i="11"/>
  <c r="S62" i="11" s="1"/>
  <c r="I63" i="11"/>
  <c r="S63" i="11" s="1"/>
  <c r="I64" i="11"/>
  <c r="S64" i="11" s="1"/>
  <c r="I65" i="11"/>
  <c r="S65" i="11" s="1"/>
  <c r="I66" i="11"/>
  <c r="S66" i="11" s="1"/>
  <c r="I67" i="11"/>
  <c r="S67" i="11" s="1"/>
  <c r="I68" i="11"/>
  <c r="S68" i="11" s="1"/>
  <c r="I69" i="11"/>
  <c r="S69" i="11" s="1"/>
  <c r="I70" i="11"/>
  <c r="S70" i="11" s="1"/>
  <c r="I71" i="11"/>
  <c r="S71" i="11" s="1"/>
  <c r="I72" i="11"/>
  <c r="S72" i="11" s="1"/>
  <c r="I73" i="11"/>
  <c r="S73" i="11" s="1"/>
  <c r="I74" i="11"/>
  <c r="S74" i="11" s="1"/>
  <c r="I75" i="11"/>
  <c r="S75" i="11" s="1"/>
  <c r="I76" i="11"/>
  <c r="S76" i="11" s="1"/>
  <c r="I77" i="11"/>
  <c r="S77" i="11" s="1"/>
  <c r="I78" i="11"/>
  <c r="S78" i="11" s="1"/>
  <c r="I79" i="11"/>
  <c r="S79" i="11" s="1"/>
  <c r="I80" i="11"/>
  <c r="S80" i="11" s="1"/>
  <c r="I81" i="11"/>
  <c r="S81" i="11" s="1"/>
  <c r="I82" i="11"/>
  <c r="S82" i="11" s="1"/>
  <c r="I83" i="11"/>
  <c r="S83" i="11" s="1"/>
  <c r="I84" i="11"/>
  <c r="S84" i="11" s="1"/>
  <c r="I85" i="11"/>
  <c r="S85" i="11" s="1"/>
  <c r="I86" i="11"/>
  <c r="S86" i="11" s="1"/>
  <c r="I87" i="11"/>
  <c r="S87" i="11" s="1"/>
  <c r="I88" i="11"/>
  <c r="S88" i="11" s="1"/>
  <c r="I89" i="11"/>
  <c r="S89" i="11" s="1"/>
  <c r="I90" i="11"/>
  <c r="S90" i="11" s="1"/>
  <c r="I91" i="11"/>
  <c r="S91" i="11" s="1"/>
  <c r="I92" i="11"/>
  <c r="S92" i="11" s="1"/>
  <c r="I93" i="11"/>
  <c r="S93" i="11" s="1"/>
  <c r="I94" i="11"/>
  <c r="S94" i="11" s="1"/>
  <c r="I95" i="11"/>
  <c r="S95" i="11" s="1"/>
  <c r="I96" i="11"/>
  <c r="S96" i="11" s="1"/>
  <c r="I97" i="11"/>
  <c r="S97" i="11" s="1"/>
  <c r="I98" i="11"/>
  <c r="S98" i="11" s="1"/>
  <c r="I99" i="11"/>
  <c r="S99" i="11" s="1"/>
  <c r="I100" i="11"/>
  <c r="S100" i="11" s="1"/>
  <c r="I101" i="11"/>
  <c r="S101" i="11" s="1"/>
  <c r="I102" i="11"/>
  <c r="S102" i="11" s="1"/>
  <c r="I103" i="11"/>
  <c r="S103" i="11" s="1"/>
  <c r="I104" i="11"/>
  <c r="S104" i="11" s="1"/>
  <c r="I105" i="11"/>
  <c r="S105" i="11" s="1"/>
  <c r="I106" i="11"/>
  <c r="S106" i="11" s="1"/>
  <c r="I107" i="11"/>
  <c r="S107" i="11" s="1"/>
  <c r="I108" i="11"/>
  <c r="S108" i="11" s="1"/>
  <c r="I109" i="11"/>
  <c r="S109" i="11" s="1"/>
  <c r="I110" i="11"/>
  <c r="S110" i="11" s="1"/>
  <c r="I111" i="11"/>
  <c r="S111" i="11" s="1"/>
  <c r="I112" i="11"/>
  <c r="S112" i="11" s="1"/>
  <c r="I113" i="11"/>
  <c r="S113" i="11" s="1"/>
  <c r="I114" i="11"/>
  <c r="S114" i="11" s="1"/>
  <c r="I115" i="11"/>
  <c r="S115" i="11" s="1"/>
  <c r="I116" i="11"/>
  <c r="S116" i="11" s="1"/>
  <c r="I117" i="11"/>
  <c r="S117" i="11" s="1"/>
  <c r="I118" i="11"/>
  <c r="S118" i="11" s="1"/>
  <c r="I119" i="11"/>
  <c r="S119" i="11" s="1"/>
  <c r="I120" i="11"/>
  <c r="S120" i="11" s="1"/>
  <c r="I121" i="11"/>
  <c r="S121" i="11" s="1"/>
  <c r="I122" i="11"/>
  <c r="S122" i="11" s="1"/>
  <c r="I123" i="11"/>
  <c r="S123" i="11" s="1"/>
  <c r="I124" i="11"/>
  <c r="S124" i="11" s="1"/>
  <c r="I125" i="11"/>
  <c r="S125" i="11" s="1"/>
  <c r="I126" i="11"/>
  <c r="S126" i="11" s="1"/>
  <c r="I127" i="11"/>
  <c r="S127" i="11" s="1"/>
  <c r="I128" i="11"/>
  <c r="S128" i="11" s="1"/>
  <c r="I129" i="11"/>
  <c r="S129" i="11" s="1"/>
  <c r="I130" i="11"/>
  <c r="S130" i="11" s="1"/>
  <c r="I131" i="11"/>
  <c r="S131" i="11" s="1"/>
  <c r="I132" i="11"/>
  <c r="S132" i="11" s="1"/>
  <c r="I133" i="11"/>
  <c r="S133" i="11" s="1"/>
  <c r="I134" i="11"/>
  <c r="S134" i="11" s="1"/>
  <c r="I135" i="11"/>
  <c r="S135" i="11" s="1"/>
  <c r="I136" i="11"/>
  <c r="S136" i="11" s="1"/>
  <c r="I137" i="11"/>
  <c r="S137" i="11" s="1"/>
  <c r="I138" i="11"/>
  <c r="S138" i="11" s="1"/>
  <c r="I139" i="11"/>
  <c r="S139" i="11" s="1"/>
  <c r="I140" i="11"/>
  <c r="S140" i="11" s="1"/>
  <c r="I141" i="11"/>
  <c r="S141" i="11" s="1"/>
  <c r="I142" i="11"/>
  <c r="S142" i="11" s="1"/>
  <c r="I143" i="11"/>
  <c r="S143" i="11" s="1"/>
  <c r="I144" i="11"/>
  <c r="S144" i="11" s="1"/>
  <c r="I145" i="11"/>
  <c r="S145" i="11" s="1"/>
  <c r="I146" i="11"/>
  <c r="S146" i="11" s="1"/>
  <c r="I147" i="11"/>
  <c r="I148" i="11"/>
  <c r="S148" i="11" s="1"/>
  <c r="I149" i="11"/>
  <c r="S149" i="11" s="1"/>
  <c r="I150" i="11"/>
  <c r="S150" i="11" s="1"/>
  <c r="I151" i="11"/>
  <c r="S151" i="11" s="1"/>
  <c r="I152" i="11"/>
  <c r="S152" i="11" s="1"/>
  <c r="I153" i="11"/>
  <c r="S153" i="11" s="1"/>
  <c r="I154" i="11"/>
  <c r="S154" i="11" s="1"/>
  <c r="I155" i="11"/>
  <c r="S155" i="11" s="1"/>
  <c r="I156" i="11"/>
  <c r="S156" i="11" s="1"/>
  <c r="I157" i="11"/>
  <c r="S157" i="11" s="1"/>
  <c r="I158" i="11"/>
  <c r="S158" i="11" s="1"/>
  <c r="I159" i="11"/>
  <c r="S159" i="11" s="1"/>
  <c r="I160" i="11"/>
  <c r="S160" i="11" s="1"/>
  <c r="I161" i="11"/>
  <c r="S161" i="11" s="1"/>
  <c r="I162" i="11"/>
  <c r="S162" i="11" s="1"/>
  <c r="I163" i="11"/>
  <c r="I164" i="11"/>
  <c r="N164" i="11" s="1"/>
  <c r="I165" i="11"/>
  <c r="S165" i="11" s="1"/>
  <c r="I166" i="11"/>
  <c r="S166" i="11" s="1"/>
  <c r="I167" i="11"/>
  <c r="S167" i="11" s="1"/>
  <c r="I168" i="11"/>
  <c r="S168" i="11" s="1"/>
  <c r="I169" i="11"/>
  <c r="S169" i="11" s="1"/>
  <c r="I170" i="11"/>
  <c r="S170" i="11" s="1"/>
  <c r="I171" i="11"/>
  <c r="S171" i="11" s="1"/>
  <c r="I172" i="11"/>
  <c r="S172" i="11" s="1"/>
  <c r="I173" i="11"/>
  <c r="S173" i="11" s="1"/>
  <c r="I174" i="11"/>
  <c r="S174" i="11" s="1"/>
  <c r="I175" i="11"/>
  <c r="S175" i="11" s="1"/>
  <c r="I176" i="11"/>
  <c r="S176" i="11" s="1"/>
  <c r="I177" i="11"/>
  <c r="S177" i="11" s="1"/>
  <c r="I178" i="11"/>
  <c r="S178" i="11" s="1"/>
  <c r="I179" i="11"/>
  <c r="I180" i="11"/>
  <c r="S180" i="11" s="1"/>
  <c r="I181" i="11"/>
  <c r="S181" i="11" s="1"/>
  <c r="I182" i="11"/>
  <c r="S182" i="11" s="1"/>
  <c r="I183" i="11"/>
  <c r="S183" i="11" s="1"/>
  <c r="I184" i="11"/>
  <c r="S184" i="11" s="1"/>
  <c r="I185" i="11"/>
  <c r="S185" i="11" s="1"/>
  <c r="I186" i="11"/>
  <c r="S186" i="11" s="1"/>
  <c r="I187" i="11"/>
  <c r="S187" i="11" s="1"/>
  <c r="I188" i="11"/>
  <c r="S188" i="11" s="1"/>
  <c r="I189" i="11"/>
  <c r="S189" i="11" s="1"/>
  <c r="I190" i="11"/>
  <c r="S190" i="11" s="1"/>
  <c r="I191" i="11"/>
  <c r="S191" i="11" s="1"/>
  <c r="I192" i="11"/>
  <c r="S192" i="11" s="1"/>
  <c r="I193" i="11"/>
  <c r="S193" i="11" s="1"/>
  <c r="I194" i="11"/>
  <c r="S194" i="11" s="1"/>
  <c r="I195" i="11"/>
  <c r="I196" i="11"/>
  <c r="N196" i="11" s="1"/>
  <c r="I197" i="11"/>
  <c r="S197" i="11" s="1"/>
  <c r="I198" i="11"/>
  <c r="S198" i="11" s="1"/>
  <c r="I199" i="11"/>
  <c r="S199" i="11" s="1"/>
  <c r="I200" i="11"/>
  <c r="S200" i="11" s="1"/>
  <c r="I201" i="11"/>
  <c r="S201" i="11" s="1"/>
  <c r="I202" i="11"/>
  <c r="S202" i="11" s="1"/>
  <c r="I203" i="11"/>
  <c r="S203" i="11" s="1"/>
  <c r="I204" i="11"/>
  <c r="S204" i="11" s="1"/>
  <c r="I205" i="11"/>
  <c r="S205" i="11" s="1"/>
  <c r="I206" i="11"/>
  <c r="S206" i="11" s="1"/>
  <c r="I207" i="11"/>
  <c r="S207" i="11" s="1"/>
  <c r="I208" i="11"/>
  <c r="S208" i="11" s="1"/>
  <c r="I209" i="11"/>
  <c r="S209" i="11" s="1"/>
  <c r="I210" i="11"/>
  <c r="S210" i="11" s="1"/>
  <c r="H12" i="11"/>
  <c r="M12" i="11" s="1"/>
  <c r="H13" i="11"/>
  <c r="R13" i="11" s="1"/>
  <c r="H14" i="11"/>
  <c r="H15" i="11"/>
  <c r="H16" i="11"/>
  <c r="R16" i="11" s="1"/>
  <c r="H17" i="11"/>
  <c r="H18" i="11"/>
  <c r="H19" i="11"/>
  <c r="H20" i="11"/>
  <c r="H21" i="11"/>
  <c r="H22" i="11"/>
  <c r="H23" i="11"/>
  <c r="H24" i="11"/>
  <c r="R24" i="11" s="1"/>
  <c r="H25" i="11"/>
  <c r="H26" i="11"/>
  <c r="H27" i="11"/>
  <c r="M27" i="11" s="1"/>
  <c r="H28" i="11"/>
  <c r="M28" i="11" s="1"/>
  <c r="H29" i="11"/>
  <c r="H30" i="11"/>
  <c r="H31" i="11"/>
  <c r="H32" i="11"/>
  <c r="H33" i="11"/>
  <c r="M33" i="11" s="1"/>
  <c r="H34" i="11"/>
  <c r="H35" i="11"/>
  <c r="H36" i="11"/>
  <c r="R36" i="11" s="1"/>
  <c r="H37" i="11"/>
  <c r="R37" i="11" s="1"/>
  <c r="H38" i="11"/>
  <c r="H39" i="11"/>
  <c r="H40" i="11"/>
  <c r="H41" i="11"/>
  <c r="M41" i="11" s="1"/>
  <c r="H42" i="11"/>
  <c r="H43" i="11"/>
  <c r="M43" i="11" s="1"/>
  <c r="H44" i="11"/>
  <c r="M44" i="11" s="1"/>
  <c r="H45" i="11"/>
  <c r="R45" i="11" s="1"/>
  <c r="H46" i="11"/>
  <c r="H47" i="11"/>
  <c r="H48" i="11"/>
  <c r="R48" i="11" s="1"/>
  <c r="H49" i="11"/>
  <c r="H50" i="11"/>
  <c r="H51" i="11"/>
  <c r="H52" i="11"/>
  <c r="H53" i="11"/>
  <c r="H54" i="11"/>
  <c r="H55" i="11"/>
  <c r="H56" i="11"/>
  <c r="R56" i="11" s="1"/>
  <c r="H57" i="11"/>
  <c r="M57" i="11" s="1"/>
  <c r="H58" i="11"/>
  <c r="H59" i="11"/>
  <c r="M59" i="11" s="1"/>
  <c r="H60" i="11"/>
  <c r="M60" i="11" s="1"/>
  <c r="H61" i="11"/>
  <c r="H62" i="11"/>
  <c r="H63" i="11"/>
  <c r="H64" i="11"/>
  <c r="H65" i="11"/>
  <c r="H66" i="11"/>
  <c r="H67" i="11"/>
  <c r="H68" i="11"/>
  <c r="R68" i="11" s="1"/>
  <c r="H69" i="11"/>
  <c r="R69" i="11" s="1"/>
  <c r="H70" i="11"/>
  <c r="H71" i="11"/>
  <c r="H72" i="11"/>
  <c r="H73" i="11"/>
  <c r="M73" i="11" s="1"/>
  <c r="H74" i="11"/>
  <c r="H75" i="11"/>
  <c r="M75" i="11" s="1"/>
  <c r="H76" i="11"/>
  <c r="H77" i="11"/>
  <c r="R77" i="11" s="1"/>
  <c r="H78" i="11"/>
  <c r="H79" i="11"/>
  <c r="H80" i="11"/>
  <c r="R80" i="11" s="1"/>
  <c r="H81" i="11"/>
  <c r="H82" i="11"/>
  <c r="H83" i="11"/>
  <c r="H84" i="11"/>
  <c r="H85" i="11"/>
  <c r="H86" i="11"/>
  <c r="H87" i="11"/>
  <c r="H88" i="11"/>
  <c r="R88" i="11" s="1"/>
  <c r="H89" i="11"/>
  <c r="M89" i="11" s="1"/>
  <c r="H90" i="11"/>
  <c r="H91" i="11"/>
  <c r="M91" i="11" s="1"/>
  <c r="H92" i="11"/>
  <c r="M92" i="11" s="1"/>
  <c r="H93" i="11"/>
  <c r="H94" i="11"/>
  <c r="H95" i="11"/>
  <c r="H96" i="11"/>
  <c r="H97" i="11"/>
  <c r="M97" i="11" s="1"/>
  <c r="H98" i="11"/>
  <c r="H99" i="11"/>
  <c r="H100" i="11"/>
  <c r="R100" i="11" s="1"/>
  <c r="H101" i="11"/>
  <c r="R101" i="11" s="1"/>
  <c r="H102" i="11"/>
  <c r="H103" i="11"/>
  <c r="H104" i="11"/>
  <c r="H105" i="11"/>
  <c r="H106" i="11"/>
  <c r="H107" i="11"/>
  <c r="M107" i="11" s="1"/>
  <c r="H108" i="11"/>
  <c r="H109" i="11"/>
  <c r="R109" i="11" s="1"/>
  <c r="H110" i="11"/>
  <c r="H111" i="11"/>
  <c r="H112" i="11"/>
  <c r="R112" i="11" s="1"/>
  <c r="H113" i="11"/>
  <c r="H114" i="11"/>
  <c r="H115" i="11"/>
  <c r="H116" i="11"/>
  <c r="H117" i="11"/>
  <c r="H118" i="11"/>
  <c r="H119" i="11"/>
  <c r="H120" i="11"/>
  <c r="R120" i="11" s="1"/>
  <c r="H121" i="11"/>
  <c r="M121" i="11" s="1"/>
  <c r="H122" i="11"/>
  <c r="H123" i="11"/>
  <c r="M123" i="11" s="1"/>
  <c r="H124" i="11"/>
  <c r="M124" i="11" s="1"/>
  <c r="H125" i="11"/>
  <c r="H126" i="11"/>
  <c r="H127" i="11"/>
  <c r="H128" i="11"/>
  <c r="H129" i="11"/>
  <c r="M129" i="11" s="1"/>
  <c r="H130" i="11"/>
  <c r="H131" i="11"/>
  <c r="H132" i="11"/>
  <c r="R132" i="11" s="1"/>
  <c r="H133" i="11"/>
  <c r="R133" i="11" s="1"/>
  <c r="H134" i="11"/>
  <c r="H135" i="11"/>
  <c r="H136" i="11"/>
  <c r="H137" i="11"/>
  <c r="M137" i="11" s="1"/>
  <c r="H138" i="11"/>
  <c r="H139" i="11"/>
  <c r="M139" i="11" s="1"/>
  <c r="H140" i="11"/>
  <c r="H141" i="11"/>
  <c r="R141" i="11" s="1"/>
  <c r="H142" i="11"/>
  <c r="H143" i="11"/>
  <c r="H144" i="11"/>
  <c r="R144" i="11" s="1"/>
  <c r="H145" i="11"/>
  <c r="H146" i="11"/>
  <c r="H147" i="11"/>
  <c r="H148" i="11"/>
  <c r="H149" i="11"/>
  <c r="H150" i="11"/>
  <c r="H151" i="11"/>
  <c r="M151" i="11" s="1"/>
  <c r="H152" i="11"/>
  <c r="M152" i="11" s="1"/>
  <c r="H153" i="11"/>
  <c r="H154" i="11"/>
  <c r="H155" i="11"/>
  <c r="H156" i="11"/>
  <c r="R156" i="11" s="1"/>
  <c r="H157" i="11"/>
  <c r="H158" i="11"/>
  <c r="H159" i="11"/>
  <c r="M159" i="11" s="1"/>
  <c r="H160" i="11"/>
  <c r="H161" i="11"/>
  <c r="M161" i="11" s="1"/>
  <c r="H162" i="11"/>
  <c r="H163" i="11"/>
  <c r="H164" i="11"/>
  <c r="R164" i="11" s="1"/>
  <c r="H165" i="11"/>
  <c r="R165" i="11" s="1"/>
  <c r="H166" i="11"/>
  <c r="M166" i="11" s="1"/>
  <c r="H167" i="11"/>
  <c r="M167" i="11" s="1"/>
  <c r="H168" i="11"/>
  <c r="M168" i="11" s="1"/>
  <c r="H169" i="11"/>
  <c r="H170" i="11"/>
  <c r="H171" i="11"/>
  <c r="H172" i="11"/>
  <c r="H173" i="11"/>
  <c r="R173" i="11" s="1"/>
  <c r="H174" i="11"/>
  <c r="H175" i="11"/>
  <c r="M175" i="11" s="1"/>
  <c r="H176" i="11"/>
  <c r="R176" i="11" s="1"/>
  <c r="H177" i="11"/>
  <c r="M177" i="11" s="1"/>
  <c r="H178" i="11"/>
  <c r="M178" i="11" s="1"/>
  <c r="H179" i="11"/>
  <c r="H180" i="11"/>
  <c r="H181" i="11"/>
  <c r="H182" i="11"/>
  <c r="M182" i="11" s="1"/>
  <c r="H183" i="11"/>
  <c r="M183" i="11" s="1"/>
  <c r="H184" i="11"/>
  <c r="M184" i="11" s="1"/>
  <c r="H185" i="11"/>
  <c r="H186" i="11"/>
  <c r="H187" i="11"/>
  <c r="H188" i="11"/>
  <c r="R188" i="11" s="1"/>
  <c r="H189" i="11"/>
  <c r="H190" i="11"/>
  <c r="H191" i="11"/>
  <c r="M191" i="11" s="1"/>
  <c r="H192" i="11"/>
  <c r="H193" i="11"/>
  <c r="M193" i="11" s="1"/>
  <c r="H194" i="11"/>
  <c r="M194" i="11" s="1"/>
  <c r="H195" i="11"/>
  <c r="H196" i="11"/>
  <c r="R196" i="11" s="1"/>
  <c r="H197" i="11"/>
  <c r="R197" i="11" s="1"/>
  <c r="H198" i="11"/>
  <c r="M198" i="11" s="1"/>
  <c r="H199" i="11"/>
  <c r="M199" i="11" s="1"/>
  <c r="H200" i="11"/>
  <c r="M200" i="11" s="1"/>
  <c r="H201" i="11"/>
  <c r="H202" i="11"/>
  <c r="H203" i="11"/>
  <c r="H204" i="11"/>
  <c r="H205" i="11"/>
  <c r="R205" i="11" s="1"/>
  <c r="H206" i="11"/>
  <c r="H207" i="11"/>
  <c r="M207" i="11" s="1"/>
  <c r="H208" i="11"/>
  <c r="R208" i="11" s="1"/>
  <c r="H209" i="11"/>
  <c r="M209" i="11" s="1"/>
  <c r="H210" i="11"/>
  <c r="M210" i="11" s="1"/>
  <c r="G12" i="11"/>
  <c r="G13" i="11"/>
  <c r="G14" i="11"/>
  <c r="L14" i="11" s="1"/>
  <c r="G15" i="11"/>
  <c r="L15" i="11" s="1"/>
  <c r="G16" i="11"/>
  <c r="L16" i="11" s="1"/>
  <c r="G17" i="11"/>
  <c r="Q17" i="11" s="1"/>
  <c r="G18" i="11"/>
  <c r="G19" i="11"/>
  <c r="L19" i="11" s="1"/>
  <c r="G20" i="11"/>
  <c r="G21" i="11"/>
  <c r="Q21" i="11" s="1"/>
  <c r="G22" i="11"/>
  <c r="G23" i="11"/>
  <c r="L23" i="11" s="1"/>
  <c r="G24" i="11"/>
  <c r="L24" i="11" s="1"/>
  <c r="G25" i="11"/>
  <c r="G26" i="11"/>
  <c r="G27" i="11"/>
  <c r="G28" i="11"/>
  <c r="G29" i="11"/>
  <c r="Q29" i="11" s="1"/>
  <c r="G30" i="11"/>
  <c r="Q30" i="11" s="1"/>
  <c r="G31" i="11"/>
  <c r="L31" i="11" s="1"/>
  <c r="G32" i="11"/>
  <c r="L32" i="11" s="1"/>
  <c r="G33" i="11"/>
  <c r="G34" i="11"/>
  <c r="G35" i="11"/>
  <c r="G36" i="11"/>
  <c r="G37" i="11"/>
  <c r="G38" i="11"/>
  <c r="Q38" i="11" s="1"/>
  <c r="G39" i="11"/>
  <c r="L39" i="11" s="1"/>
  <c r="G40" i="11"/>
  <c r="L40" i="11" s="1"/>
  <c r="G41" i="11"/>
  <c r="Q41" i="11" s="1"/>
  <c r="G42" i="11"/>
  <c r="G43" i="11"/>
  <c r="G44" i="11"/>
  <c r="G45" i="11"/>
  <c r="G46" i="11"/>
  <c r="G47" i="11"/>
  <c r="L47" i="11" s="1"/>
  <c r="G48" i="11"/>
  <c r="L48" i="11" s="1"/>
  <c r="G49" i="11"/>
  <c r="Q49" i="11" s="1"/>
  <c r="G50" i="11"/>
  <c r="G51" i="11"/>
  <c r="G52" i="11"/>
  <c r="G53" i="11"/>
  <c r="Q53" i="11" s="1"/>
  <c r="G54" i="11"/>
  <c r="G55" i="11"/>
  <c r="L55" i="11" s="1"/>
  <c r="G56" i="11"/>
  <c r="L56" i="11" s="1"/>
  <c r="G57" i="11"/>
  <c r="G58" i="11"/>
  <c r="G59" i="11"/>
  <c r="G60" i="11"/>
  <c r="G61" i="11"/>
  <c r="Q61" i="11" s="1"/>
  <c r="G62" i="11"/>
  <c r="Q62" i="11" s="1"/>
  <c r="G63" i="11"/>
  <c r="L63" i="11" s="1"/>
  <c r="G64" i="11"/>
  <c r="L64" i="11" s="1"/>
  <c r="G65" i="11"/>
  <c r="G66" i="11"/>
  <c r="G67" i="11"/>
  <c r="G68" i="11"/>
  <c r="G69" i="11"/>
  <c r="G70" i="11"/>
  <c r="Q70" i="11" s="1"/>
  <c r="G71" i="11"/>
  <c r="L71" i="11" s="1"/>
  <c r="G72" i="11"/>
  <c r="L72" i="11" s="1"/>
  <c r="G73" i="11"/>
  <c r="Q73" i="11" s="1"/>
  <c r="G74" i="11"/>
  <c r="G75" i="11"/>
  <c r="G76" i="11"/>
  <c r="G77" i="11"/>
  <c r="G78" i="11"/>
  <c r="G79" i="11"/>
  <c r="L79" i="11" s="1"/>
  <c r="G80" i="11"/>
  <c r="L80" i="11" s="1"/>
  <c r="G81" i="11"/>
  <c r="Q81" i="11" s="1"/>
  <c r="G82" i="11"/>
  <c r="G83" i="11"/>
  <c r="G84" i="11"/>
  <c r="G85" i="11"/>
  <c r="Q85" i="11" s="1"/>
  <c r="G86" i="11"/>
  <c r="G87" i="11"/>
  <c r="L87" i="11" s="1"/>
  <c r="G88" i="11"/>
  <c r="L88" i="11" s="1"/>
  <c r="G89" i="11"/>
  <c r="G90" i="11"/>
  <c r="G91" i="11"/>
  <c r="G92" i="11"/>
  <c r="G93" i="11"/>
  <c r="Q93" i="11" s="1"/>
  <c r="G94" i="11"/>
  <c r="Q94" i="11" s="1"/>
  <c r="G95" i="11"/>
  <c r="L95" i="11" s="1"/>
  <c r="G96" i="11"/>
  <c r="L96" i="11" s="1"/>
  <c r="G97" i="11"/>
  <c r="G98" i="11"/>
  <c r="G99" i="11"/>
  <c r="G100" i="11"/>
  <c r="G101" i="11"/>
  <c r="G102" i="11"/>
  <c r="Q102" i="11" s="1"/>
  <c r="G103" i="11"/>
  <c r="L103" i="11" s="1"/>
  <c r="G104" i="11"/>
  <c r="L104" i="11" s="1"/>
  <c r="G105" i="11"/>
  <c r="Q105" i="11" s="1"/>
  <c r="G106" i="11"/>
  <c r="G107" i="11"/>
  <c r="G108" i="11"/>
  <c r="G109" i="11"/>
  <c r="G110" i="11"/>
  <c r="G111" i="11"/>
  <c r="L111" i="11" s="1"/>
  <c r="G112" i="11"/>
  <c r="L112" i="11" s="1"/>
  <c r="G113" i="11"/>
  <c r="Q113" i="11" s="1"/>
  <c r="G114" i="11"/>
  <c r="G115" i="11"/>
  <c r="G116" i="11"/>
  <c r="G117" i="11"/>
  <c r="Q117" i="11" s="1"/>
  <c r="G118" i="11"/>
  <c r="G119" i="11"/>
  <c r="L119" i="11" s="1"/>
  <c r="G120" i="11"/>
  <c r="L120" i="11" s="1"/>
  <c r="G121" i="11"/>
  <c r="G122" i="11"/>
  <c r="G123" i="11"/>
  <c r="G124" i="11"/>
  <c r="G125" i="11"/>
  <c r="Q125" i="11" s="1"/>
  <c r="G126" i="11"/>
  <c r="Q126" i="11" s="1"/>
  <c r="G127" i="11"/>
  <c r="L127" i="11" s="1"/>
  <c r="G128" i="11"/>
  <c r="L128" i="11" s="1"/>
  <c r="G129" i="11"/>
  <c r="G130" i="11"/>
  <c r="G131" i="11"/>
  <c r="G132" i="11"/>
  <c r="G133" i="11"/>
  <c r="G134" i="11"/>
  <c r="Q134" i="11" s="1"/>
  <c r="G135" i="11"/>
  <c r="L135" i="11" s="1"/>
  <c r="G136" i="11"/>
  <c r="L136" i="11" s="1"/>
  <c r="G137" i="11"/>
  <c r="Q137" i="11" s="1"/>
  <c r="G138" i="11"/>
  <c r="G139" i="11"/>
  <c r="G140" i="11"/>
  <c r="G141" i="11"/>
  <c r="G142" i="11"/>
  <c r="G143" i="11"/>
  <c r="L143" i="11" s="1"/>
  <c r="G144" i="11"/>
  <c r="L144" i="11" s="1"/>
  <c r="G145" i="11"/>
  <c r="Q145" i="11" s="1"/>
  <c r="G146" i="11"/>
  <c r="G147" i="11"/>
  <c r="G148" i="11"/>
  <c r="G149" i="11"/>
  <c r="Q149" i="11" s="1"/>
  <c r="G150" i="11"/>
  <c r="G151" i="11"/>
  <c r="L151" i="11" s="1"/>
  <c r="G152" i="11"/>
  <c r="L152" i="11" s="1"/>
  <c r="G153" i="11"/>
  <c r="Q153" i="11" s="1"/>
  <c r="G154" i="11"/>
  <c r="Q154" i="11" s="1"/>
  <c r="G155" i="11"/>
  <c r="G156" i="11"/>
  <c r="G157" i="11"/>
  <c r="G158" i="11"/>
  <c r="Q158" i="11" s="1"/>
  <c r="G159" i="11"/>
  <c r="L159" i="11" s="1"/>
  <c r="G160" i="11"/>
  <c r="L160" i="11" s="1"/>
  <c r="G161" i="11"/>
  <c r="G162" i="11"/>
  <c r="G163" i="11"/>
  <c r="Q163" i="11" s="1"/>
  <c r="G164" i="11"/>
  <c r="G165" i="11"/>
  <c r="Q165" i="11" s="1"/>
  <c r="G166" i="11"/>
  <c r="G167" i="11"/>
  <c r="L167" i="11" s="1"/>
  <c r="G168" i="11"/>
  <c r="L168" i="11" s="1"/>
  <c r="G169" i="11"/>
  <c r="Q169" i="11" s="1"/>
  <c r="G170" i="11"/>
  <c r="Q170" i="11" s="1"/>
  <c r="G171" i="11"/>
  <c r="G172" i="11"/>
  <c r="G173" i="11"/>
  <c r="G174" i="11"/>
  <c r="Q174" i="11" s="1"/>
  <c r="G175" i="11"/>
  <c r="L175" i="11" s="1"/>
  <c r="G176" i="11"/>
  <c r="L176" i="11" s="1"/>
  <c r="G177" i="11"/>
  <c r="G178" i="11"/>
  <c r="G179" i="11"/>
  <c r="Q179" i="11" s="1"/>
  <c r="G180" i="11"/>
  <c r="L180" i="11" s="1"/>
  <c r="G181" i="11"/>
  <c r="Q181" i="11" s="1"/>
  <c r="G182" i="11"/>
  <c r="G183" i="11"/>
  <c r="G184" i="11"/>
  <c r="L184" i="11" s="1"/>
  <c r="G185" i="11"/>
  <c r="L185" i="11" s="1"/>
  <c r="G186" i="11"/>
  <c r="Q186" i="11" s="1"/>
  <c r="G187" i="11"/>
  <c r="G188" i="11"/>
  <c r="L188" i="11" s="1"/>
  <c r="G189" i="11"/>
  <c r="G190" i="11"/>
  <c r="Q190" i="11" s="1"/>
  <c r="G191" i="11"/>
  <c r="Q191" i="11" s="1"/>
  <c r="G192" i="11"/>
  <c r="L192" i="11" s="1"/>
  <c r="G193" i="11"/>
  <c r="L193" i="11" s="1"/>
  <c r="G194" i="11"/>
  <c r="G195" i="11"/>
  <c r="Q195" i="11" s="1"/>
  <c r="G196" i="11"/>
  <c r="L196" i="11" s="1"/>
  <c r="G197" i="11"/>
  <c r="Q197" i="11" s="1"/>
  <c r="G198" i="11"/>
  <c r="G199" i="11"/>
  <c r="G200" i="11"/>
  <c r="L200" i="11" s="1"/>
  <c r="G201" i="11"/>
  <c r="L201" i="11" s="1"/>
  <c r="G202" i="11"/>
  <c r="Q202" i="11" s="1"/>
  <c r="G203" i="11"/>
  <c r="G204" i="11"/>
  <c r="L204" i="11" s="1"/>
  <c r="G205" i="11"/>
  <c r="G206" i="11"/>
  <c r="Q206" i="11" s="1"/>
  <c r="G207" i="11"/>
  <c r="Q207" i="11" s="1"/>
  <c r="G208" i="11"/>
  <c r="L208" i="11" s="1"/>
  <c r="G209" i="11"/>
  <c r="L209" i="11" s="1"/>
  <c r="G210" i="11"/>
  <c r="F12" i="11"/>
  <c r="K12" i="11" s="1"/>
  <c r="F13" i="11"/>
  <c r="K13" i="11" s="1"/>
  <c r="F14" i="11"/>
  <c r="K14" i="11" s="1"/>
  <c r="F15" i="11"/>
  <c r="K15" i="11" s="1"/>
  <c r="F16" i="11"/>
  <c r="K16" i="11" s="1"/>
  <c r="F17" i="11"/>
  <c r="K17" i="11" s="1"/>
  <c r="F18" i="11"/>
  <c r="K18" i="11" s="1"/>
  <c r="F19" i="11"/>
  <c r="K19" i="11" s="1"/>
  <c r="F20" i="11"/>
  <c r="K20" i="11" s="1"/>
  <c r="F21" i="11"/>
  <c r="K21" i="11" s="1"/>
  <c r="F22" i="11"/>
  <c r="K22" i="11" s="1"/>
  <c r="F23" i="11"/>
  <c r="K23" i="11" s="1"/>
  <c r="F24" i="11"/>
  <c r="K24" i="11" s="1"/>
  <c r="F25" i="11"/>
  <c r="K25" i="11" s="1"/>
  <c r="F26" i="11"/>
  <c r="K26" i="11" s="1"/>
  <c r="F27" i="11"/>
  <c r="K27" i="11" s="1"/>
  <c r="F28" i="11"/>
  <c r="K28" i="11" s="1"/>
  <c r="F29" i="11"/>
  <c r="K29" i="11" s="1"/>
  <c r="F30" i="11"/>
  <c r="K30" i="11" s="1"/>
  <c r="F31" i="11"/>
  <c r="K31" i="11" s="1"/>
  <c r="F32" i="11"/>
  <c r="K32" i="11" s="1"/>
  <c r="F33" i="11"/>
  <c r="K33" i="11" s="1"/>
  <c r="F34" i="11"/>
  <c r="K34" i="11" s="1"/>
  <c r="F35" i="11"/>
  <c r="K35" i="11" s="1"/>
  <c r="F36" i="11"/>
  <c r="K36" i="11" s="1"/>
  <c r="F37" i="11"/>
  <c r="K37" i="11" s="1"/>
  <c r="F38" i="11"/>
  <c r="K38" i="11" s="1"/>
  <c r="F39" i="11"/>
  <c r="K39" i="11" s="1"/>
  <c r="F40" i="11"/>
  <c r="K40" i="11" s="1"/>
  <c r="F41" i="11"/>
  <c r="K41" i="11" s="1"/>
  <c r="F42" i="11"/>
  <c r="K42" i="11" s="1"/>
  <c r="F43" i="11"/>
  <c r="K43" i="11" s="1"/>
  <c r="F44" i="11"/>
  <c r="K44" i="11" s="1"/>
  <c r="F45" i="11"/>
  <c r="K45" i="11" s="1"/>
  <c r="F46" i="11"/>
  <c r="K46" i="11" s="1"/>
  <c r="F47" i="11"/>
  <c r="K47" i="11" s="1"/>
  <c r="F48" i="11"/>
  <c r="K48" i="11" s="1"/>
  <c r="F49" i="11"/>
  <c r="K49" i="11" s="1"/>
  <c r="F50" i="11"/>
  <c r="K50" i="11" s="1"/>
  <c r="F51" i="11"/>
  <c r="K51" i="11" s="1"/>
  <c r="F52" i="11"/>
  <c r="K52" i="11" s="1"/>
  <c r="F53" i="11"/>
  <c r="K53" i="11" s="1"/>
  <c r="F54" i="11"/>
  <c r="K54" i="11" s="1"/>
  <c r="F55" i="11"/>
  <c r="K55" i="11" s="1"/>
  <c r="F56" i="11"/>
  <c r="K56" i="11" s="1"/>
  <c r="F57" i="11"/>
  <c r="K57" i="11" s="1"/>
  <c r="F58" i="11"/>
  <c r="K58" i="11" s="1"/>
  <c r="F59" i="11"/>
  <c r="F60" i="11"/>
  <c r="K60" i="11" s="1"/>
  <c r="F61" i="11"/>
  <c r="K61" i="11" s="1"/>
  <c r="F62" i="11"/>
  <c r="K62" i="11" s="1"/>
  <c r="F63" i="11"/>
  <c r="K63" i="11" s="1"/>
  <c r="F64" i="11"/>
  <c r="K64" i="11" s="1"/>
  <c r="F65" i="11"/>
  <c r="K65" i="11" s="1"/>
  <c r="F66" i="11"/>
  <c r="K66" i="11" s="1"/>
  <c r="F67" i="11"/>
  <c r="K67" i="11" s="1"/>
  <c r="F68" i="11"/>
  <c r="K68" i="11" s="1"/>
  <c r="F69" i="11"/>
  <c r="K69" i="11" s="1"/>
  <c r="F70" i="11"/>
  <c r="K70" i="11" s="1"/>
  <c r="F71" i="11"/>
  <c r="K71" i="11" s="1"/>
  <c r="F72" i="11"/>
  <c r="K72" i="11" s="1"/>
  <c r="F73" i="11"/>
  <c r="K73" i="11" s="1"/>
  <c r="F74" i="11"/>
  <c r="K74" i="11" s="1"/>
  <c r="F75" i="11"/>
  <c r="K75" i="11" s="1"/>
  <c r="F76" i="11"/>
  <c r="K76" i="11" s="1"/>
  <c r="F77" i="11"/>
  <c r="K77" i="11" s="1"/>
  <c r="F78" i="11"/>
  <c r="K78" i="11" s="1"/>
  <c r="F79" i="11"/>
  <c r="K79" i="11" s="1"/>
  <c r="F80" i="11"/>
  <c r="K80" i="11" s="1"/>
  <c r="F81" i="11"/>
  <c r="K81" i="11" s="1"/>
  <c r="F82" i="11"/>
  <c r="K82" i="11" s="1"/>
  <c r="F83" i="11"/>
  <c r="K83" i="11" s="1"/>
  <c r="F84" i="11"/>
  <c r="K84" i="11" s="1"/>
  <c r="F85" i="11"/>
  <c r="K85" i="11" s="1"/>
  <c r="F86" i="11"/>
  <c r="K86" i="11" s="1"/>
  <c r="F87" i="11"/>
  <c r="K87" i="11" s="1"/>
  <c r="F88" i="11"/>
  <c r="K88" i="11" s="1"/>
  <c r="F89" i="11"/>
  <c r="K89" i="11" s="1"/>
  <c r="F90" i="11"/>
  <c r="K90" i="11" s="1"/>
  <c r="F91" i="11"/>
  <c r="F92" i="11"/>
  <c r="K92" i="11" s="1"/>
  <c r="F93" i="11"/>
  <c r="K93" i="11" s="1"/>
  <c r="F94" i="11"/>
  <c r="K94" i="11" s="1"/>
  <c r="F95" i="11"/>
  <c r="K95" i="11" s="1"/>
  <c r="F96" i="11"/>
  <c r="K96" i="11" s="1"/>
  <c r="F97" i="11"/>
  <c r="K97" i="11" s="1"/>
  <c r="F98" i="11"/>
  <c r="K98" i="11" s="1"/>
  <c r="F99" i="11"/>
  <c r="K99" i="11" s="1"/>
  <c r="F100" i="11"/>
  <c r="K100" i="11" s="1"/>
  <c r="F101" i="11"/>
  <c r="K101" i="11" s="1"/>
  <c r="F102" i="11"/>
  <c r="K102" i="11" s="1"/>
  <c r="F103" i="11"/>
  <c r="K103" i="11" s="1"/>
  <c r="F104" i="11"/>
  <c r="K104" i="11" s="1"/>
  <c r="F105" i="11"/>
  <c r="K105" i="11" s="1"/>
  <c r="F106" i="11"/>
  <c r="K106" i="11" s="1"/>
  <c r="F107" i="11"/>
  <c r="K107" i="11" s="1"/>
  <c r="F108" i="11"/>
  <c r="K108" i="11" s="1"/>
  <c r="F109" i="11"/>
  <c r="K109" i="11" s="1"/>
  <c r="F110" i="11"/>
  <c r="K110" i="11" s="1"/>
  <c r="F111" i="11"/>
  <c r="K111" i="11" s="1"/>
  <c r="F112" i="11"/>
  <c r="K112" i="11" s="1"/>
  <c r="F113" i="11"/>
  <c r="K113" i="11" s="1"/>
  <c r="F114" i="11"/>
  <c r="K114" i="11" s="1"/>
  <c r="F115" i="11"/>
  <c r="K115" i="11" s="1"/>
  <c r="F116" i="11"/>
  <c r="K116" i="11" s="1"/>
  <c r="F117" i="11"/>
  <c r="K117" i="11" s="1"/>
  <c r="F118" i="11"/>
  <c r="K118" i="11" s="1"/>
  <c r="F119" i="11"/>
  <c r="K119" i="11" s="1"/>
  <c r="F120" i="11"/>
  <c r="K120" i="11" s="1"/>
  <c r="F121" i="11"/>
  <c r="K121" i="11" s="1"/>
  <c r="F122" i="11"/>
  <c r="K122" i="11" s="1"/>
  <c r="F123" i="11"/>
  <c r="F124" i="11"/>
  <c r="K124" i="11" s="1"/>
  <c r="F125" i="11"/>
  <c r="K125" i="11" s="1"/>
  <c r="F126" i="11"/>
  <c r="K126" i="11" s="1"/>
  <c r="F127" i="11"/>
  <c r="K127" i="11" s="1"/>
  <c r="F128" i="11"/>
  <c r="K128" i="11" s="1"/>
  <c r="F129" i="11"/>
  <c r="K129" i="11" s="1"/>
  <c r="F130" i="11"/>
  <c r="K130" i="11" s="1"/>
  <c r="F131" i="11"/>
  <c r="K131" i="11" s="1"/>
  <c r="F132" i="11"/>
  <c r="K132" i="11" s="1"/>
  <c r="F133" i="11"/>
  <c r="K133" i="11" s="1"/>
  <c r="F134" i="11"/>
  <c r="K134" i="11" s="1"/>
  <c r="F135" i="11"/>
  <c r="K135" i="11" s="1"/>
  <c r="F136" i="11"/>
  <c r="K136" i="11" s="1"/>
  <c r="F137" i="11"/>
  <c r="K137" i="11" s="1"/>
  <c r="F138" i="11"/>
  <c r="K138" i="11" s="1"/>
  <c r="F139" i="11"/>
  <c r="K139" i="11" s="1"/>
  <c r="F140" i="11"/>
  <c r="K140" i="11" s="1"/>
  <c r="F141" i="11"/>
  <c r="K141" i="11" s="1"/>
  <c r="F142" i="11"/>
  <c r="K142" i="11" s="1"/>
  <c r="F143" i="11"/>
  <c r="K143" i="11" s="1"/>
  <c r="F144" i="11"/>
  <c r="K144" i="11" s="1"/>
  <c r="F145" i="11"/>
  <c r="K145" i="11" s="1"/>
  <c r="F146" i="11"/>
  <c r="K146" i="11" s="1"/>
  <c r="F147" i="11"/>
  <c r="K147" i="11" s="1"/>
  <c r="F148" i="11"/>
  <c r="K148" i="11" s="1"/>
  <c r="F149" i="11"/>
  <c r="K149" i="11" s="1"/>
  <c r="F150" i="11"/>
  <c r="K150" i="11" s="1"/>
  <c r="F151" i="11"/>
  <c r="K151" i="11" s="1"/>
  <c r="F152" i="11"/>
  <c r="K152" i="11" s="1"/>
  <c r="F153" i="11"/>
  <c r="K153" i="11" s="1"/>
  <c r="F154" i="11"/>
  <c r="K154" i="11" s="1"/>
  <c r="F155" i="11"/>
  <c r="K155" i="11" s="1"/>
  <c r="F156" i="11"/>
  <c r="K156" i="11" s="1"/>
  <c r="F157" i="11"/>
  <c r="K157" i="11" s="1"/>
  <c r="F158" i="11"/>
  <c r="K158" i="11" s="1"/>
  <c r="F159" i="11"/>
  <c r="K159" i="11" s="1"/>
  <c r="F160" i="11"/>
  <c r="K160" i="11" s="1"/>
  <c r="F161" i="11"/>
  <c r="K161" i="11" s="1"/>
  <c r="F162" i="11"/>
  <c r="K162" i="11" s="1"/>
  <c r="F163" i="11"/>
  <c r="K163" i="11" s="1"/>
  <c r="F164" i="11"/>
  <c r="K164" i="11" s="1"/>
  <c r="F165" i="11"/>
  <c r="K165" i="11" s="1"/>
  <c r="F166" i="11"/>
  <c r="K166" i="11" s="1"/>
  <c r="F167" i="11"/>
  <c r="K167" i="11" s="1"/>
  <c r="F168" i="11"/>
  <c r="K168" i="11" s="1"/>
  <c r="F169" i="11"/>
  <c r="K169" i="11" s="1"/>
  <c r="F170" i="11"/>
  <c r="K170" i="11" s="1"/>
  <c r="F171" i="11"/>
  <c r="K171" i="11" s="1"/>
  <c r="F172" i="11"/>
  <c r="K172" i="11" s="1"/>
  <c r="F173" i="11"/>
  <c r="K173" i="11" s="1"/>
  <c r="F174" i="11"/>
  <c r="K174" i="11" s="1"/>
  <c r="F175" i="11"/>
  <c r="K175" i="11" s="1"/>
  <c r="F176" i="11"/>
  <c r="K176" i="11" s="1"/>
  <c r="F177" i="11"/>
  <c r="K177" i="11" s="1"/>
  <c r="F178" i="11"/>
  <c r="K178" i="11" s="1"/>
  <c r="F179" i="11"/>
  <c r="K179" i="11" s="1"/>
  <c r="F180" i="11"/>
  <c r="K180" i="11" s="1"/>
  <c r="F181" i="11"/>
  <c r="K181" i="11" s="1"/>
  <c r="F182" i="11"/>
  <c r="K182" i="11" s="1"/>
  <c r="F183" i="11"/>
  <c r="K183" i="11" s="1"/>
  <c r="F184" i="11"/>
  <c r="K184" i="11" s="1"/>
  <c r="F185" i="11"/>
  <c r="K185" i="11" s="1"/>
  <c r="F186" i="11"/>
  <c r="K186" i="11" s="1"/>
  <c r="F187" i="11"/>
  <c r="K187" i="11" s="1"/>
  <c r="F188" i="11"/>
  <c r="K188" i="11" s="1"/>
  <c r="F189" i="11"/>
  <c r="K189" i="11" s="1"/>
  <c r="F190" i="11"/>
  <c r="K190" i="11" s="1"/>
  <c r="F191" i="11"/>
  <c r="F192" i="11"/>
  <c r="K192" i="11" s="1"/>
  <c r="F193" i="11"/>
  <c r="K193" i="11" s="1"/>
  <c r="F194" i="11"/>
  <c r="K194" i="11" s="1"/>
  <c r="F195" i="11"/>
  <c r="K195" i="11" s="1"/>
  <c r="F196" i="11"/>
  <c r="K196" i="11" s="1"/>
  <c r="F197" i="11"/>
  <c r="K197" i="11" s="1"/>
  <c r="F198" i="11"/>
  <c r="K198" i="11" s="1"/>
  <c r="F199" i="11"/>
  <c r="K199" i="11" s="1"/>
  <c r="F200" i="11"/>
  <c r="K200" i="11" s="1"/>
  <c r="F201" i="11"/>
  <c r="K201" i="11" s="1"/>
  <c r="F202" i="11"/>
  <c r="K202" i="11" s="1"/>
  <c r="F203" i="11"/>
  <c r="K203" i="11" s="1"/>
  <c r="F204" i="11"/>
  <c r="K204" i="11" s="1"/>
  <c r="F205" i="11"/>
  <c r="K205" i="11" s="1"/>
  <c r="F206" i="11"/>
  <c r="K206" i="11" s="1"/>
  <c r="F207" i="11"/>
  <c r="K207" i="11" s="1"/>
  <c r="F208" i="11"/>
  <c r="K208" i="11" s="1"/>
  <c r="F209" i="11"/>
  <c r="K209" i="11" s="1"/>
  <c r="F210" i="11"/>
  <c r="K210" i="11" s="1"/>
  <c r="D4" i="11" a="1"/>
  <c r="D4" i="11" s="1"/>
  <c r="C4" i="11" a="1"/>
  <c r="E9" i="10"/>
  <c r="H9" i="10"/>
  <c r="I9" i="10" s="1"/>
  <c r="E7" i="10"/>
  <c r="E8" i="10"/>
  <c r="H7" i="10"/>
  <c r="I7" i="10" s="1"/>
  <c r="J7" i="10" s="1"/>
  <c r="H8" i="10"/>
  <c r="I8" i="10" s="1"/>
  <c r="E6" i="10"/>
  <c r="H6" i="10"/>
  <c r="I6" i="10" s="1"/>
  <c r="E5" i="10"/>
  <c r="H5" i="10"/>
  <c r="I5" i="10" s="1"/>
  <c r="E3" i="10"/>
  <c r="O125" i="11" l="1"/>
  <c r="R209" i="11"/>
  <c r="R73" i="11"/>
  <c r="J208" i="11"/>
  <c r="J188" i="11"/>
  <c r="J107" i="11"/>
  <c r="J80" i="11"/>
  <c r="J60" i="11"/>
  <c r="J43" i="11"/>
  <c r="O101" i="11"/>
  <c r="R194" i="11"/>
  <c r="R57" i="11"/>
  <c r="J185" i="11"/>
  <c r="J143" i="11"/>
  <c r="J121" i="11"/>
  <c r="J103" i="11"/>
  <c r="J79" i="11"/>
  <c r="J57" i="11"/>
  <c r="J39" i="11"/>
  <c r="J12" i="11"/>
  <c r="O81" i="11"/>
  <c r="R182" i="11"/>
  <c r="R41" i="11"/>
  <c r="J204" i="11"/>
  <c r="J164" i="11"/>
  <c r="J140" i="11"/>
  <c r="J119" i="11"/>
  <c r="J100" i="11"/>
  <c r="J76" i="11"/>
  <c r="J55" i="11"/>
  <c r="J36" i="11"/>
  <c r="L102" i="11"/>
  <c r="O61" i="11"/>
  <c r="R177" i="11"/>
  <c r="J180" i="11"/>
  <c r="J160" i="11"/>
  <c r="J139" i="11"/>
  <c r="J116" i="11"/>
  <c r="J96" i="11"/>
  <c r="J75" i="11"/>
  <c r="J33" i="11"/>
  <c r="L38" i="11"/>
  <c r="O209" i="11"/>
  <c r="O37" i="11"/>
  <c r="R166" i="11"/>
  <c r="J177" i="11"/>
  <c r="J135" i="11"/>
  <c r="J113" i="11"/>
  <c r="J92" i="11"/>
  <c r="J71" i="11"/>
  <c r="J49" i="11"/>
  <c r="J32" i="11"/>
  <c r="M173" i="11"/>
  <c r="O189" i="11"/>
  <c r="O13" i="11"/>
  <c r="R129" i="11"/>
  <c r="J196" i="11"/>
  <c r="J176" i="11"/>
  <c r="J132" i="11"/>
  <c r="J112" i="11"/>
  <c r="J91" i="11"/>
  <c r="J68" i="11"/>
  <c r="J48" i="11"/>
  <c r="M109" i="11"/>
  <c r="O165" i="11"/>
  <c r="Q23" i="11"/>
  <c r="R121" i="11"/>
  <c r="P27" i="11"/>
  <c r="J149" i="11"/>
  <c r="J128" i="11"/>
  <c r="J111" i="11"/>
  <c r="J85" i="11"/>
  <c r="J64" i="11"/>
  <c r="J47" i="11"/>
  <c r="J23" i="11"/>
  <c r="M45" i="11"/>
  <c r="O145" i="11"/>
  <c r="R210" i="11"/>
  <c r="R97" i="11"/>
  <c r="J148" i="11"/>
  <c r="J127" i="11"/>
  <c r="J108" i="11"/>
  <c r="J63" i="11"/>
  <c r="Q189" i="11"/>
  <c r="L189" i="11"/>
  <c r="Q177" i="11"/>
  <c r="L177" i="11"/>
  <c r="Q161" i="11"/>
  <c r="L161" i="11"/>
  <c r="Q157" i="11"/>
  <c r="L157" i="11"/>
  <c r="Q129" i="11"/>
  <c r="L129" i="11"/>
  <c r="Q121" i="11"/>
  <c r="L121" i="11"/>
  <c r="Q109" i="11"/>
  <c r="L109" i="11"/>
  <c r="Q97" i="11"/>
  <c r="L97" i="11"/>
  <c r="Q89" i="11"/>
  <c r="L89" i="11"/>
  <c r="Q77" i="11"/>
  <c r="L77" i="11"/>
  <c r="Q65" i="11"/>
  <c r="L65" i="11"/>
  <c r="R116" i="11"/>
  <c r="M116" i="11"/>
  <c r="R108" i="11"/>
  <c r="M108" i="11"/>
  <c r="R104" i="11"/>
  <c r="M104" i="11"/>
  <c r="R76" i="11"/>
  <c r="M76" i="11"/>
  <c r="R72" i="11"/>
  <c r="M72" i="11"/>
  <c r="R64" i="11"/>
  <c r="M64" i="11"/>
  <c r="R52" i="11"/>
  <c r="M52" i="11"/>
  <c r="R40" i="11"/>
  <c r="M40" i="11"/>
  <c r="R32" i="11"/>
  <c r="M32" i="11"/>
  <c r="R20" i="11"/>
  <c r="M20" i="11"/>
  <c r="O210" i="11"/>
  <c r="J210" i="11"/>
  <c r="O206" i="11"/>
  <c r="J206" i="11"/>
  <c r="O202" i="11"/>
  <c r="J202" i="11"/>
  <c r="O198" i="11"/>
  <c r="J198" i="11"/>
  <c r="O194" i="11"/>
  <c r="J194" i="11"/>
  <c r="O190" i="11"/>
  <c r="J190" i="11"/>
  <c r="O186" i="11"/>
  <c r="J186" i="11"/>
  <c r="O182" i="11"/>
  <c r="J182" i="11"/>
  <c r="O178" i="11"/>
  <c r="J178" i="11"/>
  <c r="O174" i="11"/>
  <c r="J174" i="11"/>
  <c r="O170" i="11"/>
  <c r="J170" i="11"/>
  <c r="O166" i="11"/>
  <c r="J166" i="11"/>
  <c r="O162" i="11"/>
  <c r="J162" i="11"/>
  <c r="O158" i="11"/>
  <c r="J158" i="11"/>
  <c r="O154" i="11"/>
  <c r="J154" i="11"/>
  <c r="O150" i="11"/>
  <c r="J150" i="11"/>
  <c r="O146" i="11"/>
  <c r="J146" i="11"/>
  <c r="O142" i="11"/>
  <c r="J142" i="11"/>
  <c r="O138" i="11"/>
  <c r="J138" i="11"/>
  <c r="O134" i="11"/>
  <c r="J134" i="11"/>
  <c r="O130" i="11"/>
  <c r="J130" i="11"/>
  <c r="O126" i="11"/>
  <c r="J126" i="11"/>
  <c r="O122" i="11"/>
  <c r="J122" i="11"/>
  <c r="O118" i="11"/>
  <c r="J118" i="11"/>
  <c r="O114" i="11"/>
  <c r="J114" i="11"/>
  <c r="O110" i="11"/>
  <c r="J110" i="11"/>
  <c r="O106" i="11"/>
  <c r="J106" i="11"/>
  <c r="O102" i="11"/>
  <c r="J102" i="11"/>
  <c r="O98" i="11"/>
  <c r="J98" i="11"/>
  <c r="O94" i="11"/>
  <c r="J94" i="11"/>
  <c r="O90" i="11"/>
  <c r="J90" i="11"/>
  <c r="O86" i="11"/>
  <c r="J86" i="11"/>
  <c r="O82" i="11"/>
  <c r="J82" i="11"/>
  <c r="O78" i="11"/>
  <c r="J78" i="11"/>
  <c r="O74" i="11"/>
  <c r="J74" i="11"/>
  <c r="O70" i="11"/>
  <c r="J70" i="11"/>
  <c r="O66" i="11"/>
  <c r="J66" i="11"/>
  <c r="O62" i="11"/>
  <c r="J62" i="11"/>
  <c r="O58" i="11"/>
  <c r="J58" i="11"/>
  <c r="O54" i="11"/>
  <c r="J54" i="11"/>
  <c r="O50" i="11"/>
  <c r="J50" i="11"/>
  <c r="O46" i="11"/>
  <c r="J46" i="11"/>
  <c r="O42" i="11"/>
  <c r="J42" i="11"/>
  <c r="O38" i="11"/>
  <c r="J38" i="11"/>
  <c r="O34" i="11"/>
  <c r="J34" i="11"/>
  <c r="O30" i="11"/>
  <c r="J30" i="11"/>
  <c r="O26" i="11"/>
  <c r="J26" i="11"/>
  <c r="O22" i="11"/>
  <c r="J22" i="11"/>
  <c r="O18" i="11"/>
  <c r="J18" i="11"/>
  <c r="O14" i="11"/>
  <c r="J14" i="11"/>
  <c r="P127" i="11"/>
  <c r="L190" i="11"/>
  <c r="L179" i="11"/>
  <c r="L169" i="11"/>
  <c r="L158" i="11"/>
  <c r="L145" i="11"/>
  <c r="L125" i="11"/>
  <c r="L81" i="11"/>
  <c r="L61" i="11"/>
  <c r="L17" i="11"/>
  <c r="M196" i="11"/>
  <c r="M132" i="11"/>
  <c r="M88" i="11"/>
  <c r="M68" i="11"/>
  <c r="M24" i="11"/>
  <c r="Q133" i="11"/>
  <c r="L133" i="11"/>
  <c r="Q101" i="11"/>
  <c r="L101" i="11"/>
  <c r="Q69" i="11"/>
  <c r="L69" i="11"/>
  <c r="Q37" i="11"/>
  <c r="L37" i="11"/>
  <c r="R204" i="11"/>
  <c r="M204" i="11"/>
  <c r="R180" i="11"/>
  <c r="M180" i="11"/>
  <c r="R140" i="11"/>
  <c r="M140" i="11"/>
  <c r="Q156" i="11"/>
  <c r="L156" i="11"/>
  <c r="Q148" i="11"/>
  <c r="L148" i="11"/>
  <c r="Q140" i="11"/>
  <c r="L140" i="11"/>
  <c r="Q132" i="11"/>
  <c r="L132" i="11"/>
  <c r="Q124" i="11"/>
  <c r="L124" i="11"/>
  <c r="Q116" i="11"/>
  <c r="L116" i="11"/>
  <c r="Q108" i="11"/>
  <c r="L108" i="11"/>
  <c r="Q100" i="11"/>
  <c r="L100" i="11"/>
  <c r="Q92" i="11"/>
  <c r="L92" i="11"/>
  <c r="Q68" i="11"/>
  <c r="L68" i="11"/>
  <c r="Q60" i="11"/>
  <c r="L60" i="11"/>
  <c r="Q52" i="11"/>
  <c r="L52" i="11"/>
  <c r="Q44" i="11"/>
  <c r="L44" i="11"/>
  <c r="R203" i="11"/>
  <c r="M203" i="11"/>
  <c r="R195" i="11"/>
  <c r="M195" i="11"/>
  <c r="R147" i="11"/>
  <c r="M147" i="11"/>
  <c r="R111" i="11"/>
  <c r="M111" i="11"/>
  <c r="R79" i="11"/>
  <c r="M79" i="11"/>
  <c r="R71" i="11"/>
  <c r="M71" i="11"/>
  <c r="R63" i="11"/>
  <c r="M63" i="11"/>
  <c r="R51" i="11"/>
  <c r="M51" i="11"/>
  <c r="R47" i="11"/>
  <c r="M47" i="11"/>
  <c r="R39" i="11"/>
  <c r="M39" i="11"/>
  <c r="R35" i="11"/>
  <c r="M35" i="11"/>
  <c r="R31" i="11"/>
  <c r="M31" i="11"/>
  <c r="R23" i="11"/>
  <c r="M23" i="11"/>
  <c r="O41" i="11"/>
  <c r="J41" i="11"/>
  <c r="O25" i="11"/>
  <c r="J25" i="11"/>
  <c r="O205" i="11"/>
  <c r="O181" i="11"/>
  <c r="O161" i="11"/>
  <c r="O141" i="11"/>
  <c r="O117" i="11"/>
  <c r="O97" i="11"/>
  <c r="O77" i="11"/>
  <c r="O53" i="11"/>
  <c r="P95" i="11"/>
  <c r="J197" i="11"/>
  <c r="J169" i="11"/>
  <c r="J133" i="11"/>
  <c r="J105" i="11"/>
  <c r="J69" i="11"/>
  <c r="J21" i="11"/>
  <c r="L207" i="11"/>
  <c r="L197" i="11"/>
  <c r="L186" i="11"/>
  <c r="L165" i="11"/>
  <c r="L154" i="11"/>
  <c r="L137" i="11"/>
  <c r="L117" i="11"/>
  <c r="L94" i="11"/>
  <c r="L73" i="11"/>
  <c r="L53" i="11"/>
  <c r="L30" i="11"/>
  <c r="M208" i="11"/>
  <c r="M188" i="11"/>
  <c r="M165" i="11"/>
  <c r="M144" i="11"/>
  <c r="M101" i="11"/>
  <c r="M80" i="11"/>
  <c r="M37" i="11"/>
  <c r="M16" i="11"/>
  <c r="Q57" i="11"/>
  <c r="L57" i="11"/>
  <c r="Q45" i="11"/>
  <c r="L45" i="11"/>
  <c r="Q33" i="11"/>
  <c r="L33" i="11"/>
  <c r="R192" i="11"/>
  <c r="M192" i="11"/>
  <c r="R136" i="11"/>
  <c r="M136" i="11"/>
  <c r="R128" i="11"/>
  <c r="M128" i="11"/>
  <c r="R84" i="11"/>
  <c r="M84" i="11"/>
  <c r="Q84" i="11"/>
  <c r="L84" i="11"/>
  <c r="Q76" i="11"/>
  <c r="L76" i="11"/>
  <c r="Q36" i="11"/>
  <c r="L36" i="11"/>
  <c r="Q28" i="11"/>
  <c r="L28" i="11"/>
  <c r="Q20" i="11"/>
  <c r="L20" i="11"/>
  <c r="Q12" i="11"/>
  <c r="L12" i="11"/>
  <c r="R187" i="11"/>
  <c r="M187" i="11"/>
  <c r="R143" i="11"/>
  <c r="M143" i="11"/>
  <c r="R135" i="11"/>
  <c r="M135" i="11"/>
  <c r="R131" i="11"/>
  <c r="M131" i="11"/>
  <c r="R119" i="11"/>
  <c r="M119" i="11"/>
  <c r="R115" i="11"/>
  <c r="M115" i="11"/>
  <c r="R103" i="11"/>
  <c r="M103" i="11"/>
  <c r="R95" i="11"/>
  <c r="M95" i="11"/>
  <c r="R83" i="11"/>
  <c r="M83" i="11"/>
  <c r="R19" i="11"/>
  <c r="M19" i="11"/>
  <c r="Q203" i="11"/>
  <c r="L203" i="11"/>
  <c r="Q199" i="11"/>
  <c r="L199" i="11"/>
  <c r="Q187" i="11"/>
  <c r="L187" i="11"/>
  <c r="Q183" i="11"/>
  <c r="L183" i="11"/>
  <c r="Q171" i="11"/>
  <c r="L171" i="11"/>
  <c r="Q155" i="11"/>
  <c r="L155" i="11"/>
  <c r="Q147" i="11"/>
  <c r="L147" i="11"/>
  <c r="Q139" i="11"/>
  <c r="L139" i="11"/>
  <c r="Q131" i="11"/>
  <c r="L131" i="11"/>
  <c r="Q123" i="11"/>
  <c r="L123" i="11"/>
  <c r="Q115" i="11"/>
  <c r="L115" i="11"/>
  <c r="Q107" i="11"/>
  <c r="L107" i="11"/>
  <c r="Q99" i="11"/>
  <c r="L99" i="11"/>
  <c r="Q91" i="11"/>
  <c r="L91" i="11"/>
  <c r="Q83" i="11"/>
  <c r="L83" i="11"/>
  <c r="Q75" i="11"/>
  <c r="L75" i="11"/>
  <c r="Q67" i="11"/>
  <c r="L67" i="11"/>
  <c r="Q59" i="11"/>
  <c r="L59" i="11"/>
  <c r="Q51" i="11"/>
  <c r="L51" i="11"/>
  <c r="Q43" i="11"/>
  <c r="L43" i="11"/>
  <c r="Q35" i="11"/>
  <c r="L35" i="11"/>
  <c r="Q27" i="11"/>
  <c r="L27" i="11"/>
  <c r="O157" i="11"/>
  <c r="O93" i="11"/>
  <c r="O29" i="11"/>
  <c r="Q14" i="11"/>
  <c r="R193" i="11"/>
  <c r="R161" i="11"/>
  <c r="P63" i="11"/>
  <c r="J153" i="11"/>
  <c r="J89" i="11"/>
  <c r="L206" i="11"/>
  <c r="L195" i="11"/>
  <c r="L174" i="11"/>
  <c r="L163" i="11"/>
  <c r="L153" i="11"/>
  <c r="L134" i="11"/>
  <c r="L113" i="11"/>
  <c r="L93" i="11"/>
  <c r="L70" i="11"/>
  <c r="L49" i="11"/>
  <c r="L29" i="11"/>
  <c r="M205" i="11"/>
  <c r="M164" i="11"/>
  <c r="M141" i="11"/>
  <c r="M120" i="11"/>
  <c r="M100" i="11"/>
  <c r="M77" i="11"/>
  <c r="M56" i="11"/>
  <c r="M36" i="11"/>
  <c r="M13" i="11"/>
  <c r="Q205" i="11"/>
  <c r="L205" i="11"/>
  <c r="Q173" i="11"/>
  <c r="L173" i="11"/>
  <c r="Q141" i="11"/>
  <c r="L141" i="11"/>
  <c r="Q25" i="11"/>
  <c r="L25" i="11"/>
  <c r="Q13" i="11"/>
  <c r="L13" i="11"/>
  <c r="R172" i="11"/>
  <c r="M172" i="11"/>
  <c r="R160" i="11"/>
  <c r="M160" i="11"/>
  <c r="R148" i="11"/>
  <c r="M148" i="11"/>
  <c r="R96" i="11"/>
  <c r="M96" i="11"/>
  <c r="Q172" i="11"/>
  <c r="L172" i="11"/>
  <c r="Q164" i="11"/>
  <c r="L164" i="11"/>
  <c r="R179" i="11"/>
  <c r="M179" i="11"/>
  <c r="R171" i="11"/>
  <c r="M171" i="11"/>
  <c r="R163" i="11"/>
  <c r="M163" i="11"/>
  <c r="R155" i="11"/>
  <c r="M155" i="11"/>
  <c r="R127" i="11"/>
  <c r="M127" i="11"/>
  <c r="R99" i="11"/>
  <c r="M99" i="11"/>
  <c r="R87" i="11"/>
  <c r="M87" i="11"/>
  <c r="R67" i="11"/>
  <c r="M67" i="11"/>
  <c r="R55" i="11"/>
  <c r="M55" i="11"/>
  <c r="R15" i="11"/>
  <c r="M15" i="11"/>
  <c r="K191" i="11"/>
  <c r="P191" i="11"/>
  <c r="P123" i="11"/>
  <c r="K123" i="11"/>
  <c r="P91" i="11"/>
  <c r="K91" i="11"/>
  <c r="P59" i="11"/>
  <c r="K59" i="11"/>
  <c r="Q210" i="11"/>
  <c r="L210" i="11"/>
  <c r="Q198" i="11"/>
  <c r="L198" i="11"/>
  <c r="Q194" i="11"/>
  <c r="L194" i="11"/>
  <c r="Q182" i="11"/>
  <c r="L182" i="11"/>
  <c r="Q178" i="11"/>
  <c r="L178" i="11"/>
  <c r="Q166" i="11"/>
  <c r="L166" i="11"/>
  <c r="Q162" i="11"/>
  <c r="L162" i="11"/>
  <c r="Q150" i="11"/>
  <c r="L150" i="11"/>
  <c r="Q146" i="11"/>
  <c r="L146" i="11"/>
  <c r="Q142" i="11"/>
  <c r="L142" i="11"/>
  <c r="Q138" i="11"/>
  <c r="L138" i="11"/>
  <c r="Q130" i="11"/>
  <c r="L130" i="11"/>
  <c r="Q122" i="11"/>
  <c r="L122" i="11"/>
  <c r="Q118" i="11"/>
  <c r="L118" i="11"/>
  <c r="Q114" i="11"/>
  <c r="L114" i="11"/>
  <c r="Q110" i="11"/>
  <c r="L110" i="11"/>
  <c r="Q106" i="11"/>
  <c r="L106" i="11"/>
  <c r="Q98" i="11"/>
  <c r="L98" i="11"/>
  <c r="Q90" i="11"/>
  <c r="L90" i="11"/>
  <c r="Q86" i="11"/>
  <c r="L86" i="11"/>
  <c r="Q82" i="11"/>
  <c r="L82" i="11"/>
  <c r="Q78" i="11"/>
  <c r="L78" i="11"/>
  <c r="Q74" i="11"/>
  <c r="L74" i="11"/>
  <c r="Q66" i="11"/>
  <c r="L66" i="11"/>
  <c r="Q58" i="11"/>
  <c r="L58" i="11"/>
  <c r="Q54" i="11"/>
  <c r="L54" i="11"/>
  <c r="Q50" i="11"/>
  <c r="L50" i="11"/>
  <c r="Q46" i="11"/>
  <c r="L46" i="11"/>
  <c r="Q42" i="11"/>
  <c r="L42" i="11"/>
  <c r="Q34" i="11"/>
  <c r="L34" i="11"/>
  <c r="Q26" i="11"/>
  <c r="L26" i="11"/>
  <c r="Q22" i="11"/>
  <c r="L22" i="11"/>
  <c r="L18" i="11"/>
  <c r="Q18" i="11"/>
  <c r="R201" i="11"/>
  <c r="M201" i="11"/>
  <c r="R189" i="11"/>
  <c r="M189" i="11"/>
  <c r="R185" i="11"/>
  <c r="M185" i="11"/>
  <c r="R181" i="11"/>
  <c r="M181" i="11"/>
  <c r="R169" i="11"/>
  <c r="M169" i="11"/>
  <c r="R157" i="11"/>
  <c r="M157" i="11"/>
  <c r="M153" i="11"/>
  <c r="R153" i="11"/>
  <c r="R149" i="11"/>
  <c r="M149" i="11"/>
  <c r="M145" i="11"/>
  <c r="R145" i="11"/>
  <c r="R125" i="11"/>
  <c r="M125" i="11"/>
  <c r="R117" i="11"/>
  <c r="M117" i="11"/>
  <c r="M113" i="11"/>
  <c r="R113" i="11"/>
  <c r="M105" i="11"/>
  <c r="R105" i="11"/>
  <c r="R93" i="11"/>
  <c r="M93" i="11"/>
  <c r="R85" i="11"/>
  <c r="M85" i="11"/>
  <c r="M81" i="11"/>
  <c r="R81" i="11"/>
  <c r="M65" i="11"/>
  <c r="R65" i="11"/>
  <c r="R61" i="11"/>
  <c r="M61" i="11"/>
  <c r="R53" i="11"/>
  <c r="M53" i="11"/>
  <c r="M49" i="11"/>
  <c r="R49" i="11"/>
  <c r="R29" i="11"/>
  <c r="M29" i="11"/>
  <c r="M25" i="11"/>
  <c r="R25" i="11"/>
  <c r="R21" i="11"/>
  <c r="M21" i="11"/>
  <c r="M17" i="11"/>
  <c r="R17" i="11"/>
  <c r="O147" i="11"/>
  <c r="J147" i="11"/>
  <c r="O131" i="11"/>
  <c r="J131" i="11"/>
  <c r="O115" i="11"/>
  <c r="J115" i="11"/>
  <c r="O99" i="11"/>
  <c r="J99" i="11"/>
  <c r="O83" i="11"/>
  <c r="J83" i="11"/>
  <c r="O67" i="11"/>
  <c r="J67" i="11"/>
  <c r="O51" i="11"/>
  <c r="J51" i="11"/>
  <c r="O35" i="11"/>
  <c r="J35" i="11"/>
  <c r="O31" i="11"/>
  <c r="J31" i="11"/>
  <c r="O19" i="11"/>
  <c r="J19" i="11"/>
  <c r="O15" i="11"/>
  <c r="J15" i="11"/>
  <c r="O193" i="11"/>
  <c r="O173" i="11"/>
  <c r="O129" i="11"/>
  <c r="O109" i="11"/>
  <c r="O65" i="11"/>
  <c r="O45" i="11"/>
  <c r="R137" i="11"/>
  <c r="R89" i="11"/>
  <c r="R33" i="11"/>
  <c r="P187" i="11"/>
  <c r="P31" i="11"/>
  <c r="J201" i="11"/>
  <c r="J137" i="11"/>
  <c r="J123" i="11"/>
  <c r="J95" i="11"/>
  <c r="J87" i="11"/>
  <c r="J73" i="11"/>
  <c r="J59" i="11"/>
  <c r="J27" i="11"/>
  <c r="J17" i="11"/>
  <c r="L202" i="11"/>
  <c r="L191" i="11"/>
  <c r="L181" i="11"/>
  <c r="L170" i="11"/>
  <c r="L149" i="11"/>
  <c r="L126" i="11"/>
  <c r="L105" i="11"/>
  <c r="L85" i="11"/>
  <c r="L62" i="11"/>
  <c r="L41" i="11"/>
  <c r="L21" i="11"/>
  <c r="M197" i="11"/>
  <c r="M176" i="11"/>
  <c r="M156" i="11"/>
  <c r="M133" i="11"/>
  <c r="M112" i="11"/>
  <c r="M69" i="11"/>
  <c r="M48" i="11"/>
  <c r="R206" i="11"/>
  <c r="M206" i="11"/>
  <c r="R202" i="11"/>
  <c r="M202" i="11"/>
  <c r="R190" i="11"/>
  <c r="M190" i="11"/>
  <c r="R186" i="11"/>
  <c r="M186" i="11"/>
  <c r="R174" i="11"/>
  <c r="M174" i="11"/>
  <c r="R170" i="11"/>
  <c r="M170" i="11"/>
  <c r="R162" i="11"/>
  <c r="M162" i="11"/>
  <c r="R158" i="11"/>
  <c r="M158" i="11"/>
  <c r="R154" i="11"/>
  <c r="M154" i="11"/>
  <c r="R150" i="11"/>
  <c r="M150" i="11"/>
  <c r="R146" i="11"/>
  <c r="M146" i="11"/>
  <c r="R142" i="11"/>
  <c r="M142" i="11"/>
  <c r="R138" i="11"/>
  <c r="M138" i="11"/>
  <c r="R134" i="11"/>
  <c r="M134" i="11"/>
  <c r="R130" i="11"/>
  <c r="M130" i="11"/>
  <c r="R126" i="11"/>
  <c r="M126" i="11"/>
  <c r="R122" i="11"/>
  <c r="M122" i="11"/>
  <c r="R118" i="11"/>
  <c r="M118" i="11"/>
  <c r="R114" i="11"/>
  <c r="M114" i="11"/>
  <c r="R110" i="11"/>
  <c r="M110" i="11"/>
  <c r="R106" i="11"/>
  <c r="M106" i="11"/>
  <c r="R102" i="11"/>
  <c r="M102" i="11"/>
  <c r="R98" i="11"/>
  <c r="M98" i="11"/>
  <c r="R94" i="11"/>
  <c r="M94" i="11"/>
  <c r="R90" i="11"/>
  <c r="M90" i="11"/>
  <c r="R86" i="11"/>
  <c r="M86" i="11"/>
  <c r="R82" i="11"/>
  <c r="M82" i="11"/>
  <c r="R78" i="11"/>
  <c r="M78" i="11"/>
  <c r="R74" i="11"/>
  <c r="M74" i="11"/>
  <c r="R70" i="11"/>
  <c r="M70" i="11"/>
  <c r="R66" i="11"/>
  <c r="M66" i="11"/>
  <c r="R62" i="11"/>
  <c r="M62" i="11"/>
  <c r="R58" i="11"/>
  <c r="M58" i="11"/>
  <c r="R54" i="11"/>
  <c r="M54" i="11"/>
  <c r="R50" i="11"/>
  <c r="M50" i="11"/>
  <c r="R46" i="11"/>
  <c r="M46" i="11"/>
  <c r="R42" i="11"/>
  <c r="M42" i="11"/>
  <c r="R38" i="11"/>
  <c r="M38" i="11"/>
  <c r="R34" i="11"/>
  <c r="M34" i="11"/>
  <c r="R30" i="11"/>
  <c r="M30" i="11"/>
  <c r="R26" i="11"/>
  <c r="M26" i="11"/>
  <c r="R22" i="11"/>
  <c r="M22" i="11"/>
  <c r="R18" i="11"/>
  <c r="M18" i="11"/>
  <c r="R14" i="11"/>
  <c r="M14" i="11"/>
  <c r="Q19" i="11"/>
  <c r="R198" i="11"/>
  <c r="R178" i="11"/>
  <c r="J200" i="11"/>
  <c r="J184" i="11"/>
  <c r="J136" i="11"/>
  <c r="J24" i="11"/>
  <c r="P206" i="11"/>
  <c r="P198" i="11"/>
  <c r="P190" i="11"/>
  <c r="P182" i="11"/>
  <c r="P174" i="11"/>
  <c r="P166" i="11"/>
  <c r="P158" i="11"/>
  <c r="P150" i="11"/>
  <c r="P142" i="11"/>
  <c r="P134" i="11"/>
  <c r="P126" i="11"/>
  <c r="P118" i="11"/>
  <c r="P110" i="11"/>
  <c r="P106" i="11"/>
  <c r="P98" i="11"/>
  <c r="P90" i="11"/>
  <c r="P82" i="11"/>
  <c r="P74" i="11"/>
  <c r="P66" i="11"/>
  <c r="P58" i="11"/>
  <c r="P54" i="11"/>
  <c r="P46" i="11"/>
  <c r="P38" i="11"/>
  <c r="P34" i="11"/>
  <c r="P26" i="11"/>
  <c r="P18" i="11"/>
  <c r="P14" i="11"/>
  <c r="R44" i="11"/>
  <c r="N179" i="11"/>
  <c r="S179" i="11"/>
  <c r="N163" i="11"/>
  <c r="S163" i="11"/>
  <c r="P209" i="11"/>
  <c r="P201" i="11"/>
  <c r="P189" i="11"/>
  <c r="P181" i="11"/>
  <c r="P173" i="11"/>
  <c r="P165" i="11"/>
  <c r="P157" i="11"/>
  <c r="P149" i="11"/>
  <c r="P141" i="11"/>
  <c r="P133" i="11"/>
  <c r="P125" i="11"/>
  <c r="P113" i="11"/>
  <c r="P105" i="11"/>
  <c r="P97" i="11"/>
  <c r="P89" i="11"/>
  <c r="P81" i="11"/>
  <c r="P73" i="11"/>
  <c r="P65" i="11"/>
  <c r="P61" i="11"/>
  <c r="P53" i="11"/>
  <c r="P45" i="11"/>
  <c r="P37" i="11"/>
  <c r="P29" i="11"/>
  <c r="P25" i="11"/>
  <c r="P17" i="11"/>
  <c r="P13" i="11"/>
  <c r="Q24" i="11"/>
  <c r="R207" i="11"/>
  <c r="R167" i="11"/>
  <c r="R151" i="11"/>
  <c r="R139" i="11"/>
  <c r="R123" i="11"/>
  <c r="R91" i="11"/>
  <c r="R59" i="11"/>
  <c r="R27" i="11"/>
  <c r="O84" i="11"/>
  <c r="O52" i="11"/>
  <c r="O20" i="11"/>
  <c r="Q196" i="11"/>
  <c r="Q180" i="11"/>
  <c r="P208" i="11"/>
  <c r="P200" i="11"/>
  <c r="P192" i="11"/>
  <c r="P184" i="11"/>
  <c r="P176" i="11"/>
  <c r="P168" i="11"/>
  <c r="P164" i="11"/>
  <c r="P156" i="11"/>
  <c r="P148" i="11"/>
  <c r="P140" i="11"/>
  <c r="P132" i="11"/>
  <c r="P124" i="11"/>
  <c r="P116" i="11"/>
  <c r="P108" i="11"/>
  <c r="P100" i="11"/>
  <c r="P92" i="11"/>
  <c r="P84" i="11"/>
  <c r="P76" i="11"/>
  <c r="P72" i="11"/>
  <c r="P64" i="11"/>
  <c r="P56" i="11"/>
  <c r="P48" i="11"/>
  <c r="P40" i="11"/>
  <c r="P32" i="11"/>
  <c r="P24" i="11"/>
  <c r="P12" i="11"/>
  <c r="Q175" i="11"/>
  <c r="Q159" i="11"/>
  <c r="Q151" i="11"/>
  <c r="Q127" i="11"/>
  <c r="Q119" i="11"/>
  <c r="O203" i="11"/>
  <c r="O195" i="11"/>
  <c r="O187" i="11"/>
  <c r="O179" i="11"/>
  <c r="O171" i="11"/>
  <c r="O163" i="11"/>
  <c r="O155" i="11"/>
  <c r="Z4" i="11"/>
  <c r="Q209" i="11"/>
  <c r="Q201" i="11"/>
  <c r="Q193" i="11"/>
  <c r="Q185" i="11"/>
  <c r="R200" i="11"/>
  <c r="R168" i="11"/>
  <c r="P159" i="11"/>
  <c r="P210" i="11"/>
  <c r="P202" i="11"/>
  <c r="P194" i="11"/>
  <c r="P186" i="11"/>
  <c r="P178" i="11"/>
  <c r="P170" i="11"/>
  <c r="P162" i="11"/>
  <c r="P154" i="11"/>
  <c r="P146" i="11"/>
  <c r="P138" i="11"/>
  <c r="P130" i="11"/>
  <c r="P122" i="11"/>
  <c r="P114" i="11"/>
  <c r="P102" i="11"/>
  <c r="P94" i="11"/>
  <c r="P86" i="11"/>
  <c r="P78" i="11"/>
  <c r="P70" i="11"/>
  <c r="P62" i="11"/>
  <c r="P50" i="11"/>
  <c r="P42" i="11"/>
  <c r="P30" i="11"/>
  <c r="P22" i="11"/>
  <c r="R124" i="11"/>
  <c r="R92" i="11"/>
  <c r="R60" i="11"/>
  <c r="R28" i="11"/>
  <c r="R12" i="11"/>
  <c r="N195" i="11"/>
  <c r="S195" i="11"/>
  <c r="N147" i="11"/>
  <c r="S147" i="11"/>
  <c r="R184" i="11"/>
  <c r="P205" i="11"/>
  <c r="P197" i="11"/>
  <c r="P193" i="11"/>
  <c r="P185" i="11"/>
  <c r="P177" i="11"/>
  <c r="P169" i="11"/>
  <c r="P161" i="11"/>
  <c r="P153" i="11"/>
  <c r="P145" i="11"/>
  <c r="P137" i="11"/>
  <c r="P129" i="11"/>
  <c r="P121" i="11"/>
  <c r="P117" i="11"/>
  <c r="P109" i="11"/>
  <c r="P101" i="11"/>
  <c r="P93" i="11"/>
  <c r="P85" i="11"/>
  <c r="P77" i="11"/>
  <c r="P69" i="11"/>
  <c r="P57" i="11"/>
  <c r="P49" i="11"/>
  <c r="P41" i="11"/>
  <c r="P33" i="11"/>
  <c r="P21" i="11"/>
  <c r="Q16" i="11"/>
  <c r="R199" i="11"/>
  <c r="R191" i="11"/>
  <c r="R183" i="11"/>
  <c r="R175" i="11"/>
  <c r="R159" i="11"/>
  <c r="R107" i="11"/>
  <c r="R75" i="11"/>
  <c r="R43" i="11"/>
  <c r="O172" i="11"/>
  <c r="O156" i="11"/>
  <c r="O124" i="11"/>
  <c r="O44" i="11"/>
  <c r="O28" i="11"/>
  <c r="Q204" i="11"/>
  <c r="Q188" i="11"/>
  <c r="P204" i="11"/>
  <c r="P196" i="11"/>
  <c r="P188" i="11"/>
  <c r="P180" i="11"/>
  <c r="P172" i="11"/>
  <c r="P160" i="11"/>
  <c r="P152" i="11"/>
  <c r="P144" i="11"/>
  <c r="P136" i="11"/>
  <c r="P128" i="11"/>
  <c r="P120" i="11"/>
  <c r="P112" i="11"/>
  <c r="P104" i="11"/>
  <c r="P96" i="11"/>
  <c r="P88" i="11"/>
  <c r="P80" i="11"/>
  <c r="P68" i="11"/>
  <c r="P60" i="11"/>
  <c r="P52" i="11"/>
  <c r="P44" i="11"/>
  <c r="P36" i="11"/>
  <c r="P28" i="11"/>
  <c r="P20" i="11"/>
  <c r="P16" i="11"/>
  <c r="Q167" i="11"/>
  <c r="Q143" i="11"/>
  <c r="Q135" i="11"/>
  <c r="O207" i="11"/>
  <c r="O199" i="11"/>
  <c r="O191" i="11"/>
  <c r="O183" i="11"/>
  <c r="O175" i="11"/>
  <c r="O167" i="11"/>
  <c r="O159" i="11"/>
  <c r="O151" i="11"/>
  <c r="P207" i="11"/>
  <c r="P203" i="11"/>
  <c r="P199" i="11"/>
  <c r="P195" i="11"/>
  <c r="P183" i="11"/>
  <c r="P179" i="11"/>
  <c r="P175" i="11"/>
  <c r="P171" i="11"/>
  <c r="P167" i="11"/>
  <c r="P163" i="11"/>
  <c r="O192" i="11"/>
  <c r="O168" i="11"/>
  <c r="O152" i="11"/>
  <c r="O144" i="11"/>
  <c r="O120" i="11"/>
  <c r="O104" i="11"/>
  <c r="O88" i="11"/>
  <c r="O72" i="11"/>
  <c r="O56" i="11"/>
  <c r="O40" i="11"/>
  <c r="O16" i="11"/>
  <c r="Q208" i="11"/>
  <c r="Q200" i="11"/>
  <c r="Q192" i="11"/>
  <c r="Q184" i="11"/>
  <c r="Q176" i="11"/>
  <c r="Q168" i="11"/>
  <c r="Q160" i="11"/>
  <c r="Q152" i="11"/>
  <c r="Q144" i="11"/>
  <c r="Q136" i="11"/>
  <c r="Q128" i="11"/>
  <c r="Q120" i="11"/>
  <c r="Q112" i="11"/>
  <c r="Q104" i="11"/>
  <c r="Q96" i="11"/>
  <c r="Q88" i="11"/>
  <c r="Q80" i="11"/>
  <c r="Q72" i="11"/>
  <c r="Q64" i="11"/>
  <c r="Q56" i="11"/>
  <c r="Q48" i="11"/>
  <c r="Q40" i="11"/>
  <c r="Q32" i="11"/>
  <c r="R152" i="11"/>
  <c r="P155" i="11"/>
  <c r="Q111" i="11"/>
  <c r="Q103" i="11"/>
  <c r="Q95" i="11"/>
  <c r="Q87" i="11"/>
  <c r="Q79" i="11"/>
  <c r="Q71" i="11"/>
  <c r="Q63" i="11"/>
  <c r="Q55" i="11"/>
  <c r="Q47" i="11"/>
  <c r="Q39" i="11"/>
  <c r="Q31" i="11"/>
  <c r="S196" i="11"/>
  <c r="S164" i="11"/>
  <c r="P143" i="11"/>
  <c r="P111" i="11"/>
  <c r="P79" i="11"/>
  <c r="P47" i="11"/>
  <c r="P15" i="11"/>
  <c r="P151" i="11"/>
  <c r="P147" i="11"/>
  <c r="P135" i="11"/>
  <c r="P131" i="11"/>
  <c r="P119" i="11"/>
  <c r="P115" i="11"/>
  <c r="P103" i="11"/>
  <c r="P99" i="11"/>
  <c r="P87" i="11"/>
  <c r="P83" i="11"/>
  <c r="P71" i="11"/>
  <c r="P67" i="11"/>
  <c r="P55" i="11"/>
  <c r="P51" i="11"/>
  <c r="P39" i="11"/>
  <c r="P35" i="11"/>
  <c r="P23" i="11"/>
  <c r="P19" i="11"/>
  <c r="Q15" i="11"/>
  <c r="P139" i="11"/>
  <c r="P107" i="11"/>
  <c r="P75" i="11"/>
  <c r="P43" i="11"/>
  <c r="C4" i="11"/>
  <c r="N188" i="11"/>
  <c r="N180" i="11"/>
  <c r="N176" i="11"/>
  <c r="N172" i="11"/>
  <c r="N168" i="11"/>
  <c r="N160" i="11"/>
  <c r="N152" i="11"/>
  <c r="N144" i="11"/>
  <c r="N136" i="11"/>
  <c r="N128" i="11"/>
  <c r="N124" i="11"/>
  <c r="N116" i="11"/>
  <c r="N108" i="11"/>
  <c r="N100" i="11"/>
  <c r="N92" i="11"/>
  <c r="N88" i="11"/>
  <c r="N80" i="11"/>
  <c r="N72" i="11"/>
  <c r="N64" i="11"/>
  <c r="N56" i="11"/>
  <c r="N48" i="11"/>
  <c r="N40" i="11"/>
  <c r="N32" i="11"/>
  <c r="N24" i="11"/>
  <c r="N16" i="11"/>
  <c r="N208" i="11"/>
  <c r="N204" i="11"/>
  <c r="N200" i="11"/>
  <c r="N192" i="11"/>
  <c r="N184" i="11"/>
  <c r="N156" i="11"/>
  <c r="N148" i="11"/>
  <c r="N140" i="11"/>
  <c r="N132" i="11"/>
  <c r="N120" i="11"/>
  <c r="N112" i="11"/>
  <c r="N104" i="11"/>
  <c r="N96" i="11"/>
  <c r="N84" i="11"/>
  <c r="N76" i="11"/>
  <c r="N68" i="11"/>
  <c r="N60" i="11"/>
  <c r="N52" i="11"/>
  <c r="N44" i="11"/>
  <c r="N36" i="11"/>
  <c r="N28" i="11"/>
  <c r="N20" i="11"/>
  <c r="N12" i="11"/>
  <c r="N47" i="11"/>
  <c r="N31" i="11"/>
  <c r="N207" i="11"/>
  <c r="N203" i="11"/>
  <c r="N199" i="11"/>
  <c r="N191" i="11"/>
  <c r="N187" i="11"/>
  <c r="N183" i="11"/>
  <c r="N175" i="11"/>
  <c r="N171" i="11"/>
  <c r="N167" i="11"/>
  <c r="N159" i="11"/>
  <c r="N155" i="11"/>
  <c r="N151" i="11"/>
  <c r="N143" i="11"/>
  <c r="N139" i="11"/>
  <c r="N135" i="11"/>
  <c r="N131" i="11"/>
  <c r="N127" i="11"/>
  <c r="N123" i="11"/>
  <c r="N119" i="11"/>
  <c r="N115" i="11"/>
  <c r="N111" i="11"/>
  <c r="N107" i="11"/>
  <c r="N103" i="11"/>
  <c r="N99" i="11"/>
  <c r="N95" i="11"/>
  <c r="N91" i="11"/>
  <c r="N87" i="11"/>
  <c r="N83" i="11"/>
  <c r="N79" i="11"/>
  <c r="N75" i="11"/>
  <c r="N71" i="11"/>
  <c r="N67" i="11"/>
  <c r="N63" i="11"/>
  <c r="N59" i="11"/>
  <c r="N55" i="11"/>
  <c r="N51" i="11"/>
  <c r="N43" i="11"/>
  <c r="N39" i="11"/>
  <c r="N35" i="11"/>
  <c r="N27" i="11"/>
  <c r="N23" i="11"/>
  <c r="N19" i="11"/>
  <c r="N15" i="11"/>
  <c r="N210" i="11"/>
  <c r="N206" i="11"/>
  <c r="N202" i="11"/>
  <c r="N198" i="11"/>
  <c r="N194" i="11"/>
  <c r="N190" i="11"/>
  <c r="N186" i="11"/>
  <c r="N182" i="11"/>
  <c r="N178" i="11"/>
  <c r="N174" i="11"/>
  <c r="N170" i="11"/>
  <c r="N166" i="11"/>
  <c r="N162" i="11"/>
  <c r="N158" i="11"/>
  <c r="N154" i="11"/>
  <c r="N150" i="11"/>
  <c r="N146" i="11"/>
  <c r="N142" i="11"/>
  <c r="N138" i="11"/>
  <c r="N134" i="11"/>
  <c r="N130" i="11"/>
  <c r="N126" i="11"/>
  <c r="N122" i="11"/>
  <c r="N118" i="11"/>
  <c r="N114" i="11"/>
  <c r="N110" i="11"/>
  <c r="N106" i="11"/>
  <c r="N102" i="11"/>
  <c r="N98" i="11"/>
  <c r="N94" i="11"/>
  <c r="N90" i="11"/>
  <c r="N86" i="11"/>
  <c r="N82" i="11"/>
  <c r="N78" i="11"/>
  <c r="N74" i="11"/>
  <c r="N70" i="11"/>
  <c r="N66" i="11"/>
  <c r="N62" i="11"/>
  <c r="N58" i="11"/>
  <c r="N54" i="11"/>
  <c r="N50" i="11"/>
  <c r="N46" i="11"/>
  <c r="N42" i="11"/>
  <c r="N38" i="11"/>
  <c r="N34" i="11"/>
  <c r="N30" i="11"/>
  <c r="N26" i="11"/>
  <c r="N22" i="11"/>
  <c r="N18" i="11"/>
  <c r="N14" i="11"/>
  <c r="N209" i="11"/>
  <c r="N205" i="11"/>
  <c r="N201" i="11"/>
  <c r="N197" i="11"/>
  <c r="N193" i="11"/>
  <c r="N189" i="11"/>
  <c r="N185" i="11"/>
  <c r="N181" i="11"/>
  <c r="N177" i="11"/>
  <c r="N173" i="11"/>
  <c r="N169" i="11"/>
  <c r="N165" i="11"/>
  <c r="N161" i="11"/>
  <c r="N157" i="11"/>
  <c r="N153" i="11"/>
  <c r="N149" i="11"/>
  <c r="N145" i="11"/>
  <c r="N141" i="11"/>
  <c r="N137" i="11"/>
  <c r="N133" i="11"/>
  <c r="N129" i="11"/>
  <c r="N125" i="11"/>
  <c r="N121" i="11"/>
  <c r="N117" i="11"/>
  <c r="N113" i="11"/>
  <c r="N109" i="11"/>
  <c r="N105" i="11"/>
  <c r="N101" i="11"/>
  <c r="N97" i="11"/>
  <c r="N93" i="11"/>
  <c r="N89" i="11"/>
  <c r="N85" i="11"/>
  <c r="N81" i="11"/>
  <c r="N77" i="11"/>
  <c r="N73" i="11"/>
  <c r="N69" i="11"/>
  <c r="N65" i="11"/>
  <c r="N61" i="11"/>
  <c r="N57" i="11"/>
  <c r="N53" i="11"/>
  <c r="N49" i="11"/>
  <c r="N45" i="11"/>
  <c r="N41" i="11"/>
  <c r="N37" i="11"/>
  <c r="N33" i="11"/>
  <c r="N29" i="11"/>
  <c r="N25" i="11"/>
  <c r="N21" i="11"/>
  <c r="N17" i="11"/>
  <c r="N13" i="11"/>
  <c r="J9" i="10"/>
  <c r="J8" i="10"/>
  <c r="J6" i="10"/>
  <c r="J5" i="10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F4" i="3"/>
  <c r="F5" i="3"/>
  <c r="F6" i="3"/>
  <c r="F7" i="3"/>
  <c r="F8" i="3"/>
  <c r="F9" i="3"/>
  <c r="F10" i="3"/>
  <c r="F11" i="3"/>
  <c r="F12" i="3"/>
  <c r="H3" i="10"/>
  <c r="I3" i="10" s="1"/>
  <c r="H4" i="10"/>
  <c r="I4" i="10" s="1"/>
  <c r="E4" i="10"/>
  <c r="K12" i="1"/>
  <c r="AE4" i="11" a="1"/>
  <c r="AD4" i="11" a="1"/>
  <c r="AD4" i="11" s="1"/>
  <c r="U4" i="11" a="1"/>
  <c r="A4" i="11" l="1" a="1"/>
  <c r="B2" i="8" a="1"/>
  <c r="B2" i="8" s="1"/>
  <c r="W7" i="11"/>
  <c r="W6" i="11"/>
  <c r="W5" i="11"/>
  <c r="J4" i="10"/>
  <c r="J3" i="10"/>
  <c r="U4" i="11"/>
  <c r="W4" i="11" s="1"/>
  <c r="AE4" i="11"/>
  <c r="K4" i="7"/>
  <c r="E10" i="7"/>
  <c r="L5" i="7" s="1"/>
  <c r="E6" i="7"/>
  <c r="E20" i="7"/>
  <c r="E15" i="7"/>
  <c r="E16" i="7"/>
  <c r="AG4" i="7"/>
  <c r="AG5" i="7"/>
  <c r="AG6" i="7"/>
  <c r="AG7" i="7"/>
  <c r="A4" i="11" l="1"/>
  <c r="E5" i="11"/>
  <c r="F11" i="11"/>
  <c r="I7" i="11"/>
  <c r="N7" i="11" s="1"/>
  <c r="S7" i="11" s="1"/>
  <c r="H9" i="11"/>
  <c r="G10" i="11"/>
  <c r="G9" i="11"/>
  <c r="F9" i="11"/>
  <c r="H11" i="11"/>
  <c r="I10" i="11"/>
  <c r="N10" i="11" s="1"/>
  <c r="S10" i="11" s="1"/>
  <c r="G7" i="11"/>
  <c r="E7" i="11"/>
  <c r="I11" i="11"/>
  <c r="H8" i="11"/>
  <c r="H5" i="11"/>
  <c r="I8" i="11"/>
  <c r="N8" i="11" s="1"/>
  <c r="S8" i="11" s="1"/>
  <c r="F5" i="11"/>
  <c r="H7" i="11"/>
  <c r="I6" i="11"/>
  <c r="N6" i="11" s="1"/>
  <c r="S6" i="11" s="1"/>
  <c r="H10" i="11"/>
  <c r="I9" i="11"/>
  <c r="N9" i="11" s="1"/>
  <c r="S9" i="11" s="1"/>
  <c r="F6" i="11"/>
  <c r="E10" i="11"/>
  <c r="E6" i="11"/>
  <c r="G8" i="11"/>
  <c r="E8" i="11"/>
  <c r="H6" i="11"/>
  <c r="I5" i="11"/>
  <c r="N5" i="11" s="1"/>
  <c r="S5" i="11" s="1"/>
  <c r="F7" i="11"/>
  <c r="E9" i="11"/>
  <c r="G5" i="11"/>
  <c r="F10" i="11"/>
  <c r="G6" i="11"/>
  <c r="F8" i="11"/>
  <c r="G11" i="11"/>
  <c r="E11" i="11"/>
  <c r="E5" i="7"/>
  <c r="L4" i="7" s="1"/>
  <c r="E21" i="7"/>
  <c r="L7" i="7" s="1"/>
  <c r="Y5" i="7" s="1"/>
  <c r="Z5" i="7" s="1"/>
  <c r="AA5" i="7" s="1"/>
  <c r="L6" i="7"/>
  <c r="AF4" i="7"/>
  <c r="K5" i="7"/>
  <c r="AF5" i="7"/>
  <c r="K6" i="7"/>
  <c r="AF6" i="7"/>
  <c r="K7" i="7"/>
  <c r="AF7" i="7"/>
  <c r="A4" i="6" a="1"/>
  <c r="A4" i="6" s="1"/>
  <c r="B4" i="6" s="1"/>
  <c r="E3" i="5" a="1"/>
  <c r="E3" i="5" s="1"/>
  <c r="C5" i="7"/>
  <c r="K8" i="11" l="1"/>
  <c r="P8" i="11" s="1"/>
  <c r="J9" i="11"/>
  <c r="O9" i="11" s="1"/>
  <c r="J8" i="11"/>
  <c r="O8" i="11" s="1"/>
  <c r="K6" i="11"/>
  <c r="P6" i="11" s="1"/>
  <c r="M7" i="11"/>
  <c r="R7" i="11" s="1"/>
  <c r="M8" i="11"/>
  <c r="R8" i="11" s="1"/>
  <c r="O11" i="11"/>
  <c r="J11" i="11"/>
  <c r="K10" i="11"/>
  <c r="P10" i="11" s="1"/>
  <c r="J6" i="11"/>
  <c r="O6" i="11" s="1"/>
  <c r="M10" i="11"/>
  <c r="R10" i="11" s="1"/>
  <c r="J7" i="11"/>
  <c r="O7" i="11" s="1"/>
  <c r="K9" i="11"/>
  <c r="P9" i="11" s="1"/>
  <c r="Q11" i="11"/>
  <c r="L11" i="11"/>
  <c r="L5" i="11"/>
  <c r="Q5" i="11" s="1"/>
  <c r="M6" i="11"/>
  <c r="R6" i="11" s="1"/>
  <c r="J10" i="11"/>
  <c r="O10" i="11" s="1"/>
  <c r="M5" i="11"/>
  <c r="R5" i="11" s="1"/>
  <c r="L7" i="11"/>
  <c r="Q7" i="11" s="1"/>
  <c r="L9" i="11"/>
  <c r="Q9" i="11" s="1"/>
  <c r="K11" i="11"/>
  <c r="P11" i="11"/>
  <c r="L10" i="11"/>
  <c r="Q10" i="11" s="1"/>
  <c r="J5" i="11"/>
  <c r="O5" i="11" s="1"/>
  <c r="L6" i="11"/>
  <c r="Q6" i="11" s="1"/>
  <c r="K7" i="11"/>
  <c r="P7" i="11" s="1"/>
  <c r="L8" i="11"/>
  <c r="Q8" i="11" s="1"/>
  <c r="K5" i="11"/>
  <c r="P5" i="11" s="1"/>
  <c r="S11" i="11"/>
  <c r="N11" i="11"/>
  <c r="R11" i="11"/>
  <c r="M11" i="11"/>
  <c r="M9" i="11"/>
  <c r="R9" i="11" s="1"/>
  <c r="E4" i="11"/>
  <c r="G4" i="11"/>
  <c r="H4" i="11"/>
  <c r="F4" i="11"/>
  <c r="I4" i="11"/>
  <c r="N4" i="11" s="1"/>
  <c r="S4" i="11" s="1"/>
  <c r="Y4" i="7"/>
  <c r="Z4" i="7" s="1"/>
  <c r="W5" i="7"/>
  <c r="W4" i="7"/>
  <c r="AF7" i="11"/>
  <c r="AG7" i="11" s="1"/>
  <c r="AF5" i="11"/>
  <c r="AG5" i="11" s="1"/>
  <c r="AF6" i="11"/>
  <c r="AG6" i="11" s="1"/>
  <c r="C15" i="7"/>
  <c r="C6" i="7"/>
  <c r="C16" i="7"/>
  <c r="C10" i="7"/>
  <c r="C20" i="7"/>
  <c r="J5" i="7" l="1"/>
  <c r="AA4" i="11"/>
  <c r="H2" i="8" a="1"/>
  <c r="H2" i="8" s="1"/>
  <c r="J4" i="11"/>
  <c r="O4" i="11" s="1"/>
  <c r="AA7" i="11"/>
  <c r="AA5" i="11"/>
  <c r="M4" i="11"/>
  <c r="R4" i="11" s="1"/>
  <c r="G2" i="8" s="1" a="1"/>
  <c r="G2" i="8" s="1"/>
  <c r="L4" i="11"/>
  <c r="Q4" i="11" s="1"/>
  <c r="F2" i="8" s="1" a="1"/>
  <c r="F2" i="8" s="1"/>
  <c r="AA6" i="11"/>
  <c r="K4" i="11"/>
  <c r="P4" i="11" s="1"/>
  <c r="E2" i="8" s="1" a="1"/>
  <c r="E2" i="8" s="1"/>
  <c r="AA4" i="7"/>
  <c r="AF4" i="11"/>
  <c r="AG4" i="11" s="1"/>
  <c r="J6" i="7"/>
  <c r="J4" i="7"/>
  <c r="F19" i="1"/>
  <c r="G19" i="1"/>
  <c r="J19" i="1"/>
  <c r="K19" i="1"/>
  <c r="C21" i="7"/>
  <c r="J7" i="7" l="1"/>
  <c r="D2" i="8" a="1"/>
  <c r="D2" i="8" s="1"/>
  <c r="AC7" i="11"/>
  <c r="AB7" i="11" s="1"/>
  <c r="AC5" i="11"/>
  <c r="AB5" i="11" s="1"/>
  <c r="AC4" i="11"/>
  <c r="AB4" i="11" s="1"/>
  <c r="AC6" i="11"/>
  <c r="AB6" i="11" s="1"/>
  <c r="V4" i="11" a="1"/>
  <c r="X4" i="7"/>
  <c r="X5" i="7"/>
  <c r="H19" i="1"/>
  <c r="I19" i="1" s="1"/>
  <c r="F18" i="1"/>
  <c r="G18" i="1"/>
  <c r="J18" i="1"/>
  <c r="K18" i="1"/>
  <c r="V4" i="11" l="1"/>
  <c r="X4" i="11" s="1"/>
  <c r="H18" i="1"/>
  <c r="I18" i="1" s="1"/>
  <c r="K3" i="1"/>
  <c r="K4" i="1"/>
  <c r="K5" i="1"/>
  <c r="K6" i="1"/>
  <c r="K7" i="1"/>
  <c r="K8" i="1"/>
  <c r="K9" i="1"/>
  <c r="K10" i="1"/>
  <c r="K11" i="1"/>
  <c r="K13" i="1"/>
  <c r="K14" i="1"/>
  <c r="K15" i="1"/>
  <c r="K16" i="1"/>
  <c r="K17" i="1"/>
  <c r="G3" i="1"/>
  <c r="F14" i="1"/>
  <c r="F15" i="1"/>
  <c r="F16" i="1"/>
  <c r="F17" i="1"/>
  <c r="G14" i="1"/>
  <c r="G15" i="1"/>
  <c r="G16" i="1"/>
  <c r="G17" i="1"/>
  <c r="H17" i="1" s="1"/>
  <c r="I17" i="1" s="1"/>
  <c r="J14" i="1"/>
  <c r="J15" i="1"/>
  <c r="J16" i="1"/>
  <c r="J17" i="1"/>
  <c r="J3" i="1"/>
  <c r="J4" i="1"/>
  <c r="J5" i="1"/>
  <c r="J6" i="1"/>
  <c r="J7" i="1"/>
  <c r="J8" i="1"/>
  <c r="J9" i="1"/>
  <c r="J10" i="1"/>
  <c r="J11" i="1"/>
  <c r="J12" i="1"/>
  <c r="J13" i="1"/>
  <c r="G4" i="1"/>
  <c r="G5" i="1"/>
  <c r="G6" i="1"/>
  <c r="G7" i="1"/>
  <c r="G8" i="1"/>
  <c r="G9" i="1"/>
  <c r="G10" i="1"/>
  <c r="G11" i="1"/>
  <c r="G12" i="1"/>
  <c r="G13" i="1"/>
  <c r="F3" i="1"/>
  <c r="F4" i="1"/>
  <c r="F5" i="1"/>
  <c r="F6" i="1"/>
  <c r="F7" i="1"/>
  <c r="F8" i="1"/>
  <c r="F9" i="1"/>
  <c r="F10" i="1"/>
  <c r="F11" i="1"/>
  <c r="F12" i="1"/>
  <c r="F13" i="1"/>
  <c r="U3" i="1" l="1"/>
  <c r="V3" i="1"/>
  <c r="F3" i="5" s="1"/>
  <c r="V4" i="1"/>
  <c r="P3" i="1"/>
  <c r="Q3" i="1" s="1"/>
  <c r="S4" i="1"/>
  <c r="P4" i="1"/>
  <c r="Q4" i="1" s="1"/>
  <c r="U4" i="1"/>
  <c r="R3" i="1"/>
  <c r="T4" i="1"/>
  <c r="R4" i="1"/>
  <c r="H3" i="1"/>
  <c r="I3" i="1" s="1"/>
  <c r="T3" i="1" s="1"/>
  <c r="H10" i="1"/>
  <c r="I10" i="1" s="1"/>
  <c r="H16" i="1"/>
  <c r="I16" i="1" s="1"/>
  <c r="H4" i="1"/>
  <c r="I4" i="1" s="1"/>
  <c r="H6" i="1"/>
  <c r="I6" i="1" s="1"/>
  <c r="H11" i="1"/>
  <c r="I11" i="1" s="1"/>
  <c r="H8" i="1"/>
  <c r="I8" i="1" s="1"/>
  <c r="H7" i="1"/>
  <c r="I7" i="1" s="1"/>
  <c r="H5" i="1"/>
  <c r="I5" i="1" s="1"/>
  <c r="H15" i="1"/>
  <c r="I15" i="1" s="1"/>
  <c r="H14" i="1"/>
  <c r="I14" i="1" s="1"/>
  <c r="H9" i="1"/>
  <c r="I9" i="1" s="1"/>
  <c r="H13" i="1"/>
  <c r="I13" i="1" s="1"/>
  <c r="H12" i="1"/>
  <c r="I12" i="1" s="1"/>
  <c r="S3" i="1" l="1"/>
  <c r="A12" i="6"/>
  <c r="B12" i="6" s="1"/>
  <c r="A11" i="6"/>
  <c r="B11" i="6" s="1"/>
  <c r="A10" i="6"/>
  <c r="B10" i="6" s="1"/>
  <c r="A9" i="6"/>
  <c r="B9" i="6" s="1"/>
  <c r="A8" i="6"/>
  <c r="B8" i="6" s="1"/>
  <c r="A7" i="6"/>
  <c r="B7" i="6" s="1"/>
  <c r="A6" i="6"/>
  <c r="B6" i="6" s="1"/>
  <c r="A5" i="6"/>
  <c r="B5" i="6" s="1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C8" i="8"/>
  <c r="C7" i="8"/>
  <c r="C6" i="8"/>
  <c r="C5" i="8"/>
  <c r="C4" i="8"/>
  <c r="C3" i="8"/>
  <c r="B8" i="8"/>
  <c r="B7" i="8"/>
  <c r="B6" i="8"/>
  <c r="B5" i="8"/>
  <c r="B4" i="8"/>
  <c r="B3" i="8"/>
  <c r="AE7" i="11"/>
  <c r="AE6" i="11"/>
  <c r="AE5" i="11"/>
  <c r="AD7" i="11"/>
  <c r="AD6" i="11"/>
  <c r="AD5" i="11"/>
  <c r="Z7" i="11"/>
  <c r="Z6" i="11"/>
  <c r="Z5" i="11"/>
  <c r="V7" i="11"/>
  <c r="X7" i="11" s="1"/>
  <c r="V6" i="11"/>
  <c r="X6" i="11" s="1"/>
  <c r="V5" i="11"/>
  <c r="X5" i="11" s="1"/>
  <c r="U7" i="11"/>
  <c r="U6" i="11"/>
  <c r="U5" i="11"/>
  <c r="D10" i="11"/>
  <c r="D9" i="11"/>
  <c r="D8" i="11"/>
  <c r="D7" i="11"/>
  <c r="D6" i="11"/>
  <c r="D5" i="11"/>
  <c r="C10" i="11"/>
  <c r="C9" i="11"/>
  <c r="C8" i="11"/>
  <c r="C7" i="11"/>
  <c r="C6" i="11"/>
  <c r="C5" i="11"/>
  <c r="B10" i="11"/>
  <c r="B9" i="11"/>
  <c r="B8" i="11"/>
  <c r="B7" i="11"/>
  <c r="B6" i="11"/>
  <c r="B5" i="11"/>
  <c r="A10" i="11"/>
  <c r="A9" i="11"/>
  <c r="A8" i="11"/>
  <c r="A7" i="11"/>
  <c r="A6" i="11"/>
  <c r="A5" i="11"/>
</calcChain>
</file>

<file path=xl/comments1.xml><?xml version="1.0" encoding="utf-8"?>
<comments xmlns="http://schemas.openxmlformats.org/spreadsheetml/2006/main">
  <authors>
    <author>Ruben.cantos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>Precio sin IVA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<sst xmlns="http://schemas.openxmlformats.org/spreadsheetml/2006/main" count="353" uniqueCount="153">
  <si>
    <t>Materiales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</si>
  <si>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</si>
  <si>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</si>
  <si>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</si>
  <si>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</si>
  <si>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</si>
  <si>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</si>
  <si>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</si>
  <si>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</si>
  <si>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</si>
  <si>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Fecha</t>
  </si>
  <si>
    <t>Factura</t>
  </si>
  <si>
    <t>Precio ud</t>
  </si>
  <si>
    <t>Uds</t>
  </si>
  <si>
    <t>IVA</t>
  </si>
  <si>
    <t>Tipo IVA</t>
  </si>
  <si>
    <t>Precio neto</t>
  </si>
  <si>
    <t>Base imponible</t>
  </si>
  <si>
    <t>Proveedor</t>
  </si>
  <si>
    <t>Proveedores</t>
  </si>
  <si>
    <t>Tipos IVA</t>
  </si>
  <si>
    <t>PROV1</t>
  </si>
  <si>
    <t>PROV2</t>
  </si>
  <si>
    <t>PROV3</t>
  </si>
  <si>
    <t>LISTADO DE MATERIALES</t>
  </si>
  <si>
    <t>Etiquetas de fila</t>
  </si>
  <si>
    <t>Total general</t>
  </si>
  <si>
    <t>Suma de Base imponible</t>
  </si>
  <si>
    <t>Suma de IVA</t>
  </si>
  <si>
    <t>Suma de Precio neto</t>
  </si>
  <si>
    <t>Promedio de Tipo IVA</t>
  </si>
  <si>
    <t>ID_Compra</t>
  </si>
  <si>
    <t>Informe de IVA Soportado en las compras</t>
  </si>
  <si>
    <t>Registro de compras</t>
  </si>
  <si>
    <t>Material</t>
  </si>
  <si>
    <t>Uds en almacen</t>
  </si>
  <si>
    <t xml:space="preserve">Material </t>
  </si>
  <si>
    <t>Fecha consum</t>
  </si>
  <si>
    <t>Uds consum</t>
  </si>
  <si>
    <t>Materiales disponibles</t>
  </si>
  <si>
    <t>Registro de materiales consumidos</t>
  </si>
  <si>
    <t>Disponibilidad</t>
  </si>
  <si>
    <t>Listado de materiales y disponibilidad</t>
  </si>
  <si>
    <t>Minutos</t>
  </si>
  <si>
    <t>% necesario</t>
  </si>
  <si>
    <t>Receta4:</t>
  </si>
  <si>
    <t>Receta3:</t>
  </si>
  <si>
    <t>Receta2:</t>
  </si>
  <si>
    <t>MAQ4</t>
  </si>
  <si>
    <t>Receta4</t>
  </si>
  <si>
    <t>COMP4</t>
  </si>
  <si>
    <t>MAQ3</t>
  </si>
  <si>
    <t>Receta3</t>
  </si>
  <si>
    <t>COMP3</t>
  </si>
  <si>
    <t>MAQ2</t>
  </si>
  <si>
    <t>COMP2</t>
  </si>
  <si>
    <t>PROD2</t>
  </si>
  <si>
    <t>Receta2</t>
  </si>
  <si>
    <t>MAQ1</t>
  </si>
  <si>
    <t>COMP1</t>
  </si>
  <si>
    <t>PROD1</t>
  </si>
  <si>
    <t>Receta1</t>
  </si>
  <si>
    <t>Receta1:</t>
  </si>
  <si>
    <t>Jornada(min)</t>
  </si>
  <si>
    <t>Jornada(h)</t>
  </si>
  <si>
    <t>Maquina</t>
  </si>
  <si>
    <t>Capacidad</t>
  </si>
  <si>
    <t>Mins totales</t>
  </si>
  <si>
    <t>Comp5</t>
  </si>
  <si>
    <t>Comp4</t>
  </si>
  <si>
    <t>Comp3</t>
  </si>
  <si>
    <t>Comp2</t>
  </si>
  <si>
    <t>Comp1</t>
  </si>
  <si>
    <t>Productos</t>
  </si>
  <si>
    <t>Tiempo prod</t>
  </si>
  <si>
    <t>Receta</t>
  </si>
  <si>
    <t>Componente</t>
  </si>
  <si>
    <t>Pendiente</t>
  </si>
  <si>
    <t>Asignado</t>
  </si>
  <si>
    <t>LISTADO DE COMPRAS</t>
  </si>
  <si>
    <t>Equipamiento</t>
  </si>
  <si>
    <t>Precio kwh</t>
  </si>
  <si>
    <t>Gasto luz/mes</t>
  </si>
  <si>
    <t>Coste unit medio</t>
  </si>
  <si>
    <t>Coste unit comp</t>
  </si>
  <si>
    <t>Coste unit prod</t>
  </si>
  <si>
    <t>Precio</t>
  </si>
  <si>
    <t>Beneficio</t>
  </si>
  <si>
    <t>Bº/min</t>
  </si>
  <si>
    <t>Recetas</t>
  </si>
  <si>
    <t>Componentes</t>
  </si>
  <si>
    <t>Maquinas</t>
  </si>
  <si>
    <t>Registro de pedidos</t>
  </si>
  <si>
    <t>Gráfico sobre disponibilidad y asignacion de componentes</t>
  </si>
  <si>
    <t>Gráfico sobre tiempo de uso de las máquinas</t>
  </si>
  <si>
    <t>Cliente</t>
  </si>
  <si>
    <t>Producto</t>
  </si>
  <si>
    <t>Cobrado</t>
  </si>
  <si>
    <t>Montes</t>
  </si>
  <si>
    <t>Fecha entrega estimada</t>
  </si>
  <si>
    <t>Si/NO</t>
  </si>
  <si>
    <t>Si</t>
  </si>
  <si>
    <t>No</t>
  </si>
  <si>
    <t>Precio total</t>
  </si>
  <si>
    <t>ID_Pedido</t>
  </si>
  <si>
    <t>Pedidos</t>
  </si>
  <si>
    <t>Oscar</t>
  </si>
  <si>
    <t>Cantidad</t>
  </si>
  <si>
    <t>Hecho</t>
  </si>
  <si>
    <t>Devoluciones</t>
  </si>
  <si>
    <t>CO_2</t>
  </si>
  <si>
    <t>Fecha devolucion</t>
  </si>
  <si>
    <t>Fecha compra</t>
  </si>
  <si>
    <t>LISTA DE PROVEEDORES</t>
  </si>
  <si>
    <t>Uds devueltas</t>
  </si>
  <si>
    <t>Base imponible2</t>
  </si>
  <si>
    <t>Informe de modificaciones de IVA Soportado por devoluciones</t>
  </si>
  <si>
    <t>CO_18</t>
  </si>
  <si>
    <t>Suma de Base imponible2</t>
  </si>
  <si>
    <t>X</t>
  </si>
  <si>
    <t>La X</t>
  </si>
  <si>
    <t>Rovi</t>
  </si>
  <si>
    <t>Aso</t>
  </si>
  <si>
    <t>PD_1</t>
  </si>
  <si>
    <t>PD_3</t>
  </si>
  <si>
    <t>PD_2</t>
  </si>
  <si>
    <t>Asignadas a la máquina</t>
  </si>
  <si>
    <t>Pendientes de asignar</t>
  </si>
  <si>
    <t>Asign1</t>
  </si>
  <si>
    <t>Asign2</t>
  </si>
  <si>
    <t>Asign3</t>
  </si>
  <si>
    <t>Asign4</t>
  </si>
  <si>
    <t>Asign5</t>
  </si>
  <si>
    <t>Pend1</t>
  </si>
  <si>
    <t>Pend2</t>
  </si>
  <si>
    <t>Pend3</t>
  </si>
  <si>
    <t>Pend4</t>
  </si>
  <si>
    <t>Pend5</t>
  </si>
  <si>
    <t>Asignacion de componentes pedidos</t>
  </si>
  <si>
    <t>Lista de componentes pedidos pendientes de asignar</t>
  </si>
  <si>
    <t>PD_5</t>
  </si>
  <si>
    <t>PD_6</t>
  </si>
  <si>
    <t>PD_7</t>
  </si>
  <si>
    <t>PD_4</t>
  </si>
  <si>
    <t>Encargado</t>
  </si>
  <si>
    <t>Suma de Precio total</t>
  </si>
  <si>
    <t>Suma de Precio</t>
  </si>
  <si>
    <t>Fecha cobro</t>
  </si>
  <si>
    <t>Informe de IVA Repercutido en las ventas</t>
  </si>
  <si>
    <t>FILLAMENTUM</t>
  </si>
  <si>
    <t>AMAZON</t>
  </si>
  <si>
    <t>eSUN</t>
  </si>
  <si>
    <t>SMARTFIL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</si>
</sst>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€&quot;_-;\-* #,##0.00\ &quot;€&quot;_-;_-* &quot;-&quot;??\ &quot;€&quot;_-;_-@_-"/>
    <numFmt numFmtId="165" formatCode="_-* #,##0.0000\ &quot;€&quot;_-;\-* #,##0.000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theme="4"/>
      </patternFill>
    </fill>
    <fill>
      <patternFill patternType="solid">
        <fgColor theme="9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0" fontId="4" fillId="0" borderId="0" xfId="0" applyFont="1"/>
    <xf numFmtId="14" fontId="0" fillId="0" borderId="0" xfId="0" applyNumberFormat="1"/>
    <xf numFmtId="9" fontId="0" fillId="0" borderId="0" xfId="0" applyNumberFormat="1"/>
    <xf numFmtId="0" fontId="0" fillId="2" borderId="0" xfId="0" applyFill="1"/>
    <xf numFmtId="9" fontId="0" fillId="2" borderId="0" xfId="2" applyFont="1" applyFill="1"/>
    <xf numFmtId="164" fontId="0" fillId="2" borderId="0" xfId="1" applyFont="1" applyFill="1"/>
    <xf numFmtId="164" fontId="0" fillId="2" borderId="0" xfId="0" applyNumberFormat="1" applyFill="1"/>
    <xf numFmtId="0" fontId="0" fillId="3" borderId="0" xfId="0" applyFill="1"/>
    <xf numFmtId="164" fontId="0" fillId="2" borderId="0" xfId="1" applyNumberFormat="1" applyFont="1" applyFill="1"/>
    <xf numFmtId="9" fontId="0" fillId="2" borderId="0" xfId="2" applyNumberFormat="1" applyFont="1" applyFill="1"/>
    <xf numFmtId="0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0" borderId="0" xfId="0" applyProtection="1">
      <protection locked="0"/>
    </xf>
    <xf numFmtId="0" fontId="0" fillId="7" borderId="0" xfId="0" applyFill="1"/>
    <xf numFmtId="0" fontId="0" fillId="8" borderId="0" xfId="0" applyFill="1"/>
    <xf numFmtId="9" fontId="0" fillId="8" borderId="0" xfId="0" applyNumberFormat="1" applyFill="1"/>
    <xf numFmtId="14" fontId="0" fillId="8" borderId="0" xfId="0" applyNumberFormat="1" applyFill="1"/>
    <xf numFmtId="164" fontId="0" fillId="8" borderId="0" xfId="1" applyFont="1" applyFill="1"/>
    <xf numFmtId="0" fontId="0" fillId="0" borderId="0" xfId="0" applyFill="1"/>
    <xf numFmtId="0" fontId="0" fillId="9" borderId="0" xfId="0" applyFill="1"/>
    <xf numFmtId="0" fontId="7" fillId="10" borderId="0" xfId="0" applyFont="1" applyFill="1" applyAlignment="1">
      <alignment vertical="center"/>
    </xf>
    <xf numFmtId="0" fontId="7" fillId="10" borderId="0" xfId="0" applyFont="1" applyFill="1"/>
    <xf numFmtId="0" fontId="0" fillId="8" borderId="0" xfId="0" applyFill="1" applyProtection="1">
      <protection locked="0"/>
    </xf>
    <xf numFmtId="0" fontId="4" fillId="0" borderId="0" xfId="0" applyFont="1" applyAlignment="1">
      <alignment horizontal="center"/>
    </xf>
    <xf numFmtId="164" fontId="0" fillId="9" borderId="0" xfId="1" applyFont="1" applyFill="1"/>
    <xf numFmtId="164" fontId="0" fillId="0" borderId="0" xfId="0" applyNumberFormat="1"/>
    <xf numFmtId="164" fontId="0" fillId="5" borderId="0" xfId="0" applyNumberFormat="1" applyFill="1"/>
    <xf numFmtId="164" fontId="0" fillId="12" borderId="0" xfId="1" applyFont="1" applyFill="1"/>
    <xf numFmtId="0" fontId="0" fillId="13" borderId="0" xfId="0" applyFill="1"/>
    <xf numFmtId="165" fontId="0" fillId="12" borderId="0" xfId="1" applyNumberFormat="1" applyFont="1" applyFill="1"/>
    <xf numFmtId="0" fontId="7" fillId="11" borderId="0" xfId="0" applyFont="1" applyFill="1" applyAlignment="1">
      <alignment vertical="center"/>
    </xf>
    <xf numFmtId="0" fontId="7" fillId="11" borderId="0" xfId="0" applyFont="1" applyFill="1"/>
    <xf numFmtId="0" fontId="7" fillId="14" borderId="0" xfId="0" applyFont="1" applyFill="1"/>
    <xf numFmtId="0" fontId="7" fillId="4" borderId="0" xfId="0" applyFont="1" applyFill="1" applyAlignment="1">
      <alignment vertical="center"/>
    </xf>
    <xf numFmtId="0" fontId="7" fillId="4" borderId="0" xfId="0" applyFont="1" applyFill="1"/>
    <xf numFmtId="0" fontId="7" fillId="15" borderId="0" xfId="0" applyFont="1" applyFill="1" applyAlignment="1">
      <alignment vertical="center"/>
    </xf>
    <xf numFmtId="0" fontId="7" fillId="15" borderId="0" xfId="0" applyFont="1" applyFill="1"/>
    <xf numFmtId="0" fontId="5" fillId="17" borderId="0" xfId="0" applyFont="1" applyFill="1"/>
    <xf numFmtId="0" fontId="0" fillId="17" borderId="0" xfId="0" applyFill="1"/>
    <xf numFmtId="0" fontId="5" fillId="17" borderId="0" xfId="0" applyFont="1" applyFill="1" applyAlignment="1">
      <alignment horizontal="center"/>
    </xf>
    <xf numFmtId="0" fontId="9" fillId="17" borderId="3" xfId="0" applyFont="1" applyFill="1" applyBorder="1"/>
    <xf numFmtId="0" fontId="9" fillId="17" borderId="4" xfId="0" applyFont="1" applyFill="1" applyBorder="1"/>
    <xf numFmtId="0" fontId="5" fillId="17" borderId="3" xfId="0" applyFont="1" applyFill="1" applyBorder="1"/>
    <xf numFmtId="0" fontId="5" fillId="17" borderId="4" xfId="0" applyFont="1" applyFill="1" applyBorder="1"/>
    <xf numFmtId="0" fontId="5" fillId="17" borderId="1" xfId="0" applyFont="1" applyFill="1" applyBorder="1"/>
    <xf numFmtId="0" fontId="5" fillId="17" borderId="2" xfId="0" applyFont="1" applyFill="1" applyBorder="1"/>
    <xf numFmtId="9" fontId="0" fillId="8" borderId="0" xfId="1" applyNumberFormat="1" applyFont="1" applyFill="1"/>
    <xf numFmtId="164" fontId="0" fillId="18" borderId="0" xfId="1" applyFont="1" applyFill="1"/>
    <xf numFmtId="0" fontId="0" fillId="0" borderId="0" xfId="0" applyNumberFormat="1" applyFill="1" applyProtection="1">
      <protection locked="0"/>
    </xf>
    <xf numFmtId="0" fontId="0" fillId="7" borderId="0" xfId="0" applyNumberFormat="1" applyFill="1"/>
    <xf numFmtId="0" fontId="0" fillId="0" borderId="0" xfId="0" applyFill="1" applyProtection="1">
      <protection locked="0"/>
    </xf>
    <xf numFmtId="0" fontId="6" fillId="0" borderId="0" xfId="0" applyFont="1" applyAlignment="1"/>
    <xf numFmtId="0" fontId="0" fillId="17" borderId="3" xfId="0" applyFont="1" applyFill="1" applyBorder="1"/>
    <xf numFmtId="0" fontId="7" fillId="20" borderId="0" xfId="0" applyFont="1" applyFill="1" applyAlignment="1">
      <alignment vertical="center"/>
    </xf>
    <xf numFmtId="0" fontId="7" fillId="20" borderId="0" xfId="0" applyFont="1" applyFill="1"/>
    <xf numFmtId="0" fontId="7" fillId="21" borderId="0" xfId="0" applyFont="1" applyFill="1" applyAlignment="1">
      <alignment vertical="center"/>
    </xf>
    <xf numFmtId="0" fontId="7" fillId="21" borderId="0" xfId="0" applyFont="1" applyFill="1"/>
    <xf numFmtId="9" fontId="0" fillId="9" borderId="0" xfId="2" applyFont="1" applyFill="1"/>
    <xf numFmtId="0" fontId="8" fillId="10" borderId="0" xfId="0" applyFont="1" applyFill="1" applyAlignment="1">
      <alignment vertical="center"/>
    </xf>
    <xf numFmtId="164" fontId="0" fillId="9" borderId="0" xfId="1" applyNumberFormat="1" applyFont="1" applyFill="1"/>
    <xf numFmtId="1" fontId="0" fillId="0" borderId="0" xfId="0" applyNumberFormat="1" applyAlignment="1">
      <alignment horizontal="center"/>
    </xf>
    <xf numFmtId="0" fontId="8" fillId="21" borderId="0" xfId="0" applyFont="1" applyFill="1" applyAlignment="1">
      <alignment vertical="center"/>
    </xf>
    <xf numFmtId="10" fontId="0" fillId="0" borderId="0" xfId="0" applyNumberFormat="1"/>
    <xf numFmtId="0" fontId="7" fillId="22" borderId="0" xfId="0" applyFont="1" applyFill="1"/>
    <xf numFmtId="0" fontId="0" fillId="22" borderId="0" xfId="0" applyFill="1"/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0" fontId="0" fillId="22" borderId="0" xfId="0" applyFill="1" applyAlignment="1">
      <alignment vertical="center" wrapText="1"/>
    </xf>
    <xf numFmtId="0" fontId="4" fillId="17" borderId="0" xfId="0" applyFont="1" applyFill="1"/>
    <xf numFmtId="0" fontId="0" fillId="19" borderId="0" xfId="0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 wrapText="1"/>
    </xf>
    <xf numFmtId="164" fontId="0" fillId="18" borderId="0" xfId="1" applyNumberFormat="1" applyFont="1" applyFill="1"/>
    <xf numFmtId="1" fontId="0" fillId="0" borderId="0" xfId="1" applyNumberFormat="1" applyFont="1" applyFill="1"/>
    <xf numFmtId="1" fontId="0" fillId="0" borderId="0" xfId="0" applyNumberFormat="1" applyFill="1"/>
    <xf numFmtId="0" fontId="0" fillId="17" borderId="1" xfId="0" applyFont="1" applyFill="1" applyBorder="1"/>
    <xf numFmtId="0" fontId="8" fillId="21" borderId="3" xfId="0" applyFont="1" applyFill="1" applyBorder="1"/>
    <xf numFmtId="0" fontId="8" fillId="21" borderId="5" xfId="0" applyFont="1" applyFill="1" applyBorder="1"/>
    <xf numFmtId="0" fontId="0" fillId="17" borderId="0" xfId="0" applyNumberFormat="1" applyFont="1" applyFill="1" applyBorder="1"/>
    <xf numFmtId="0" fontId="8" fillId="23" borderId="0" xfId="0" applyFont="1" applyFill="1"/>
    <xf numFmtId="0" fontId="0" fillId="17" borderId="0" xfId="0" applyFill="1" applyAlignment="1">
      <alignment horizontal="center"/>
    </xf>
    <xf numFmtId="14" fontId="0" fillId="17" borderId="5" xfId="0" applyNumberFormat="1" applyFont="1" applyFill="1" applyBorder="1"/>
    <xf numFmtId="14" fontId="0" fillId="17" borderId="6" xfId="0" applyNumberFormat="1" applyFont="1" applyFill="1" applyBorder="1"/>
    <xf numFmtId="14" fontId="0" fillId="17" borderId="0" xfId="0" applyNumberFormat="1" applyFill="1"/>
    <xf numFmtId="0" fontId="11" fillId="20" borderId="0" xfId="0" applyFont="1" applyFill="1"/>
    <xf numFmtId="0" fontId="11" fillId="20" borderId="0" xfId="0" applyFont="1" applyFill="1" applyAlignment="1">
      <alignment vertical="center"/>
    </xf>
    <xf numFmtId="0" fontId="11" fillId="17" borderId="0" xfId="0" applyFont="1" applyFill="1"/>
    <xf numFmtId="0" fontId="12" fillId="21" borderId="5" xfId="0" applyFont="1" applyFill="1" applyBorder="1"/>
    <xf numFmtId="0" fontId="12" fillId="16" borderId="0" xfId="0" applyFont="1" applyFill="1" applyBorder="1"/>
    <xf numFmtId="0" fontId="12" fillId="24" borderId="0" xfId="0" applyFont="1" applyFill="1"/>
    <xf numFmtId="0" fontId="11" fillId="17" borderId="5" xfId="0" applyFont="1" applyFill="1" applyBorder="1"/>
    <xf numFmtId="1" fontId="11" fillId="17" borderId="5" xfId="0" applyNumberFormat="1" applyFont="1" applyFill="1" applyBorder="1"/>
    <xf numFmtId="0" fontId="11" fillId="17" borderId="0" xfId="0" applyNumberFormat="1" applyFont="1" applyFill="1" applyBorder="1"/>
    <xf numFmtId="0" fontId="11" fillId="17" borderId="6" xfId="0" applyFont="1" applyFill="1" applyBorder="1"/>
    <xf numFmtId="1" fontId="11" fillId="17" borderId="6" xfId="0" applyNumberFormat="1" applyFont="1" applyFill="1" applyBorder="1"/>
    <xf numFmtId="0" fontId="11" fillId="17" borderId="5" xfId="0" applyNumberFormat="1" applyFont="1" applyFill="1" applyBorder="1"/>
    <xf numFmtId="0" fontId="7" fillId="5" borderId="0" xfId="0" applyFont="1" applyFill="1"/>
    <xf numFmtId="0" fontId="7" fillId="5" borderId="0" xfId="0" applyFont="1" applyFill="1" applyAlignment="1">
      <alignment vertical="center"/>
    </xf>
    <xf numFmtId="0" fontId="2" fillId="5" borderId="0" xfId="0" applyFont="1" applyFill="1"/>
    <xf numFmtId="0" fontId="13" fillId="5" borderId="0" xfId="0" applyFont="1" applyFill="1" applyAlignment="1">
      <alignment horizontal="center" vertical="center"/>
    </xf>
    <xf numFmtId="1" fontId="0" fillId="5" borderId="0" xfId="0" applyNumberFormat="1" applyFill="1" applyAlignment="1"/>
    <xf numFmtId="0" fontId="0" fillId="0" borderId="0" xfId="0" pivotButton="1"/>
    <xf numFmtId="0" fontId="0" fillId="25" borderId="0" xfId="0" applyFill="1"/>
    <xf numFmtId="0" fontId="8" fillId="26" borderId="0" xfId="0" applyFont="1" applyFill="1" applyAlignment="1">
      <alignment vertical="center"/>
    </xf>
    <xf numFmtId="0" fontId="7" fillId="26" borderId="0" xfId="0" applyFont="1" applyFill="1"/>
  </cellXfs>
  <cellStyles count="3">
    <cellStyle name="Moneda" xfId="1" builtinId="4"/>
    <cellStyle name="Normal" xfId="0" builtinId="0"/>
    <cellStyle name="Porcentaje" xfId="2" builtinId="5"/>
  </cellStyles>
  <dxfs count="107">
    <dxf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0" tint="-0.34998626667073579"/>
        </patternFill>
      </fill>
    </dxf>
    <dxf>
      <numFmt numFmtId="164" formatCode="_-* #,##0.00\ &quot;€&quot;_-;\-* #,##0.00\ &quot;€&quot;_-;_-* &quot;-&quot;??\ &quot;€&quot;_-;_-@_-"/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numFmt numFmtId="19" formatCode="dd/mm/yyyy"/>
    </dxf>
    <dxf>
      <alignment horizontal="center" vertical="center" textRotation="0" wrapText="1" indent="0" justifyLastLine="0" shrinkToFit="0" readingOrder="0"/>
    </dxf>
    <dxf>
      <numFmt numFmtId="19" formatCode="dd/mm/yyyy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7" tint="0.79998168889431442"/>
        </patternFill>
      </fill>
      <protection locked="0" hidden="0"/>
    </dxf>
    <dxf>
      <numFmt numFmtId="0" formatCode="General"/>
      <fill>
        <patternFill patternType="solid">
          <fgColor indexed="64"/>
          <bgColor theme="6"/>
        </patternFill>
      </fill>
    </dxf>
    <dxf>
      <protection locked="0" hidden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7" tint="0.79998168889431442"/>
        </patternFill>
      </fill>
      <protection locked="0" hidden="0"/>
    </dxf>
    <dxf>
      <numFmt numFmtId="0" formatCode="General"/>
      <fill>
        <patternFill patternType="solid">
          <fgColor indexed="64"/>
          <bgColor theme="6"/>
        </patternFill>
      </fill>
    </dxf>
    <dxf>
      <protection locked="0" hidden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7" tint="0.79998168889431442"/>
        </patternFill>
      </fill>
      <protection locked="0" hidden="0"/>
    </dxf>
    <dxf>
      <numFmt numFmtId="0" formatCode="General"/>
      <fill>
        <patternFill patternType="solid">
          <fgColor indexed="64"/>
          <bgColor theme="6"/>
        </patternFill>
      </fill>
    </dxf>
    <dxf>
      <protection locked="0" hidden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7" tint="0.79998168889431442"/>
        </patternFill>
      </fill>
      <protection locked="0" hidden="0"/>
    </dxf>
    <dxf>
      <numFmt numFmtId="0" formatCode="General"/>
      <fill>
        <patternFill patternType="solid">
          <fgColor indexed="64"/>
          <bgColor theme="6"/>
        </patternFill>
      </fill>
    </dxf>
    <dxf>
      <numFmt numFmtId="0" formatCode="General"/>
      <protection locked="0" hidden="0"/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00\ &quot;€&quot;_-;\-* #,##0.0000\ &quot;€&quot;_-;_-* &quot;-&quot;??\ &quot;€&quot;_-;_-@_-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16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164" formatCode="_-* #,##0.00\ &quot;€&quot;_-;\-* #,##0.00\ &quot;€&quot;_-;_-* &quot;-&quot;??\ &quot;€&quot;_-;_-@_-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13" formatCode="0%"/>
    </dxf>
    <dxf>
      <numFmt numFmtId="164" formatCode="_-* #,##0.00\ &quot;€&quot;_-;\-* #,##0.00\ &quot;€&quot;_-;_-* &quot;-&quot;??\ &quot;€&quot;_-;_-@_-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13" formatCode="0%"/>
    </dxf>
    <dxf>
      <numFmt numFmtId="164" formatCode="_-* #,##0.00\ &quot;€&quot;_-;\-* #,##0.00\ &quot;€&quot;_-;_-* &quot;-&quot;??\ &quot;€&quot;_-;_-@_-"/>
    </dxf>
    <dxf>
      <numFmt numFmtId="0" formatCode="General"/>
    </dxf>
    <dxf>
      <numFmt numFmtId="13" formatCode="0%"/>
    </dxf>
    <dxf>
      <numFmt numFmtId="164" formatCode="_-* #,##0.00\ &quot;€&quot;_-;\-* #,##0.00\ &quot;€&quot;_-;_-* &quot;-&quot;??\ &quot;€&quot;_-;_-@_-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13" formatCode="0%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alignment vertical="center"/>
    </dxf>
    <dxf>
      <alignment wrapText="1"/>
    </dxf>
    <dxf>
      <alignment wrapText="1"/>
    </dxf>
    <dxf>
      <fill>
        <patternFill patternType="solid">
          <fgColor indexed="64"/>
          <bgColor theme="2" tint="-9.9978637043366805E-2"/>
        </patternFill>
      </fill>
    </dxf>
    <dxf>
      <numFmt numFmtId="13" formatCode="0%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19" formatCode="dd/mm/yyyy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164" formatCode="_-* #,##0.00\ &quot;€&quot;_-;\-* #,##0.00\ &quot;€&quot;_-;_-* &quot;-&quot;??\ &quot;€&quot;_-;_-@_-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€&quot;_-;\-* #,##0.00\ &quot;€&quot;_-;_-* &quot;-&quot;??\ &quot;€&quot;_-;_-@_-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19" formatCode="dd/mm/yyyy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microsoft.com/office/2007/relationships/slicerCache" Target="slicerCaches/slicerCache5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1/relationships/timelineCache" Target="timelineCaches/timelineCache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microsoft.com/office/2007/relationships/slicerCache" Target="slicerCaches/slicerCache4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11/relationships/timelineCache" Target="timelineCaches/timeline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microsoft.com/office/2011/relationships/timelineCache" Target="timelineCaches/timelineCache3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8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ES" sz="800"/>
              <a:t>Componentes que podemos fabricar según materiales en almacén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800" b="0" i="0" u="none" strike="noStrike" kern="1200" cap="all" spc="12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0834903800095"/>
          <c:y val="0.25816062992125982"/>
          <c:w val="0.82898244840764967"/>
          <c:h val="0.6831727034120734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'2.C_Datos'!$W$3</c:f>
              <c:strCache>
                <c:ptCount val="1"/>
                <c:pt idx="0">
                  <c:v>Asignado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'2.C_Datos'!$U$4:$U$7</c:f>
              <c:strCache>
                <c:ptCount val="4"/>
                <c:pt idx="0">
                  <c:v>COMP1</c:v>
                </c:pt>
                <c:pt idx="1">
                  <c:v>COMP2</c:v>
                </c:pt>
                <c:pt idx="2">
                  <c:v>COMP3</c:v>
                </c:pt>
                <c:pt idx="3">
                  <c:v>COMP4</c:v>
                </c:pt>
              </c:strCache>
            </c:strRef>
          </c:cat>
          <c:val>
            <c:numRef>
              <c:f>'2.C_Datos'!$W$4:$W$7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1-428B-BF01-A31D49FF83EF}"/>
            </c:ext>
          </c:extLst>
        </c:ser>
        <c:ser>
          <c:idx val="1"/>
          <c:order val="1"/>
          <c:tx>
            <c:strRef>
              <c:f>'2.C_Datos'!$X$3</c:f>
              <c:strCache>
                <c:ptCount val="1"/>
                <c:pt idx="0">
                  <c:v>Pendiente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'2.C_Datos'!$U$4:$U$7</c:f>
              <c:strCache>
                <c:ptCount val="4"/>
                <c:pt idx="0">
                  <c:v>COMP1</c:v>
                </c:pt>
                <c:pt idx="1">
                  <c:v>COMP2</c:v>
                </c:pt>
                <c:pt idx="2">
                  <c:v>COMP3</c:v>
                </c:pt>
                <c:pt idx="3">
                  <c:v>COMP4</c:v>
                </c:pt>
              </c:strCache>
            </c:strRef>
          </c:cat>
          <c:val>
            <c:numRef>
              <c:f>'2.C_Datos'!$X$4:$X$7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41-428B-BF01-A31D49FF83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537291240"/>
        <c:axId val="537288616"/>
      </c:barChart>
      <c:catAx>
        <c:axId val="5372912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88616"/>
        <c:crosses val="autoZero"/>
        <c:auto val="1"/>
        <c:lblAlgn val="ctr"/>
        <c:lblOffset val="100"/>
        <c:noMultiLvlLbl val="0"/>
      </c:catAx>
      <c:valAx>
        <c:axId val="53728861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53729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Symbol" panose="05050102010706020507" pitchFamily="18" charset="2"/>
                <a:ea typeface="+mn-ea"/>
                <a:cs typeface="+mn-cs"/>
              </a:defRPr>
            </a:pPr>
            <a:r>
              <a:rPr lang="es-ES" sz="1000" b="0" i="0" cap="all" baseline="0">
                <a:effectLst/>
                <a:latin typeface="+mn-lt"/>
              </a:rPr>
              <a:t>Tiempo de empleo de las máquinas</a:t>
            </a:r>
            <a:endParaRPr lang="es-ES" sz="1000">
              <a:effectLst/>
              <a:latin typeface="+mn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Symbol" panose="05050102010706020507" pitchFamily="18" charset="2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8179925785138"/>
          <c:y val="0.11475472542676349"/>
          <c:w val="0.85450900533984975"/>
          <c:h val="0.7773635272335144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'2.C_Datos'!$AF$3</c:f>
              <c:strCache>
                <c:ptCount val="1"/>
                <c:pt idx="0">
                  <c:v>Asignado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'2.C_Datos'!$AD$4:$AD$7</c:f>
              <c:strCache>
                <c:ptCount val="4"/>
                <c:pt idx="0">
                  <c:v>MAQ1</c:v>
                </c:pt>
                <c:pt idx="1">
                  <c:v>MAQ2</c:v>
                </c:pt>
                <c:pt idx="2">
                  <c:v>MAQ3</c:v>
                </c:pt>
                <c:pt idx="3">
                  <c:v>MAQ4</c:v>
                </c:pt>
              </c:strCache>
            </c:strRef>
          </c:cat>
          <c:val>
            <c:numRef>
              <c:f>'2.C_Datos'!$AF$4:$AF$7</c:f>
              <c:numCache>
                <c:formatCode>General</c:formatCode>
                <c:ptCount val="4"/>
                <c:pt idx="0">
                  <c:v>485</c:v>
                </c:pt>
                <c:pt idx="1">
                  <c:v>460</c:v>
                </c:pt>
                <c:pt idx="2">
                  <c:v>455</c:v>
                </c:pt>
                <c:pt idx="3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6-4494-800C-CB8DBBE9FE4A}"/>
            </c:ext>
          </c:extLst>
        </c:ser>
        <c:ser>
          <c:idx val="1"/>
          <c:order val="1"/>
          <c:tx>
            <c:strRef>
              <c:f>'2.C_Datos'!$AG$3</c:f>
              <c:strCache>
                <c:ptCount val="1"/>
                <c:pt idx="0">
                  <c:v>Pendiente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'2.C_Datos'!$AD$4:$AD$7</c:f>
              <c:strCache>
                <c:ptCount val="4"/>
                <c:pt idx="0">
                  <c:v>MAQ1</c:v>
                </c:pt>
                <c:pt idx="1">
                  <c:v>MAQ2</c:v>
                </c:pt>
                <c:pt idx="2">
                  <c:v>MAQ3</c:v>
                </c:pt>
                <c:pt idx="3">
                  <c:v>MAQ4</c:v>
                </c:pt>
              </c:strCache>
            </c:strRef>
          </c:cat>
          <c:val>
            <c:numRef>
              <c:f>'2.C_Datos'!$AG$4:$AG$7</c:f>
              <c:numCache>
                <c:formatCode>General</c:formatCode>
                <c:ptCount val="4"/>
                <c:pt idx="0">
                  <c:v>115</c:v>
                </c:pt>
                <c:pt idx="1">
                  <c:v>140</c:v>
                </c:pt>
                <c:pt idx="2">
                  <c:v>145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66-4494-800C-CB8DBBE9FE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530621496"/>
        <c:axId val="530625760"/>
      </c:barChart>
      <c:catAx>
        <c:axId val="530621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25760"/>
        <c:crosses val="autoZero"/>
        <c:auto val="1"/>
        <c:lblAlgn val="ctr"/>
        <c:lblOffset val="100"/>
        <c:noMultiLvlLbl val="0"/>
      </c:catAx>
      <c:valAx>
        <c:axId val="5306257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3062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ES" sz="8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8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Componentes pedidos, pendientes de producir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ES" sz="800" b="0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09492563429572"/>
          <c:y val="0.21030382565815636"/>
          <c:w val="0.85134951881014875"/>
          <c:h val="0.7341406187862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'2.C_Datos'!$AB$3</c:f>
              <c:strCache>
                <c:ptCount val="1"/>
                <c:pt idx="0">
                  <c:v>Asignado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'2.C_Datos'!$Z$4:$Z$7</c:f>
              <c:strCache>
                <c:ptCount val="4"/>
                <c:pt idx="0">
                  <c:v>COMP1</c:v>
                </c:pt>
                <c:pt idx="1">
                  <c:v>COMP2</c:v>
                </c:pt>
                <c:pt idx="2">
                  <c:v>COMP3</c:v>
                </c:pt>
                <c:pt idx="3">
                  <c:v>COMP4</c:v>
                </c:pt>
              </c:strCache>
            </c:strRef>
          </c:cat>
          <c:val>
            <c:numRef>
              <c:f>'2.C_Datos'!$AB$4:$AB$7</c:f>
              <c:numCache>
                <c:formatCode>General</c:formatCode>
                <c:ptCount val="4"/>
                <c:pt idx="0">
                  <c:v>4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4-4CDA-B836-F8FBA25C8B55}"/>
            </c:ext>
          </c:extLst>
        </c:ser>
        <c:ser>
          <c:idx val="1"/>
          <c:order val="1"/>
          <c:tx>
            <c:strRef>
              <c:f>'2.C_Datos'!$AC$3</c:f>
              <c:strCache>
                <c:ptCount val="1"/>
                <c:pt idx="0">
                  <c:v>Pendiente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'2.C_Datos'!$Z$4:$Z$7</c:f>
              <c:strCache>
                <c:ptCount val="4"/>
                <c:pt idx="0">
                  <c:v>COMP1</c:v>
                </c:pt>
                <c:pt idx="1">
                  <c:v>COMP2</c:v>
                </c:pt>
                <c:pt idx="2">
                  <c:v>COMP3</c:v>
                </c:pt>
                <c:pt idx="3">
                  <c:v>COMP4</c:v>
                </c:pt>
              </c:strCache>
            </c:strRef>
          </c:cat>
          <c:val>
            <c:numRef>
              <c:f>'2.C_Datos'!$AC$4:$AC$7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4-4CDA-B836-F8FBA25C8B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711495432"/>
        <c:axId val="711499040"/>
      </c:barChart>
      <c:catAx>
        <c:axId val="711495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499040"/>
        <c:crosses val="autoZero"/>
        <c:auto val="1"/>
        <c:lblAlgn val="ctr"/>
        <c:lblOffset val="100"/>
        <c:noMultiLvlLbl val="0"/>
      </c:catAx>
      <c:valAx>
        <c:axId val="7114990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149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3587</xdr:rowOff>
    </xdr:from>
    <xdr:to>
      <xdr:col>4</xdr:col>
      <xdr:colOff>75267</xdr:colOff>
      <xdr:row>8</xdr:row>
      <xdr:rowOff>41687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Fecha 1">
              <a:extLst>
                <a:ext uri="{FF2B5EF4-FFF2-40B4-BE49-F238E27FC236}">
                  <a16:creationId xmlns:a16="http://schemas.microsoft.com/office/drawing/2014/main" id="{3FADD760-0CEA-4C8E-B9DF-FA5D9800C1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43202"/>
              <a:ext cx="3658132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658957</xdr:colOff>
      <xdr:row>8</xdr:row>
      <xdr:rowOff>57150</xdr:rowOff>
    </xdr:from>
    <xdr:to>
      <xdr:col>3</xdr:col>
      <xdr:colOff>761467</xdr:colOff>
      <xdr:row>15</xdr:row>
      <xdr:rowOff>133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veedor">
              <a:extLst>
                <a:ext uri="{FF2B5EF4-FFF2-40B4-BE49-F238E27FC236}">
                  <a16:creationId xmlns:a16="http://schemas.microsoft.com/office/drawing/2014/main" id="{2F54497D-9680-4050-B694-BA66C5A42A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e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9275" y="1832264"/>
              <a:ext cx="1829666" cy="12676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8</xdr:row>
      <xdr:rowOff>58017</xdr:rowOff>
    </xdr:from>
    <xdr:to>
      <xdr:col>1</xdr:col>
      <xdr:colOff>747746</xdr:colOff>
      <xdr:row>15</xdr:row>
      <xdr:rowOff>133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 IVA">
              <a:extLst>
                <a:ext uri="{FF2B5EF4-FFF2-40B4-BE49-F238E27FC236}">
                  <a16:creationId xmlns:a16="http://schemas.microsoft.com/office/drawing/2014/main" id="{6BC729D3-973D-4968-BB12-C138C24331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IV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33131"/>
              <a:ext cx="1828800" cy="1266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8660</xdr:colOff>
      <xdr:row>8</xdr:row>
      <xdr:rowOff>59748</xdr:rowOff>
    </xdr:from>
    <xdr:to>
      <xdr:col>7</xdr:col>
      <xdr:colOff>668484</xdr:colOff>
      <xdr:row>15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Tipo IVA 1">
              <a:extLst>
                <a:ext uri="{FF2B5EF4-FFF2-40B4-BE49-F238E27FC236}">
                  <a16:creationId xmlns:a16="http://schemas.microsoft.com/office/drawing/2014/main" id="{F048F8BA-06F0-4845-A94B-158941EFD2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IV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0024" y="1834862"/>
              <a:ext cx="1828800" cy="1273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0</xdr:colOff>
      <xdr:row>1</xdr:row>
      <xdr:rowOff>4330</xdr:rowOff>
    </xdr:from>
    <xdr:to>
      <xdr:col>9</xdr:col>
      <xdr:colOff>649432</xdr:colOff>
      <xdr:row>8</xdr:row>
      <xdr:rowOff>42430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6" name="Fecha devolucion">
              <a:extLst>
                <a:ext uri="{FF2B5EF4-FFF2-40B4-BE49-F238E27FC236}">
                  <a16:creationId xmlns:a16="http://schemas.microsoft.com/office/drawing/2014/main" id="{30A0D635-4943-452B-8F75-005C2CEC3C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devolu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1364" y="445944"/>
              <a:ext cx="366279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672811</xdr:colOff>
      <xdr:row>8</xdr:row>
      <xdr:rowOff>59749</xdr:rowOff>
    </xdr:from>
    <xdr:to>
      <xdr:col>9</xdr:col>
      <xdr:colOff>657224</xdr:colOff>
      <xdr:row>15</xdr:row>
      <xdr:rowOff>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Proveedor 1">
              <a:extLst>
                <a:ext uri="{FF2B5EF4-FFF2-40B4-BE49-F238E27FC236}">
                  <a16:creationId xmlns:a16="http://schemas.microsoft.com/office/drawing/2014/main" id="{29072C82-2889-4AF9-BE05-B2459FBDC6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eed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3152" y="1834862"/>
              <a:ext cx="1828800" cy="12824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753673</xdr:colOff>
      <xdr:row>0</xdr:row>
      <xdr:rowOff>424830</xdr:rowOff>
    </xdr:from>
    <xdr:to>
      <xdr:col>6</xdr:col>
      <xdr:colOff>29307</xdr:colOff>
      <xdr:row>14</xdr:row>
      <xdr:rowOff>164258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Nombre">
              <a:extLst>
                <a:ext uri="{FF2B5EF4-FFF2-40B4-BE49-F238E27FC236}">
                  <a16:creationId xmlns:a16="http://schemas.microsoft.com/office/drawing/2014/main" id="{D43F145B-39E3-473E-AAAF-75432FC336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3411" y="424830"/>
              <a:ext cx="1356481" cy="2535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655494</xdr:colOff>
      <xdr:row>1</xdr:row>
      <xdr:rowOff>8659</xdr:rowOff>
    </xdr:from>
    <xdr:to>
      <xdr:col>11</xdr:col>
      <xdr:colOff>2</xdr:colOff>
      <xdr:row>15</xdr:row>
      <xdr:rowOff>8659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Material">
              <a:extLst>
                <a:ext uri="{FF2B5EF4-FFF2-40B4-BE49-F238E27FC236}">
                  <a16:creationId xmlns:a16="http://schemas.microsoft.com/office/drawing/2014/main" id="{13A5B0D2-EC7B-479E-8965-77984A59C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ter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8282" y="448274"/>
              <a:ext cx="1278815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9</xdr:row>
      <xdr:rowOff>171451</xdr:rowOff>
    </xdr:from>
    <xdr:to>
      <xdr:col>10</xdr:col>
      <xdr:colOff>0</xdr:colOff>
      <xdr:row>19</xdr:row>
      <xdr:rowOff>104774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F260F0-CA69-42A7-B6DF-D084F1AF7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0</xdr:colOff>
      <xdr:row>9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0C7431F-AE4D-4E7F-B562-A123C3D39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152400</xdr:colOff>
      <xdr:row>29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4A0270E-C7C1-48E1-A50E-1701ED981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95249</xdr:colOff>
      <xdr:row>3</xdr:row>
      <xdr:rowOff>0</xdr:rowOff>
    </xdr:from>
    <xdr:to>
      <xdr:col>9</xdr:col>
      <xdr:colOff>390525</xdr:colOff>
      <xdr:row>9</xdr:row>
      <xdr:rowOff>171450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Fecha cobro">
              <a:extLst>
                <a:ext uri="{FF2B5EF4-FFF2-40B4-BE49-F238E27FC236}">
                  <a16:creationId xmlns:a16="http://schemas.microsoft.com/office/drawing/2014/main" id="{9FCE40AF-DAE0-4485-A4CB-D1AF4AAA61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cob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4" y="819150"/>
              <a:ext cx="5962651" cy="131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uben.cantos" refreshedDate="44303.425784490741" createdVersion="6" refreshedVersion="6" minRefreshableVersion="3" recordCount="16">
  <cacheSource type="worksheet">
    <worksheetSource name="Registro_Compras"/>
  </cacheSource>
  <cacheFields count="11">
    <cacheField name="Nombre" numFmtId="0">
      <sharedItems containsBlank="1" count="9">
        <s v="OBJ1"/>
        <s v="OBJ5"/>
        <s v="OBJ2"/>
        <s v="OBJ7"/>
        <s v="OBJ4"/>
        <s v="OBJ6"/>
        <s v="OBJ9"/>
        <s v="OBJ3"/>
        <m u="1"/>
      </sharedItems>
    </cacheField>
    <cacheField name="Fecha" numFmtId="14">
      <sharedItems containsSemiMixedTypes="0" containsNonDate="0" containsDate="1" containsString="0" minDate="2021-04-16T00:00:00" maxDate="2021-05-25T00:00:00" count="6">
        <d v="2021-04-16T00:00:00"/>
        <d v="2021-04-17T00:00:00"/>
        <d v="2021-04-22T00:00:00"/>
        <d v="2021-05-06T00:00:00"/>
        <d v="2021-05-21T00:00:00"/>
        <d v="2021-05-24T00:00:00"/>
      </sharedItems>
    </cacheField>
    <cacheField name="Factura" numFmtId="0">
      <sharedItems containsSemiMixedTypes="0" containsString="0" containsNumber="1" containsInteger="1" minValue="5461" maxValue="45678941"/>
    </cacheField>
    <cacheField name="Precio ud" numFmtId="164">
      <sharedItems containsSemiMixedTypes="0" containsString="0" containsNumber="1" minValue="-15" maxValue="25"/>
    </cacheField>
    <cacheField name="Uds" numFmtId="0">
      <sharedItems containsSemiMixedTypes="0" containsString="0" containsNumber="1" containsInteger="1" minValue="1" maxValue="4"/>
    </cacheField>
    <cacheField name="Base imponible" numFmtId="164">
      <sharedItems containsSemiMixedTypes="0" containsString="0" containsNumber="1" containsInteger="1" minValue="-15" maxValue="100"/>
    </cacheField>
    <cacheField name="Tipo IVA" numFmtId="9">
      <sharedItems containsSemiMixedTypes="0" containsString="0" containsNumber="1" minValue="0.04" maxValue="0.21" count="3">
        <n v="0.21"/>
        <n v="0.1"/>
        <n v="0.04"/>
      </sharedItems>
    </cacheField>
    <cacheField name="IVA" numFmtId="164">
      <sharedItems containsSemiMixedTypes="0" containsString="0" containsNumber="1" minValue="-0.6" maxValue="16.8"/>
    </cacheField>
    <cacheField name="Precio neto" numFmtId="164">
      <sharedItems containsSemiMixedTypes="0" containsString="0" containsNumber="1" minValue="-15.6" maxValue="110" count="12">
        <n v="72.599999999999994"/>
        <n v="43.56"/>
        <n v="24.2"/>
        <n v="53.24"/>
        <n v="110"/>
        <n v="55"/>
        <n v="96.8"/>
        <n v="19.8"/>
        <n v="82.5"/>
        <n v="79.86"/>
        <n v="31.2"/>
        <n v="-15.6"/>
      </sharedItems>
    </cacheField>
    <cacheField name="Proveedor" numFmtId="0">
      <sharedItems count="4">
        <s v="PROV1"/>
        <s v="PROV2"/>
        <s v="PROV3"/>
        <s v="" u="1"/>
      </sharedItems>
    </cacheField>
    <cacheField name="ID_Compra" numFmtId="0">
      <sharedItems/>
    </cacheField>
  </cacheFields>
  <extLst>
    <ext xmlns:x14="http://schemas.microsoft.com/office/spreadsheetml/2009/9/main" uri="{725AE2AE-9491-48be-B2B4-4EB974FC3084}">
      <x14:pivotCacheDefinition pivotCacheId="80555061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uben.cantos" refreshedDate="44304.764596875" createdVersion="6" refreshedVersion="6" minRefreshableVersion="3" recordCount="2">
  <cacheSource type="worksheet">
    <worksheetSource name="Registro_DevolucionCompras"/>
  </cacheSource>
  <cacheFields count="10">
    <cacheField name="ID_Compra" numFmtId="0">
      <sharedItems/>
    </cacheField>
    <cacheField name="Fecha devolucion" numFmtId="14">
      <sharedItems containsSemiMixedTypes="0" containsNonDate="0" containsDate="1" containsString="0" minDate="2021-05-16T00:00:00" maxDate="2021-06-20T00:00:00" count="2">
        <d v="2021-05-16T00:00:00"/>
        <d v="2021-06-19T00:00:00"/>
      </sharedItems>
    </cacheField>
    <cacheField name="Uds devueltas" numFmtId="0">
      <sharedItems containsSemiMixedTypes="0" containsString="0" containsNumber="1" containsInteger="1" minValue="1" maxValue="2"/>
    </cacheField>
    <cacheField name="Precio ud" numFmtId="164">
      <sharedItems containsSemiMixedTypes="0" containsString="0" containsNumber="1" containsInteger="1" minValue="-50" maxValue="-20"/>
    </cacheField>
    <cacheField name="Base imponible2" numFmtId="164">
      <sharedItems containsSemiMixedTypes="0" containsString="0" containsNumber="1" containsInteger="1" minValue="-50" maxValue="-40"/>
    </cacheField>
    <cacheField name="Tipo IVA" numFmtId="9">
      <sharedItems containsSemiMixedTypes="0" containsString="0" containsNumber="1" minValue="-0.21" maxValue="-0.21" count="1">
        <n v="-0.21"/>
      </sharedItems>
    </cacheField>
    <cacheField name="IVA" numFmtId="164">
      <sharedItems containsSemiMixedTypes="0" containsString="0" containsNumber="1" minValue="-52.5" maxValue="-25.2"/>
    </cacheField>
    <cacheField name="Precio neto" numFmtId="164">
      <sharedItems containsSemiMixedTypes="0" containsString="0" containsNumber="1" minValue="-302.5" maxValue="-145.19999999999999"/>
    </cacheField>
    <cacheField name="Proveedor" numFmtId="164">
      <sharedItems count="2">
        <s v="PROV1"/>
        <s v="PROV2"/>
      </sharedItems>
    </cacheField>
    <cacheField name="Material" numFmtId="164">
      <sharedItems count="2">
        <s v="OBJ1"/>
        <s v="OBJ8"/>
      </sharedItems>
    </cacheField>
  </cacheFields>
  <extLst>
    <ext xmlns:x14="http://schemas.microsoft.com/office/spreadsheetml/2009/9/main" uri="{725AE2AE-9491-48be-B2B4-4EB974FC3084}">
      <x14:pivotCacheDefinition pivotCacheId="384341662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uben.cantos" refreshedDate="44310.493025925927" createdVersion="6" refreshedVersion="6" minRefreshableVersion="3" recordCount="7">
  <cacheSource type="worksheet">
    <worksheetSource name="Registro_Pedidos"/>
  </cacheSource>
  <cacheFields count="11">
    <cacheField name="Fecha" numFmtId="14">
      <sharedItems containsSemiMixedTypes="0" containsNonDate="0" containsDate="1" containsString="0" minDate="2021-04-18T00:00:00" maxDate="2021-04-27T00:00:00"/>
    </cacheField>
    <cacheField name="Cliente" numFmtId="0">
      <sharedItems/>
    </cacheField>
    <cacheField name="Producto" numFmtId="0">
      <sharedItems/>
    </cacheField>
    <cacheField name="Cantidad" numFmtId="1">
      <sharedItems containsSemiMixedTypes="0" containsString="0" containsNumber="1" containsInteger="1" minValue="1" maxValue="5"/>
    </cacheField>
    <cacheField name="ID_Pedido" numFmtId="0">
      <sharedItems count="7">
        <s v="PD_1"/>
        <s v="PD_2"/>
        <s v="PD_3"/>
        <s v="PD_4"/>
        <s v="PD_5"/>
        <s v="PD_6"/>
        <s v="PD_7"/>
      </sharedItems>
    </cacheField>
    <cacheField name="Fecha entrega estimada" numFmtId="14">
      <sharedItems containsSemiMixedTypes="0" containsNonDate="0" containsDate="1" containsString="0" minDate="2021-04-21T00:00:00" maxDate="2021-05-01T00:00:00"/>
    </cacheField>
    <cacheField name="Fecha cobro" numFmtId="0">
      <sharedItems containsNonDate="0" containsDate="1" containsString="0" containsBlank="1" minDate="2021-04-22T00:00:00" maxDate="2021-04-23T00:00:00" count="2">
        <d v="2021-04-22T00:00:00"/>
        <m/>
      </sharedItems>
    </cacheField>
    <cacheField name="Precio" numFmtId="164">
      <sharedItems containsSemiMixedTypes="0" containsString="0" containsNumber="1" containsInteger="1" minValue="6" maxValue="50"/>
    </cacheField>
    <cacheField name="IVA" numFmtId="164">
      <sharedItems containsSemiMixedTypes="0" containsString="0" containsNumber="1" minValue="1.26" maxValue="10.5"/>
    </cacheField>
    <cacheField name="Precio total" numFmtId="164">
      <sharedItems containsSemiMixedTypes="0" containsString="0" containsNumber="1" minValue="7.26" maxValue="60.5"/>
    </cacheField>
    <cacheField name="Cobrado" numFmtId="0">
      <sharedItems count="2">
        <s v="Si"/>
        <s v="No"/>
      </sharedItems>
    </cacheField>
  </cacheFields>
  <extLst>
    <ext xmlns:x14="http://schemas.microsoft.com/office/spreadsheetml/2009/9/main" uri="{725AE2AE-9491-48be-B2B4-4EB974FC3084}">
      <x14:pivotCacheDefinition pivotCacheId="97821401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45678941"/>
    <n v="20"/>
    <n v="3"/>
    <n v="60"/>
    <x v="0"/>
    <n v="12.6"/>
    <x v="0"/>
    <x v="0"/>
    <s v="CO_1"/>
  </r>
  <r>
    <x v="1"/>
    <x v="0"/>
    <n v="4546465"/>
    <n v="18"/>
    <n v="2"/>
    <n v="36"/>
    <x v="0"/>
    <n v="7.56"/>
    <x v="1"/>
    <x v="1"/>
    <s v="CO_2"/>
  </r>
  <r>
    <x v="2"/>
    <x v="0"/>
    <n v="4654165"/>
    <n v="20"/>
    <n v="1"/>
    <n v="20"/>
    <x v="0"/>
    <n v="4.2"/>
    <x v="2"/>
    <x v="0"/>
    <s v="CO_3"/>
  </r>
  <r>
    <x v="3"/>
    <x v="0"/>
    <n v="1321321"/>
    <n v="22"/>
    <n v="2"/>
    <n v="44"/>
    <x v="0"/>
    <n v="9.24"/>
    <x v="3"/>
    <x v="0"/>
    <s v="CO_4"/>
  </r>
  <r>
    <x v="4"/>
    <x v="1"/>
    <n v="5461"/>
    <n v="25"/>
    <n v="4"/>
    <n v="100"/>
    <x v="1"/>
    <n v="10"/>
    <x v="4"/>
    <x v="2"/>
    <s v="CO_5"/>
  </r>
  <r>
    <x v="4"/>
    <x v="1"/>
    <n v="32132"/>
    <n v="25"/>
    <n v="2"/>
    <n v="50"/>
    <x v="1"/>
    <n v="5"/>
    <x v="5"/>
    <x v="2"/>
    <s v="CO_6"/>
  </r>
  <r>
    <x v="2"/>
    <x v="2"/>
    <n v="1523151"/>
    <n v="20"/>
    <n v="3"/>
    <n v="60"/>
    <x v="0"/>
    <n v="12.6"/>
    <x v="0"/>
    <x v="0"/>
    <s v="CO_7"/>
  </r>
  <r>
    <x v="2"/>
    <x v="2"/>
    <n v="1231231"/>
    <n v="20"/>
    <n v="4"/>
    <n v="80"/>
    <x v="0"/>
    <n v="16.8"/>
    <x v="6"/>
    <x v="0"/>
    <s v="CO_8"/>
  </r>
  <r>
    <x v="3"/>
    <x v="2"/>
    <n v="154654"/>
    <n v="22"/>
    <n v="2"/>
    <n v="44"/>
    <x v="0"/>
    <n v="9.24"/>
    <x v="3"/>
    <x v="0"/>
    <s v="CO_9"/>
  </r>
  <r>
    <x v="5"/>
    <x v="2"/>
    <n v="1654684"/>
    <n v="18"/>
    <n v="1"/>
    <n v="18"/>
    <x v="1"/>
    <n v="1.8"/>
    <x v="7"/>
    <x v="0"/>
    <s v="CO_10"/>
  </r>
  <r>
    <x v="4"/>
    <x v="2"/>
    <n v="4846454"/>
    <n v="25"/>
    <n v="3"/>
    <n v="75"/>
    <x v="1"/>
    <n v="7.5"/>
    <x v="8"/>
    <x v="2"/>
    <s v="CO_11"/>
  </r>
  <r>
    <x v="6"/>
    <x v="3"/>
    <n v="1568463"/>
    <n v="16.5"/>
    <n v="4"/>
    <n v="66"/>
    <x v="0"/>
    <n v="13.86"/>
    <x v="9"/>
    <x v="0"/>
    <s v="CO_12"/>
  </r>
  <r>
    <x v="4"/>
    <x v="3"/>
    <n v="464897"/>
    <n v="25"/>
    <n v="2"/>
    <n v="50"/>
    <x v="1"/>
    <n v="5"/>
    <x v="5"/>
    <x v="2"/>
    <s v="CO_13"/>
  </r>
  <r>
    <x v="7"/>
    <x v="4"/>
    <n v="7894513"/>
    <n v="15"/>
    <n v="2"/>
    <n v="30"/>
    <x v="2"/>
    <n v="1.2"/>
    <x v="10"/>
    <x v="1"/>
    <s v="CO_14"/>
  </r>
  <r>
    <x v="7"/>
    <x v="4"/>
    <n v="4878979"/>
    <n v="15"/>
    <n v="2"/>
    <n v="30"/>
    <x v="2"/>
    <n v="1.2"/>
    <x v="10"/>
    <x v="1"/>
    <s v="CO_15"/>
  </r>
  <r>
    <x v="7"/>
    <x v="5"/>
    <n v="1651561"/>
    <n v="-15"/>
    <n v="1"/>
    <n v="-15"/>
    <x v="2"/>
    <n v="-0.6"/>
    <x v="11"/>
    <x v="1"/>
    <s v="CO_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s v="CO_2"/>
    <x v="0"/>
    <n v="2"/>
    <n v="-20"/>
    <n v="-40"/>
    <x v="0"/>
    <n v="-25.2"/>
    <n v="-145.19999999999999"/>
    <x v="0"/>
    <x v="0"/>
  </r>
  <r>
    <s v="CO_18"/>
    <x v="1"/>
    <n v="1"/>
    <n v="-50"/>
    <n v="-50"/>
    <x v="0"/>
    <n v="-52.5"/>
    <n v="-302.5"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d v="2021-04-18T00:00:00"/>
    <s v="Montes"/>
    <s v="PROD1"/>
    <n v="1"/>
    <x v="0"/>
    <d v="2021-04-21T00:00:00"/>
    <x v="0"/>
    <n v="10"/>
    <n v="2.1"/>
    <n v="12.1"/>
    <x v="0"/>
  </r>
  <r>
    <d v="2021-04-18T00:00:00"/>
    <s v="Oscar"/>
    <s v="PROD2"/>
    <n v="2"/>
    <x v="1"/>
    <d v="2021-04-28T00:00:00"/>
    <x v="1"/>
    <n v="12"/>
    <n v="2.52"/>
    <n v="14.52"/>
    <x v="1"/>
  </r>
  <r>
    <d v="2021-04-19T00:00:00"/>
    <s v="Oscar"/>
    <s v="PROD1"/>
    <n v="1"/>
    <x v="2"/>
    <d v="2021-04-28T00:00:00"/>
    <x v="1"/>
    <n v="10"/>
    <n v="2.1"/>
    <n v="12.1"/>
    <x v="1"/>
  </r>
  <r>
    <d v="2021-04-19T00:00:00"/>
    <s v="Rovi"/>
    <s v="PROD1"/>
    <n v="1"/>
    <x v="3"/>
    <d v="2021-04-25T00:00:00"/>
    <x v="1"/>
    <n v="10"/>
    <n v="2.1"/>
    <n v="12.1"/>
    <x v="1"/>
  </r>
  <r>
    <d v="2021-04-22T00:00:00"/>
    <s v="Rovi"/>
    <s v="PROD2"/>
    <n v="1"/>
    <x v="4"/>
    <d v="2021-04-28T00:00:00"/>
    <x v="1"/>
    <n v="6"/>
    <n v="1.26"/>
    <n v="7.26"/>
    <x v="1"/>
  </r>
  <r>
    <d v="2021-04-25T00:00:00"/>
    <s v="Aso"/>
    <s v="PROD1"/>
    <n v="5"/>
    <x v="5"/>
    <d v="2021-04-30T00:00:00"/>
    <x v="1"/>
    <n v="50"/>
    <n v="10.5"/>
    <n v="60.5"/>
    <x v="1"/>
  </r>
  <r>
    <d v="2021-04-26T00:00:00"/>
    <s v="Aso"/>
    <s v="PROD2"/>
    <n v="5"/>
    <x v="6"/>
    <d v="2021-04-30T00:00:00"/>
    <x v="1"/>
    <n v="30"/>
    <n v="6.3"/>
    <n v="36.29999999999999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>
  <location ref="G16:K21" firstHeaderRow="0" firstDataRow="1" firstDataCol="1"/>
  <pivotFields count="10">
    <pivotField showAll="0"/>
    <pivotField numFmtId="14" showAll="0">
      <items count="3">
        <item x="0"/>
        <item x="1"/>
        <item t="default"/>
      </items>
    </pivotField>
    <pivotField showAll="0"/>
    <pivotField numFmtId="164" showAll="0"/>
    <pivotField dataField="1" numFmtId="164" showAll="0"/>
    <pivotField dataField="1" numFmtId="164" showAll="0">
      <items count="2">
        <item x="0"/>
        <item t="default"/>
      </items>
    </pivotField>
    <pivotField dataField="1" numFmtId="164" showAll="0"/>
    <pivotField dataField="1" numFmtId="164"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8"/>
    <field x="9"/>
  </rowFields>
  <rowItems count="5">
    <i>
      <x/>
    </i>
    <i r="1">
      <x/>
    </i>
    <i>
      <x v="1"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Precio neto" fld="7" baseField="0" baseItem="0"/>
    <dataField name="Suma de Base imponible2" fld="4" baseField="0" baseItem="0"/>
    <dataField name="Suma de IVA" fld="6" baseField="0" baseItem="0"/>
    <dataField name="Promedio de Tipo IVA" fld="5" subtotal="average" baseField="8" baseItem="0" numFmtId="10"/>
  </dataFields>
  <formats count="4">
    <format dxfId="76">
      <pivotArea field="8" type="button" dataOnly="0" labelOnly="1" outline="0" axis="axisRow" fieldPosition="0"/>
    </format>
    <format dxfId="7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4">
      <pivotArea field="8" type="button" dataOnly="0" labelOnly="1" outline="0" axis="axisRow" fieldPosition="0"/>
    </format>
    <format dxfId="7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3" showRowHeaders="1" showColHeaders="1" showRowStripes="0" showColStripes="0" showLastColumn="1"/>
  <filters count="1">
    <filter fld="1" type="dateBetween" evalOrder="-1" id="2" name="Fecha devolucion">
      <autoFilter ref="A1">
        <filterColumn colId="0">
          <customFilters and="1">
            <customFilter operator="greaterThanOrEqual" val="44287"/>
            <customFilter operator="lessThanOrEqual" val="4437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1">
  <location ref="A16:E17" firstHeaderRow="0" firstDataRow="1" firstDataCol="1"/>
  <pivotFields count="11">
    <pivotField axis="axisRow" showAll="0">
      <items count="10">
        <item x="0"/>
        <item x="2"/>
        <item x="7"/>
        <item x="4"/>
        <item x="1"/>
        <item x="5"/>
        <item x="3"/>
        <item x="6"/>
        <item m="1" x="8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/>
    <pivotField dataField="1" showAll="0">
      <items count="4">
        <item x="0"/>
        <item x="1"/>
        <item x="2"/>
        <item t="default"/>
      </items>
    </pivotField>
    <pivotField dataField="1" showAll="0"/>
    <pivotField dataField="1" showAll="0">
      <items count="13">
        <item x="11"/>
        <item x="7"/>
        <item x="2"/>
        <item x="10"/>
        <item x="1"/>
        <item x="3"/>
        <item x="5"/>
        <item x="0"/>
        <item x="9"/>
        <item x="8"/>
        <item x="6"/>
        <item x="4"/>
        <item t="default"/>
      </items>
    </pivotField>
    <pivotField axis="axisRow" showAll="0">
      <items count="5">
        <item h="1" m="1" x="3"/>
        <item h="1" x="0"/>
        <item h="1" x="1"/>
        <item x="2"/>
        <item t="default"/>
      </items>
    </pivotField>
    <pivotField showAll="0"/>
  </pivotFields>
  <rowFields count="2">
    <field x="9"/>
    <field x="0"/>
  </rowFields>
  <rowItems count="1"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Precio neto" fld="8" baseField="0" baseItem="5"/>
    <dataField name="Suma de Base imponible" fld="5" baseField="9" baseItem="1"/>
    <dataField name="Suma de IVA" fld="7" baseField="0" baseItem="0"/>
    <dataField name="Promedio de Tipo IVA" fld="6" subtotal="average" baseField="0" baseItem="2"/>
  </dataFields>
  <formats count="4">
    <format dxfId="80">
      <pivotArea field="9" type="button" dataOnly="0" labelOnly="1" outline="0" axis="axisRow" fieldPosition="0"/>
    </format>
    <format dxfId="7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8">
      <pivotArea field="9" type="button" dataOnly="0" labelOnly="1" outline="0" axis="axisRow" fieldPosition="0"/>
    </format>
    <format dxfId="7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3" showRowHeaders="1" showColHeaders="1" showRowStripes="0" showColStripes="0" showLastColumn="1"/>
  <filters count="1">
    <filter fld="1" type="dateBetween" evalOrder="-1" id="76" name="Fecha">
      <autoFilter ref="A1">
        <filterColumn colId="0">
          <customFilters and="1">
            <customFilter operator="greaterThanOrEqual" val="44228"/>
            <customFilter operator="lessThanOrEqual" val="4425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>
  <location ref="A4:D6" firstHeaderRow="0" firstDataRow="1" firstDataCol="1" rowPageCount="1" colPageCount="1"/>
  <pivotFields count="11">
    <pivotField numFmtId="14" showAll="0"/>
    <pivotField showAll="0"/>
    <pivotField showAll="0"/>
    <pivotField numFmtI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/>
    <pivotField showAll="0">
      <items count="3">
        <item x="0"/>
        <item x="1"/>
        <item t="default"/>
      </items>
    </pivotField>
    <pivotField dataField="1" numFmtId="164" showAll="0"/>
    <pivotField dataField="1" numFmtId="164" showAll="0"/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4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0" item="1" hier="-1"/>
  </pageFields>
  <dataFields count="3">
    <dataField name="Suma de Precio" fld="7" baseField="0" baseItem="0"/>
    <dataField name="Suma de IVA" fld="8" baseField="0" baseItem="0"/>
    <dataField name="Suma de Precio total" fld="9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roveedor" sourceName="Proveedor">
  <pivotTables>
    <pivotTable tabId="4" name="TablaDinámica1"/>
  </pivotTables>
  <data>
    <tabular pivotCacheId="805550619">
      <items count="4">
        <i x="0"/>
        <i x="1"/>
        <i x="2" s="1"/>
        <i x="3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Tipo_IVA" sourceName="Tipo IVA">
  <pivotTables>
    <pivotTable tabId="4" name="TablaDinámica1"/>
  </pivotTables>
  <data>
    <tabular pivotCacheId="805550619">
      <items count="3">
        <i x="1" s="1"/>
        <i x="2" s="1" nd="1"/>
        <i x="0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Tipo_IVA1" sourceName="Tipo IVA">
  <pivotTables>
    <pivotTable tabId="4" name="TablaDinámica2"/>
  </pivotTables>
  <data>
    <tabular pivotCacheId="384341662">
      <items count="1"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roveedor1" sourceName="Proveedor">
  <pivotTables>
    <pivotTable tabId="4" name="TablaDinámica2"/>
  </pivotTables>
  <data>
    <tabular pivotCacheId="384341662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Nombre" sourceName="Nombre">
  <pivotTables>
    <pivotTable tabId="4" name="TablaDinámica1"/>
  </pivotTables>
  <data>
    <tabular pivotCacheId="805550619">
      <items count="9">
        <i x="4" s="1"/>
        <i x="0" s="1" nd="1"/>
        <i x="2" s="1" nd="1"/>
        <i x="7" s="1" nd="1"/>
        <i x="1" s="1" nd="1"/>
        <i x="5" s="1" nd="1"/>
        <i x="3" s="1" nd="1"/>
        <i x="6" s="1" nd="1"/>
        <i x="8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aterial" sourceName="Material">
  <pivotTables>
    <pivotTable tabId="4" name="TablaDinámica2"/>
  </pivotTables>
  <data>
    <tabular pivotCacheId="384341662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veedor" cache="SegmentaciónDeDatos_Proveedor" caption="Proveedor" style="SlicerStyleLight2" rowHeight="241300"/>
  <slicer name="Tipo IVA" cache="SegmentaciónDeDatos_Tipo_IVA" caption="Tipo IVA" style="SlicerStyleLight2" rowHeight="241300"/>
  <slicer name="Tipo IVA 1" cache="SegmentaciónDeDatos_Tipo_IVA1" caption="Tipo IVA" style="SlicerStyleDark2" rowHeight="241300"/>
  <slicer name="Proveedor 1" cache="SegmentaciónDeDatos_Proveedor1" caption="Proveedor" style="SlicerStyleDark2" rowHeight="241300"/>
  <slicer name="Nombre" cache="SegmentaciónDeDatos_Nombre" caption="Nombre" style="SlicerStyleLight2" rowHeight="241300"/>
  <slicer name="Material" cache="SegmentaciónDeDatos_Material" caption="Material" style="SlicerStyleDark2" rowHeight="241300"/>
</slicers>
</file>

<file path=xl/tables/table1.xml><?xml version="1.0" encoding="utf-8"?>
<table xmlns="http://schemas.openxmlformats.org/spreadsheetml/2006/main" id="2" name="Registro_Compras" displayName="Registro_Compras" ref="A2:K19" totalsRowShown="0" headerRowDxfId="106">
  <autoFilter ref="A2:K19"/>
  <tableColumns count="11">
    <tableColumn id="1" name="Material"/>
    <tableColumn id="2" name="Fecha compra" dataDxfId="105"/>
    <tableColumn id="3" name="Factura" dataDxfId="104"/>
    <tableColumn id="4" name="Precio ud" dataDxfId="103" dataCellStyle="Moneda"/>
    <tableColumn id="5" name="Uds" dataDxfId="102"/>
    <tableColumn id="6" name="Base imponible" dataDxfId="101" dataCellStyle="Moneda">
      <calculatedColumnFormula>IF(Registro_Compras[[#This Row],[Material]]="","",E3*D3)</calculatedColumnFormula>
    </tableColumn>
    <tableColumn id="7" name="Tipo IVA" dataDxfId="100" dataCellStyle="Porcentaje">
      <calculatedColumnFormula>IF(Registro_Compras[[#This Row],[Material]]="","",INDEX(ListadoMateriales[],MATCH('1.I_Compras'!$A3,ListadoMateriales[Materiales],0),MATCH("Tipos IVA",ListadoMateriales[#Headers],0)))</calculatedColumnFormula>
    </tableColumn>
    <tableColumn id="8" name="IVA" dataDxfId="99" dataCellStyle="Moneda">
      <calculatedColumnFormula>IF(Registro_Compras[[#This Row],[Material]]="","",G3*F3)</calculatedColumnFormula>
    </tableColumn>
    <tableColumn id="9" name="Precio neto" dataDxfId="98">
      <calculatedColumnFormula>IF(Registro_Compras[[#This Row],[Material]]="","",F3+H3)</calculatedColumnFormula>
    </tableColumn>
    <tableColumn id="10" name="Proveedor" dataDxfId="97">
      <calculatedColumnFormula>IF(Registro_Compras[[#This Row],[Material]]="","",INDEX(ListadoMateriales[],MATCH('1.I_Compras'!$A3,ListadoMateriales[Materiales],0),MATCH("Proveedores",ListadoMateriales[#Headers],0)))</calculatedColumnFormula>
    </tableColumn>
    <tableColumn id="11" name="ID_Compra" dataDxfId="96">
      <calculatedColumnFormula>IF(Registro_Compras[[#This Row],[Material]]="","",CONCATENATE("CO_",ROW(Registro_Compras[[#This Row],[Material]])-1))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0" name="Registro_DevolucionCompras" displayName="Registro_DevolucionCompras" ref="M2:V4" totalsRowShown="0" dataDxfId="95" dataCellStyle="Moneda">
  <autoFilter ref="M2:V4"/>
  <tableColumns count="10">
    <tableColumn id="1" name="ID_Compra" dataDxfId="94"/>
    <tableColumn id="2" name="Fecha devolucion" dataDxfId="93"/>
    <tableColumn id="3" name="Uds devueltas" dataDxfId="92"/>
    <tableColumn id="4" name="Precio ud" dataDxfId="91" dataCellStyle="Moneda">
      <calculatedColumnFormula>IF(Registro_DevolucionCompras[[#This Row],[Uds devueltas]]="","",INDEX(Registro_Compras[],MATCH(Registro_DevolucionCompras[[#This Row],[ID_Compra]],Registro_Compras[ID_Compra],0),MATCH("Precio ud",Registro_Compras[#Headers],0))*-1)</calculatedColumnFormula>
    </tableColumn>
    <tableColumn id="9" name="Base imponible2" dataDxfId="90" dataCellStyle="Moneda">
      <calculatedColumnFormula>IF(Registro_DevolucionCompras[[#This Row],[Uds devueltas]]="","",Registro_DevolucionCompras[[#This Row],[Precio ud]]*Registro_DevolucionCompras[[#This Row],[Uds devueltas]])</calculatedColumnFormula>
    </tableColumn>
    <tableColumn id="5" name="Tipo IVA" dataDxfId="89" dataCellStyle="Porcentaje">
      <calculatedColumnFormula>IF(Registro_DevolucionCompras[[#This Row],[Uds devueltas]]="","",INDEX(Registro_Compras[],MATCH(Registro_DevolucionCompras[[#This Row],[ID_Compra]],Registro_Compras[ID_Compra],0),MATCH("Tipo IVA",Registro_Compras[#Headers],0))*-1)</calculatedColumnFormula>
    </tableColumn>
    <tableColumn id="6" name="IVA" dataDxfId="88" dataCellStyle="Moneda">
      <calculatedColumnFormula>IF(Registro_DevolucionCompras[[#This Row],[Uds devueltas]]="","",INDEX(Registro_Compras[],MATCH(Registro_DevolucionCompras[[#This Row],[ID_Compra]],Registro_Compras[ID_Compra],0),MATCH("IVA",Registro_Compras[#Headers],0))*-1)</calculatedColumnFormula>
    </tableColumn>
    <tableColumn id="7" name="Precio neto" dataDxfId="87" dataCellStyle="Moneda">
      <calculatedColumnFormula>IF(Registro_DevolucionCompras[[#This Row],[Uds devueltas]]="","",INDEX(Registro_Compras[],MATCH(Registro_DevolucionCompras[[#This Row],[ID_Compra]],Registro_Compras[ID_Compra],0),MATCH("Precio neto",Registro_Compras[#Headers],0))*-1)</calculatedColumnFormula>
    </tableColumn>
    <tableColumn id="8" name="Proveedor" dataDxfId="86" dataCellStyle="Moneda">
      <calculatedColumnFormula>IF(Registro_DevolucionCompras[[#This Row],[ID_Compra]]="","",INDEX(Registro_Compras[],MATCH(Registro_DevolucionCompras[[#This Row],[ID_Compra]],Registro_Compras[ID_Compra],0),MATCH("Proveedor",Registro_Compras[#Headers],0)))</calculatedColumnFormula>
    </tableColumn>
    <tableColumn id="10" name="Material" dataDxfId="85" dataCellStyle="Moneda">
      <calculatedColumnFormula>IF(Registro_DevolucionCompras[[#This Row],[ID_Compra]]="","",INDEX(Registro_Compras[],MATCH(Registro_DevolucionCompras[[#This Row],[ID_Compra]],Registro_Compras[ID_Compra],0),MATCH("Material",Registro_Compras[#Headers],0)))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ListadoMateriales" displayName="ListadoMateriales" ref="C3:F12" totalsRowShown="0" headerRowDxfId="84">
  <autoFilter ref="C3:F12"/>
  <tableColumns count="4">
    <tableColumn id="1" name="Proveedores"/>
    <tableColumn id="2" name="Materiales" dataDxfId="83"/>
    <tableColumn id="3" name="Tipos IVA" dataDxfId="82"/>
    <tableColumn id="4" name="Coste unit medio" dataDxfId="81" dataCellStyle="Moneda">
      <calculatedColumnFormula>AVERAGEIF(Registro_Compras[Material],ListadoMateriales[[#This Row],[Materiales]],Registro_Compras[Precio ud])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Receta1" displayName="Receta1" ref="A4:E6" totalsRowShown="0">
  <autoFilter ref="A4:E6"/>
  <tableColumns count="5">
    <tableColumn id="1" name="Material"/>
    <tableColumn id="2" name="% necesario" dataDxfId="72"/>
    <tableColumn id="3" name="Uds en almacen" dataDxfId="71">
      <calculatedColumnFormula>IF(Receta1[[#This Row],[Material]]="","",INDEX('3.I_Registro'!$E$3:$F$11,MATCH(Receta1[[#This Row],[Material]],_xlfn.ANCHORARRAY('3.I_Registro'!$E$3),0),MATCH(Receta1[[#Headers],[Uds en almacen]],'3.I_Registro'!$E$2:$F$2,0)))</calculatedColumnFormula>
    </tableColumn>
    <tableColumn id="4" name="Minutos"/>
    <tableColumn id="5" name="Coste unit medio" dataDxfId="70">
      <calculatedColumnFormula>IF(Receta1[[#This Row],[Material]]="","",INDEX(ListadoMateriales[],MATCH(Receta1[[#This Row],[Material]],ListadoMateriales[Materiales],0),MATCH(Receta1[[#Headers],[Coste unit medio]],ListadoMateriales[#Headers],0)))*Receta1[[#This Row],[% necesario]]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Receta2" displayName="Receta2" ref="A9:E10" totalsRowShown="0">
  <autoFilter ref="A9:E10"/>
  <tableColumns count="5">
    <tableColumn id="1" name="Material"/>
    <tableColumn id="2" name="% necesario" dataDxfId="69"/>
    <tableColumn id="3" name="Uds en almacen" dataDxfId="68">
      <calculatedColumnFormula>IF(Receta2[[#This Row],[Material]]="","",INDEX('3.I_Registro'!$E$3:$F$11,MATCH(Receta2[[#This Row],[Material]],_xlfn.ANCHORARRAY('3.I_Registro'!$E$3),0),MATCH(Receta2[[#Headers],[Uds en almacen]],'3.I_Registro'!$E$2:$F$2,0)))</calculatedColumnFormula>
    </tableColumn>
    <tableColumn id="4" name="Minutos"/>
    <tableColumn id="5" name="Coste unit medio" dataDxfId="67">
      <calculatedColumnFormula>IF(Receta2[[#This Row],[Material]]="","",INDEX(ListadoMateriales[],MATCH(Receta2[[#This Row],[Material]],ListadoMateriales[Materiales],0),MATCH(Receta2[[#Headers],[Coste unit medio]],ListadoMateriales[#Headers],0)))*Receta2[[#This Row],[% necesario]]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Receta3" displayName="Receta3" ref="A14:E16" totalsRowShown="0">
  <autoFilter ref="A14:E16"/>
  <tableColumns count="5">
    <tableColumn id="1" name="Material"/>
    <tableColumn id="2" name="% necesario" dataDxfId="66"/>
    <tableColumn id="3" name="Uds en almacen" dataDxfId="65">
      <calculatedColumnFormula>IF(Receta3[[#This Row],[Material]]="","",INDEX('3.I_Registro'!$E$3:$F$11,MATCH(Receta3[[#This Row],[Material]],_xlfn.ANCHORARRAY('3.I_Registro'!$E$3),0),MATCH(Receta3[[#Headers],[Uds en almacen]],'3.I_Registro'!$E$2:$F$2,0)))</calculatedColumnFormula>
    </tableColumn>
    <tableColumn id="4" name="Minutos"/>
    <tableColumn id="5" name="Coste unit medio" dataDxfId="64" dataCellStyle="Moneda">
      <calculatedColumnFormula>IF(Receta3[[#This Row],[Material]]="","",INDEX(ListadoMateriales[],MATCH(Receta3[[#This Row],[Material]],ListadoMateriales[Materiales],0),MATCH(Receta3[[#Headers],[Coste unit medio]],ListadoMateriales[#Headers],0)))*Receta3[[#This Row],[% necesario]]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Receta4" displayName="Receta4" ref="A19:E21" totalsRowShown="0">
  <autoFilter ref="A19:E21"/>
  <tableColumns count="5">
    <tableColumn id="1" name="Material"/>
    <tableColumn id="2" name="% necesario" dataDxfId="63"/>
    <tableColumn id="3" name="Uds en almacen" dataDxfId="62">
      <calculatedColumnFormula>IF(Receta4[[#This Row],[Material]]="","",INDEX('3.I_Registro'!$E$3:$F$11,MATCH(Receta4[[#This Row],[Material]],_xlfn.ANCHORARRAY('3.I_Registro'!$E$3),0),MATCH(Receta4[[#Headers],[Uds en almacen]],'3.I_Registro'!$E$2:$F$2,0)))</calculatedColumnFormula>
    </tableColumn>
    <tableColumn id="4" name="Minutos"/>
    <tableColumn id="5" name="Coste unit medio" dataDxfId="61" dataCellStyle="Moneda">
      <calculatedColumnFormula>IF(Receta4[[#This Row],[Material]]="","",INDEX(ListadoMateriales[],MATCH(Receta4[[#This Row],[Material]],ListadoMateriales[Materiales],0),MATCH(Receta4[[#Headers],[Coste unit medio]],ListadoMateriales[#Headers],0)))*Receta4[[#This Row],[% necesario]]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ListadoComponentes" displayName="ListadoComponentes" ref="H3:L7" totalsRowShown="0">
  <autoFilter ref="H3:L7"/>
  <tableColumns count="5">
    <tableColumn id="1" name="Componente" dataDxfId="60"/>
    <tableColumn id="2" name="Receta" dataDxfId="59"/>
    <tableColumn id="3" name="Capacidad" dataDxfId="58"/>
    <tableColumn id="4" name="Tiempo prod" dataDxfId="57"/>
    <tableColumn id="5" name="Coste unit comp" dataDxfId="56">
      <calculatedColumnFormula>SUM(Receta2[Coste unit medio])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ListadoProductos" displayName="ListadoProductos" ref="O3:AA5" totalsRowShown="0">
  <autoFilter ref="O3:AA5"/>
  <tableColumns count="13">
    <tableColumn id="1" name="Productos" dataDxfId="55"/>
    <tableColumn id="12" name="Precio" dataDxfId="54" dataCellStyle="Moneda"/>
    <tableColumn id="9" name="IVA" dataDxfId="53" dataCellStyle="Moneda"/>
    <tableColumn id="2" name="Comp1"/>
    <tableColumn id="3" name="Comp2"/>
    <tableColumn id="4" name="Comp3"/>
    <tableColumn id="5" name="Comp4"/>
    <tableColumn id="6" name="Comp5"/>
    <tableColumn id="7" name="Mins totales" dataDxfId="52">
      <calculatedColumnFormula>SUM(
SUMIF(ListadoComponentes[Componente],$R4,ListadoComponentes[Tiempo prod]),
SUMIF(ListadoComponentes[Componente],$S4,ListadoComponentes[Tiempo prod]),
SUMIF(ListadoComponentes[Componente],$T4,ListadoComponentes[Tiempo prod]),
SUMIF(ListadoComponentes[Componente],$U4,ListadoComponentes[Tiempo prod]),
SUMIF(ListadoComponentes[Componente],$V4,ListadoComponentes[Tiempo prod]))</calculatedColumnFormula>
    </tableColumn>
    <tableColumn id="8" name="Capacidad" dataDxfId="51">
      <calculatedColumnFormula>MIN(IF($R4="",9999,INDEX(ListadoComponentes[],MATCH($R4,ListadoComponentes[Componente],0),MATCH("Capacidad",ListadoComponentes[#Headers],0))),
IF($S4="",9999,INDEX(ListadoComponentes[],MATCH($S4,ListadoComponentes[Componente],0),MATCH("Capacidad",ListadoComponentes[#Headers],0))),
IF($T4="",9999,INDEX(ListadoComponentes[],MATCH($T4,ListadoComponentes[Componente],0),MATCH("Capacidad",ListadoComponentes[#Headers],0))),
IF($U4="",9999,INDEX(ListadoComponentes[],MATCH($U4,ListadoComponentes[Componente],0),MATCH("Capacidad",ListadoComponentes[#Headers],0))),
IF($V4="",9999,INDEX(ListadoComponentes[],MATCH($V4,ListadoComponentes[Componente],0),MATCH("Capacidad",ListadoComponentes[#Headers],0))))</calculatedColumnFormula>
    </tableColumn>
    <tableColumn id="10" name="Coste unit prod" dataDxfId="50">
      <calculatedColumnFormula>SUM(
SUMIF(ListadoComponentes[Componente],$R4,ListadoComponentes[Coste unit comp]),
SUMIF(ListadoComponentes[Componente],$S4,ListadoComponentes[Coste unit comp]),
SUMIF(ListadoComponentes[Componente],$T4,ListadoComponentes[Coste unit comp]),
SUMIF(ListadoComponentes[Componente],$U4,ListadoComponentes[Coste unit comp]),
SUMIF(ListadoComponentes[Componente],$V4,ListadoComponentes[Coste unit comp]))</calculatedColumnFormula>
    </tableColumn>
    <tableColumn id="11" name="Beneficio" dataDxfId="49" dataCellStyle="Moneda">
      <calculatedColumnFormula>ListadoProductos[[#This Row],[Precio]]-ListadoProductos[[#This Row],[Coste unit prod]]</calculatedColumnFormula>
    </tableColumn>
    <tableColumn id="14" name="Bº/min" dataDxfId="48" dataCellStyle="Moneda">
      <calculatedColumnFormula>ListadoProductos[[#This Row],[Beneficio]]/ListadoProductos[[#This Row],[Mins totales]]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ListadoMaquinas" displayName="ListadoMaquinas" ref="AD3:AG7" totalsRowShown="0">
  <autoFilter ref="AD3:AG7"/>
  <tableColumns count="4">
    <tableColumn id="1" name="Maquina" dataDxfId="47"/>
    <tableColumn id="2" name="Jornada(h)" dataDxfId="46"/>
    <tableColumn id="3" name="Jornada(min)" dataDxfId="45">
      <calculatedColumnFormula>AE4*60</calculatedColumnFormula>
    </tableColumn>
    <tableColumn id="4" name="Gasto luz/mes" dataDxfId="44">
      <calculatedColumnFormula>$AE$10*ListadoMaquinas[[#This Row],[Jornada(h)]]*30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9" name="Tabla19" displayName="Tabla19" ref="E3:S210" totalsRowShown="0" headerRowDxfId="43" dataDxfId="42" tableBorderDxfId="41">
  <autoFilter ref="E3:S210"/>
  <tableColumns count="15">
    <tableColumn id="1" name="Comp1" dataDxfId="40">
      <calculatedColumnFormula>IF($A4="","",INDEX(ListadoProductos[],MATCH('2.C_Datos'!$C4,ListadoProductos[Productos],0),MATCH('2.C_Datos'!E$3,ListadoProductos[#Headers],0)))</calculatedColumnFormula>
    </tableColumn>
    <tableColumn id="2" name="Comp2" dataDxfId="39">
      <calculatedColumnFormula>IF($A4="","",INDEX(ListadoProductos[],MATCH('2.C_Datos'!$C4,ListadoProductos[Productos],0),MATCH('2.C_Datos'!F$3,ListadoProductos[#Headers],0)))</calculatedColumnFormula>
    </tableColumn>
    <tableColumn id="3" name="Comp3" dataDxfId="38">
      <calculatedColumnFormula>IF($A4="","",INDEX(ListadoProductos[],MATCH('2.C_Datos'!$C4,ListadoProductos[Productos],0),MATCH('2.C_Datos'!G$3,ListadoProductos[#Headers],0)))</calculatedColumnFormula>
    </tableColumn>
    <tableColumn id="4" name="Comp4" dataDxfId="37">
      <calculatedColumnFormula>IF($A4="","",INDEX(ListadoProductos[],MATCH('2.C_Datos'!$C4,ListadoProductos[Productos],0),MATCH('2.C_Datos'!H$3,ListadoProductos[#Headers],0)))</calculatedColumnFormula>
    </tableColumn>
    <tableColumn id="5" name="Comp5" dataDxfId="36">
      <calculatedColumnFormula>IF($A4="","",INDEX(ListadoProductos[],MATCH('2.C_Datos'!$C4,ListadoProductos[Productos],0),MATCH('2.C_Datos'!I$3,ListadoProductos[#Headers],0)))</calculatedColumnFormula>
    </tableColumn>
    <tableColumn id="6" name="Asign1" dataDxfId="35">
      <calculatedColumnFormula>IF(Tabla19[[#This Row],[Comp1]]="","",COUNTIFS(TablaMaq1[Componente],Tabla19[[#This Row],[Comp1]],TablaMaq1[ID_Pedido],'2.C_Datos'!A4)+
COUNTIFS(TablaMaq2[Componente],Tabla19[[#This Row],[Comp1]],TablaMaq2[ID_Pedido],'2.C_Datos'!A4)+
COUNTIFS(TablaMaq3[Componente],Tabla19[[#This Row],[Comp1]],TablaMaq3[ID_Pedido],'2.C_Datos'!A4)+
COUNTIFS(TablaMaq4[Componente],Tabla19[[#This Row],[Comp1]],TablaMaq4[ID_Pedido],'2.C_Datos'!A4))</calculatedColumnFormula>
    </tableColumn>
    <tableColumn id="7" name="Asign2" dataDxfId="34">
      <calculatedColumnFormula>IF(Tabla19[[#This Row],[Comp2]]="","",COUNTIFS(TablaMaq1[Componente],Tabla19[[#This Row],[Comp2]],TablaMaq1[ID_Pedido],'2.C_Datos'!A4)+
COUNTIFS(TablaMaq2[Componente],Tabla19[[#This Row],[Comp2]],TablaMaq2[ID_Pedido],'2.C_Datos'!A4)+
COUNTIFS(TablaMaq3[Componente],Tabla19[[#This Row],[Comp2]],TablaMaq3[ID_Pedido],'2.C_Datos'!A4)+
COUNTIFS(TablaMaq4[Componente],Tabla19[[#This Row],[Comp2]],TablaMaq4[ID_Pedido],'2.C_Datos'!A4))</calculatedColumnFormula>
    </tableColumn>
    <tableColumn id="8" name="Asign3" dataDxfId="33">
      <calculatedColumnFormula>IF(Tabla19[[#This Row],[Comp3]]="","",COUNTIFS(TablaMaq1[Componente],Tabla19[[#This Row],[Comp3]],TablaMaq1[ID_Pedido],'2.C_Datos'!A4)+
COUNTIFS(TablaMaq2[Componente],Tabla19[[#This Row],[Comp3]],TablaMaq2[ID_Pedido],'2.C_Datos'!A4)+
COUNTIFS(TablaMaq3[Componente],Tabla19[[#This Row],[Comp3]],TablaMaq3[ID_Pedido],'2.C_Datos'!A4)+
COUNTIFS(TablaMaq4[Componente],Tabla19[[#This Row],[Comp3]],TablaMaq4[ID_Pedido],'2.C_Datos'!A4))</calculatedColumnFormula>
    </tableColumn>
    <tableColumn id="9" name="Asign4" dataDxfId="32">
      <calculatedColumnFormula>IF(Tabla19[[#This Row],[Comp4]]="","",COUNTIFS(TablaMaq1[Componente],Tabla19[[#This Row],[Comp4]],TablaMaq1[ID_Pedido],'2.C_Datos'!A4)+
COUNTIFS(TablaMaq2[Componente],Tabla19[[#This Row],[Comp4]],TablaMaq2[ID_Pedido],'2.C_Datos'!A4)+
COUNTIFS(TablaMaq3[Componente],Tabla19[[#This Row],[Comp4]],TablaMaq3[ID_Pedido],'2.C_Datos'!A4)+
COUNTIFS(TablaMaq4[Componente],Tabla19[[#This Row],[Comp4]],TablaMaq4[ID_Pedido],'2.C_Datos'!A4))</calculatedColumnFormula>
    </tableColumn>
    <tableColumn id="10" name="Asign5" dataDxfId="31">
      <calculatedColumnFormula>IF(Tabla19[[#This Row],[Comp5]]="","",COUNTIFS(TablaMaq1[Componente],Tabla19[[#This Row],[Comp5]],TablaMaq1[ID_Pedido],'2.C_Datos'!A4)+
COUNTIFS(TablaMaq1[Componente],Tabla19[[#This Row],[Comp5]],TablaMaq2[ID_Pedido],'2.C_Datos'!A4)+
COUNTIFS(TablaMaq1[Componente],Tabla19[[#This Row],[Comp5]],TablaMaq3[ID_Pedido],'2.C_Datos'!A4)+
COUNTIFS(TablaMaq1[Componente],Tabla19[[#This Row],[Comp5]],TablaMaq4[ID_Pedido],'2.C_Datos'!A4))</calculatedColumnFormula>
    </tableColumn>
    <tableColumn id="16" name="Pend1" dataDxfId="30">
      <calculatedColumnFormula>IF(Tabla19[[#This Row],[Comp1]]="","",
IF(IF(Tabla19[[#This Row],[Comp1]]=0,0,1)*$D4-Tabla19[[#This Row],[Asign1]]=0,0,Tabla19[[#This Row],[Comp1]]))</calculatedColumnFormula>
    </tableColumn>
    <tableColumn id="17" name="Pend2" dataDxfId="29">
      <calculatedColumnFormula>IF(Tabla19[[#This Row],[Comp2]]="","",
IF(IF(Tabla19[[#This Row],[Comp2]]=0,0,1)*$D4-Tabla19[[#This Row],[Asign2]]=0,0,Tabla19[[#This Row],[Comp2]]))</calculatedColumnFormula>
    </tableColumn>
    <tableColumn id="18" name="Pend3" dataDxfId="28">
      <calculatedColumnFormula>IF(Tabla19[[#This Row],[Comp3]]="","",
IF(IF(Tabla19[[#This Row],[Comp3]]=0,0,1)*$D4-Tabla19[[#This Row],[Asign3]]=0,0,Tabla19[[#This Row],[Comp3]]))</calculatedColumnFormula>
    </tableColumn>
    <tableColumn id="19" name="Pend4" dataDxfId="27">
      <calculatedColumnFormula>IF(Tabla19[[#This Row],[Comp4]]="","",
IF(IF(Tabla19[[#This Row],[Comp4]]=0,0,1)*$D4-Tabla19[[#This Row],[Asign4]]=0,0,Tabla19[[#This Row],[Comp4]]))</calculatedColumnFormula>
    </tableColumn>
    <tableColumn id="20" name="Pend5" dataDxfId="26">
      <calculatedColumnFormula>IF(Tabla19[[#This Row],[Comp5]]="","",
IF(IF(Tabla19[[#This Row],[Comp5]]=0,0,1)*$D4-Tabla19[[#This Row],[Asign5]]=0,0,Tabla19[[#This Row],[Comp5]]))</calculatedColumnFormula>
    </tableColumn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id="11" name="TablaMaq1" displayName="TablaMaq1" ref="L3:O24" totalsRowShown="0">
  <autoFilter ref="L3:O24"/>
  <tableColumns count="4">
    <tableColumn id="1" name="Componente" dataDxfId="24">
      <calculatedColumnFormula>ListadoComponentes[[#This Row],[Componente]]</calculatedColumnFormula>
    </tableColumn>
    <tableColumn id="2" name="Tiempo prod" dataDxfId="23">
      <calculatedColumnFormula>IF(TablaMaq1[[#This Row],[Componente]]="","",
IF(TablaMaq1[[#This Row],[Hecho]]="",
INDEX(ListadoComponentes[],MATCH(TablaMaq1[[#This Row],[Componente]],ListadoComponentes[Componente],0),MATCH(TablaMaq1[[#Headers],[Tiempo prod]],ListadoComponentes[#Headers],
0)),0))</calculatedColumnFormula>
    </tableColumn>
    <tableColumn id="3" name="ID_Pedido" dataDxfId="22"/>
    <tableColumn id="4" name="Hecho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Maq2" displayName="TablaMaq2" ref="Q3:T24" totalsRowShown="0">
  <autoFilter ref="Q3:T24"/>
  <tableColumns count="4">
    <tableColumn id="1" name="Componente" dataDxfId="20"/>
    <tableColumn id="2" name="Tiempo prod" dataDxfId="19">
      <calculatedColumnFormula>IF(TablaMaq2[[#This Row],[Componente]]="","",
IF(TablaMaq2[[#This Row],[Hecho]]="",
INDEX(ListadoComponentes[],MATCH(TablaMaq2[[#This Row],[Componente]],ListadoComponentes[Componente],0),MATCH(TablaMaq2[[#Headers],[Tiempo prod]],ListadoComponentes[#Headers],
0)),0))</calculatedColumnFormula>
    </tableColumn>
    <tableColumn id="3" name="ID_Pedido" dataDxfId="18"/>
    <tableColumn id="4" name="Hecho" dataDxfId="1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TablaMaq3" displayName="TablaMaq3" ref="V3:Y24" totalsRowShown="0">
  <autoFilter ref="V3:Y24"/>
  <tableColumns count="4">
    <tableColumn id="1" name="Componente" dataDxfId="16"/>
    <tableColumn id="2" name="Tiempo prod" dataDxfId="15">
      <calculatedColumnFormula>IF(TablaMaq3[[#This Row],[Componente]]="","",
IF(TablaMaq3[[#This Row],[Hecho]]="",
INDEX(ListadoComponentes[],MATCH(TablaMaq3[[#This Row],[Componente]],ListadoComponentes[Componente],0),MATCH(TablaMaq3[[#Headers],[Tiempo prod]],ListadoComponentes[#Headers],
0)),0))</calculatedColumnFormula>
    </tableColumn>
    <tableColumn id="3" name="ID_Pedido" dataDxfId="14"/>
    <tableColumn id="4" name="Hecho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4" name="TablaMaq4" displayName="TablaMaq4" ref="AA3:AD24" totalsRowShown="0">
  <autoFilter ref="AA3:AD24"/>
  <tableColumns count="4">
    <tableColumn id="1" name="Componente" dataDxfId="12"/>
    <tableColumn id="2" name="Tiempo prod" dataDxfId="11">
      <calculatedColumnFormula>IF(TablaMaq4[[#This Row],[Componente]]="","",
IF(TablaMaq4[[#This Row],[Hecho]]="",
INDEX(ListadoComponentes[],MATCH(TablaMaq4[[#This Row],[Componente]],ListadoComponentes[Componente],0),MATCH(TablaMaq4[[#Headers],[Tiempo prod]],ListadoComponentes[#Headers],
0)),0))</calculatedColumnFormula>
    </tableColumn>
    <tableColumn id="3" name="ID_Pedido" dataDxfId="10"/>
    <tableColumn id="4" name="Hecho" dataDxf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3" name="Registro_Consumos" displayName="Registro_Consumos" ref="A2:C11" totalsRowShown="0">
  <autoFilter ref="A2:C11"/>
  <tableColumns count="3">
    <tableColumn id="1" name="Material"/>
    <tableColumn id="2" name="Uds consum"/>
    <tableColumn id="3" name="Fecha consum" dataDxfId="8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id="17" name="Registro_Pedidos" displayName="Registro_Pedidos" ref="A2:K9" totalsRowShown="0" headerRowDxfId="7">
  <autoFilter ref="A2:K9"/>
  <tableColumns count="11">
    <tableColumn id="1" name="Fecha" dataDxfId="6"/>
    <tableColumn id="2" name="Cliente"/>
    <tableColumn id="3" name="Producto"/>
    <tableColumn id="11" name="Cantidad" dataDxfId="5" dataCellStyle="Moneda"/>
    <tableColumn id="10" name="ID_Pedido" dataDxfId="4">
      <calculatedColumnFormula>IF(Registro_Pedidos[[#This Row],[Producto]]="","",CONCATENATE("PD_",ROW(Registro_Pedidos[[#This Row],[Producto]])-2))</calculatedColumnFormula>
    </tableColumn>
    <tableColumn id="4" name="Fecha entrega estimada"/>
    <tableColumn id="5" name="Fecha cobro"/>
    <tableColumn id="6" name="Precio" dataDxfId="3" dataCellStyle="Moneda">
      <calculatedColumnFormula>IF(Registro_Pedidos[[#This Row],[Producto]]="","",INDEX(ListadoProductos[],MATCH(Registro_Pedidos[[#This Row],[Producto]],ListadoProductos[Productos],0),MATCH("Precio",ListadoProductos[#Headers],))*Registro_Pedidos[[#This Row],[Cantidad]])</calculatedColumnFormula>
    </tableColumn>
    <tableColumn id="8" name="IVA" dataDxfId="2" dataCellStyle="Moneda">
      <calculatedColumnFormula>IF(Registro_Pedidos[[#This Row],[Producto]]="","",Registro_Pedidos[[#This Row],[Precio]]*INDEX(ListadoProductos[],MATCH(Registro_Pedidos[[#This Row],[Producto]],ListadoProductos[Productos],0),MATCH("IVA",ListadoProductos[#Headers],0)))</calculatedColumnFormula>
    </tableColumn>
    <tableColumn id="9" name="Precio total" dataDxfId="1" dataCellStyle="Moneda">
      <calculatedColumnFormula>IF(Registro_Pedidos[[#This Row],[Producto]]="","",Registro_Pedidos[[#This Row],[Precio]]+Registro_Pedidos[[#This Row],[IVA]])</calculatedColumnFormula>
    </tableColumn>
    <tableColumn id="7" name="Cobrado" dataDxfId="0">
      <calculatedColumnFormula>IF(Registro_Pedidos[[#This Row],[Fecha cobro]]="","No","Si")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Fecha" sourceName="Fecha">
  <pivotTables>
    <pivotTable tabId="4" name="TablaDinámica1"/>
  </pivotTables>
  <state minimalRefreshVersion="6" lastRefreshVersion="6" pivotCacheId="805550619" filterType="dateBetween">
    <selection startDate="2021-02-01T00:00:00" endDate="2021-02-28T00:00:00"/>
    <bounds startDate="2021-01-01T00:00:00" endDate="2022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name="NativeTimeline_Fecha_devolucion" sourceName="Fecha devolucion">
  <pivotTables>
    <pivotTable tabId="4" name="TablaDinámica2"/>
  </pivotTables>
  <state minimalRefreshVersion="6" lastRefreshVersion="6" pivotCacheId="384341662" filterType="dateBetween">
    <selection startDate="2021-04-01T00:00:00" endDate="2021-06-30T00:00:00"/>
    <bounds startDate="2021-01-01T00:00:00" endDate="2022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name="NativeTimeline_Fecha_cobro" sourceName="Fecha cobro">
  <pivotTables>
    <pivotTable tabId="12" name="TablaDinámica1"/>
  </pivotTables>
  <state minimalRefreshVersion="6" lastRefreshVersion="6" pivotCacheId="978214017" filterType="unknown">
    <bounds startDate="2021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Fecha 1" cache="NativeTimeline_Fecha" caption="Fecha" level="2" selectionLevel="2" scrollPosition="2021-01-01T00:00:00" style="TimeSlicerStyleLight2"/>
  <timeline name="Fecha devolucion" cache="NativeTimeline_Fecha_devolucion" caption="Fecha devolucion" level="2" selectionLevel="1" scrollPosition="2021-01-01T00:00:00" style="TimeSlicerStyleLight2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Fecha cobro" cache="NativeTimeline_Fecha_cobro" caption="Fecha cobro" level="2" selectionLevel="2" scrollPosition="2021-01-01T00:00:00" style="TimeSlicerStyleLight6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2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V19"/>
  <sheetViews>
    <sheetView workbookViewId="0">
      <selection activeCell="A3" sqref="A3"/>
    </sheetView>
  </sheetViews>
  <sheetFormatPr baseColWidth="10" defaultRowHeight="14.4" x14ac:dyDescent="0.3"/>
  <cols>
    <col min="1" max="1" width="19.88671875" customWidth="1"/>
    <col min="5" max="5" width="6.44140625" customWidth="1"/>
    <col min="8" max="8" width="13.33203125" customWidth="1"/>
    <col min="9" max="9" width="12.44140625" customWidth="1"/>
    <col min="12" max="12" width="2.5546875" style="72" customWidth="1"/>
    <col min="13" max="13" width="12.88671875" customWidth="1"/>
    <col min="14" max="14" width="18.5546875" customWidth="1"/>
    <col min="15" max="15" width="15.6640625" customWidth="1"/>
    <col min="16" max="17" width="16.88671875" customWidth="1"/>
    <col min="20" max="20" width="13.33203125" customWidth="1"/>
    <col min="21" max="21" width="12.44140625" customWidth="1"/>
  </cols>
  <sheetData>
    <row r="1" spans="1:22" s="29" customFormat="1" ht="34.5" customHeight="1" x14ac:dyDescent="0.3">
      <c r="A1" s="28" t="s">
        <v>33</v>
      </c>
      <c r="L1" s="71"/>
      <c r="M1" s="28" t="s">
        <v>109</v>
      </c>
    </row>
    <row r="2" spans="1:22" ht="22.5" customHeight="1" x14ac:dyDescent="0.3">
      <c r="A2" t="s">
        <v>34</v>
      </c>
      <c r="B2" t="s">
        <v>112</v>
      </c>
      <c r="C2" t="s">
        <v>11</v>
      </c>
      <c r="D2" t="s">
        <v>12</v>
      </c>
      <c r="E2" t="s">
        <v>13</v>
      </c>
      <c r="F2" s="9" t="s">
        <v>17</v>
      </c>
      <c r="G2" s="9" t="s">
        <v>15</v>
      </c>
      <c r="H2" s="9" t="s">
        <v>14</v>
      </c>
      <c r="I2" s="9" t="s">
        <v>16</v>
      </c>
      <c r="J2" s="9" t="s">
        <v>18</v>
      </c>
      <c r="K2" s="16" t="s">
        <v>31</v>
      </c>
      <c r="M2" t="s">
        <v>31</v>
      </c>
      <c r="N2" t="s">
        <v>111</v>
      </c>
      <c r="O2" t="s">
        <v>114</v>
      </c>
      <c r="P2" t="s">
        <v>12</v>
      </c>
      <c r="Q2" t="s">
        <v>115</v>
      </c>
      <c r="R2" t="s">
        <v>15</v>
      </c>
      <c r="S2" t="s">
        <v>14</v>
      </c>
      <c r="T2" t="s">
        <v>16</v>
      </c>
      <c r="U2" t="s">
        <v>18</v>
      </c>
      <c r="V2" t="s">
        <v>34</v>
      </c>
    </row>
    <row r="3" spans="1:22" x14ac:dyDescent="0.3">
      <c r="A3" t="s">
        <v>1</v>
      </c>
      <c r="B3" s="24">
        <v>44302</v>
      </c>
      <c r="C3" s="22">
        <v>45678941</v>
      </c>
      <c r="D3" s="25">
        <v>20</v>
      </c>
      <c r="E3" s="22">
        <v>6</v>
      </c>
      <c r="F3" s="7">
        <f>IF(Registro_Compras[[#This Row],[Material]]="","",E3*D3)</f>
        <v>120</v>
      </c>
      <c r="G3" s="6">
        <f>IF(Registro_Compras[[#This Row],[Material]]="","",INDEX(ListadoMateriales[],MATCH('1.I_Compras'!$A3,ListadoMateriales[Materiales],0),MATCH("Tipos IVA",ListadoMateriales[#Headers],0)))</f>
        <v>0.21</v>
      </c>
      <c r="H3" s="7">
        <f>IF(Registro_Compras[[#This Row],[Material]]="","",G3*F3)</f>
        <v>25.2</v>
      </c>
      <c r="I3" s="8">
        <f>IF(Registro_Compras[[#This Row],[Material]]="","",F3+H3)</f>
        <v>145.19999999999999</v>
      </c>
      <c r="J3" s="5" t="str">
        <f>IF(Registro_Compras[[#This Row],[Material]]="","",INDEX(ListadoMateriales[],MATCH('1.I_Compras'!$A3,ListadoMateriales[Materiales],0),MATCH("Proveedores",ListadoMateriales[#Headers],0)))</f>
        <v>FILLAMENTUM</v>
      </c>
      <c r="K3" s="17" t="str">
        <f>IF(Registro_Compras[[#This Row],[Material]]="","",CONCATENATE("CO_",ROW(Registro_Compras[[#This Row],[Material]])-1))</f>
        <v>CO_2</v>
      </c>
      <c r="M3" s="22" t="s">
        <v>110</v>
      </c>
      <c r="N3" s="24">
        <v>44332</v>
      </c>
      <c r="O3" s="22">
        <v>2</v>
      </c>
      <c r="P3" s="32">
        <f>IF(Registro_DevolucionCompras[[#This Row],[Uds devueltas]]="","",INDEX(Registro_Compras[],MATCH(Registro_DevolucionCompras[[#This Row],[ID_Compra]],Registro_Compras[ID_Compra],0),MATCH("Precio ud",Registro_Compras[#Headers],0))*-1)</f>
        <v>-20</v>
      </c>
      <c r="Q3" s="32">
        <f>IF(Registro_DevolucionCompras[[#This Row],[Uds devueltas]]="","",Registro_DevolucionCompras[[#This Row],[Precio ud]]*Registro_DevolucionCompras[[#This Row],[Uds devueltas]])</f>
        <v>-40</v>
      </c>
      <c r="R3" s="65">
        <f>IF(Registro_DevolucionCompras[[#This Row],[Uds devueltas]]="","",INDEX(Registro_Compras[],MATCH(Registro_DevolucionCompras[[#This Row],[ID_Compra]],Registro_Compras[ID_Compra],0),MATCH("Tipo IVA",Registro_Compras[#Headers],0))*-1)</f>
        <v>-0.21</v>
      </c>
      <c r="S3" s="32">
        <f>IF(Registro_DevolucionCompras[[#This Row],[Uds devueltas]]="","",INDEX(Registro_Compras[],MATCH(Registro_DevolucionCompras[[#This Row],[ID_Compra]],Registro_Compras[ID_Compra],0),MATCH("IVA",Registro_Compras[#Headers],0))*-1)</f>
        <v>-25.2</v>
      </c>
      <c r="T3" s="32">
        <f>IF(Registro_DevolucionCompras[[#This Row],[Uds devueltas]]="","",INDEX(Registro_Compras[],MATCH(Registro_DevolucionCompras[[#This Row],[ID_Compra]],Registro_Compras[ID_Compra],0),MATCH("Precio neto",Registro_Compras[#Headers],0))*-1)</f>
        <v>-145.19999999999999</v>
      </c>
      <c r="U3" s="32" t="str">
        <f>IF(Registro_DevolucionCompras[[#This Row],[ID_Compra]]="","",INDEX(Registro_Compras[],MATCH(Registro_DevolucionCompras[[#This Row],[ID_Compra]],Registro_Compras[ID_Compra],0),MATCH("Proveedor",Registro_Compras[#Headers],0)))</f>
        <v>FILLAMENTUM</v>
      </c>
      <c r="V3" s="67" t="str">
        <f>IF(Registro_DevolucionCompras[[#This Row],[ID_Compra]]="","",INDEX(Registro_Compras[],MATCH(Registro_DevolucionCompras[[#This Row],[ID_Compra]],Registro_Compras[ID_Compra],0),MATCH("Material",Registro_Compras[#Headers],0)))</f>
        <v>OBJ1</v>
      </c>
    </row>
    <row r="4" spans="1:22" x14ac:dyDescent="0.3">
      <c r="A4" t="s">
        <v>5</v>
      </c>
      <c r="B4" s="24">
        <v>44302</v>
      </c>
      <c r="C4" s="22">
        <v>4546465</v>
      </c>
      <c r="D4" s="25">
        <v>18</v>
      </c>
      <c r="E4" s="22">
        <v>2</v>
      </c>
      <c r="F4" s="7">
        <f>IF(Registro_Compras[[#This Row],[Material]]="","",E4*D4)</f>
        <v>36</v>
      </c>
      <c r="G4" s="6">
        <f>IF(Registro_Compras[[#This Row],[Material]]="","",INDEX(ListadoMateriales[],MATCH('1.I_Compras'!$A4,ListadoMateriales[Materiales],0),MATCH("Tipos IVA",ListadoMateriales[#Headers],0)))</f>
        <v>0.21</v>
      </c>
      <c r="H4" s="7">
        <f>IF(Registro_Compras[[#This Row],[Material]]="","",G4*F4)</f>
        <v>7.56</v>
      </c>
      <c r="I4" s="8">
        <f>IF(Registro_Compras[[#This Row],[Material]]="","",F4+H4)</f>
        <v>43.56</v>
      </c>
      <c r="J4" s="5" t="str">
        <f>IF(Registro_Compras[[#This Row],[Material]]="","",INDEX(ListadoMateriales[],MATCH('1.I_Compras'!$A4,ListadoMateriales[Materiales],0),MATCH("Proveedores",ListadoMateriales[#Headers],0)))</f>
        <v>AMAZON</v>
      </c>
      <c r="K4" s="17" t="str">
        <f>IF(Registro_Compras[[#This Row],[Material]]="","",CONCATENATE("CO_",ROW(Registro_Compras[[#This Row],[Material]])-1))</f>
        <v>CO_3</v>
      </c>
      <c r="M4" s="22" t="s">
        <v>117</v>
      </c>
      <c r="N4" s="24">
        <v>44366</v>
      </c>
      <c r="O4" s="22">
        <v>1</v>
      </c>
      <c r="P4" s="32">
        <f>IF(Registro_DevolucionCompras[[#This Row],[Uds devueltas]]="","",INDEX(Registro_Compras[],MATCH(Registro_DevolucionCompras[[#This Row],[ID_Compra]],Registro_Compras[ID_Compra],0),MATCH("Precio ud",Registro_Compras[#Headers],0))*-1)</f>
        <v>-50</v>
      </c>
      <c r="Q4" s="32">
        <f>IF(Registro_DevolucionCompras[[#This Row],[Uds devueltas]]="","",Registro_DevolucionCompras[[#This Row],[Precio ud]]*Registro_DevolucionCompras[[#This Row],[Uds devueltas]])</f>
        <v>-50</v>
      </c>
      <c r="R4" s="65">
        <f>IF(Registro_DevolucionCompras[[#This Row],[Uds devueltas]]="","",INDEX(Registro_Compras[],MATCH(Registro_DevolucionCompras[[#This Row],[ID_Compra]],Registro_Compras[ID_Compra],0),MATCH("Tipo IVA",Registro_Compras[#Headers],0))*-1)</f>
        <v>-0.21</v>
      </c>
      <c r="S4" s="32">
        <f>IF(Registro_DevolucionCompras[[#This Row],[Uds devueltas]]="","",INDEX(Registro_Compras[],MATCH(Registro_DevolucionCompras[[#This Row],[ID_Compra]],Registro_Compras[ID_Compra],0),MATCH("IVA",Registro_Compras[#Headers],0))*-1)</f>
        <v>-52.5</v>
      </c>
      <c r="T4" s="32">
        <f>IF(Registro_DevolucionCompras[[#This Row],[Uds devueltas]]="","",INDEX(Registro_Compras[],MATCH(Registro_DevolucionCompras[[#This Row],[ID_Compra]],Registro_Compras[ID_Compra],0),MATCH("Precio neto",Registro_Compras[#Headers],0))*-1)</f>
        <v>-302.5</v>
      </c>
      <c r="U4" s="32" t="str">
        <f>IF(Registro_DevolucionCompras[[#This Row],[ID_Compra]]="","",INDEX(Registro_Compras[],MATCH(Registro_DevolucionCompras[[#This Row],[ID_Compra]],Registro_Compras[ID_Compra],0),MATCH("Proveedor",Registro_Compras[#Headers],0)))</f>
        <v>PROV2</v>
      </c>
      <c r="V4" s="67" t="str">
        <f>IF(Registro_DevolucionCompras[[#This Row],[ID_Compra]]="","",INDEX(Registro_Compras[],MATCH(Registro_DevolucionCompras[[#This Row],[ID_Compra]],Registro_Compras[ID_Compra],0),MATCH("Material",Registro_Compras[#Headers],0)))</f>
        <v>OBJ8</v>
      </c>
    </row>
    <row r="5" spans="1:22" x14ac:dyDescent="0.3">
      <c r="A5" t="s">
        <v>2</v>
      </c>
      <c r="B5" s="24">
        <v>44302</v>
      </c>
      <c r="C5" s="22">
        <v>4654165</v>
      </c>
      <c r="D5" s="25">
        <v>20</v>
      </c>
      <c r="E5" s="22">
        <v>3</v>
      </c>
      <c r="F5" s="7">
        <f>IF(Registro_Compras[[#This Row],[Material]]="","",E5*D5)</f>
        <v>60</v>
      </c>
      <c r="G5" s="6">
        <f>IF(Registro_Compras[[#This Row],[Material]]="","",INDEX(ListadoMateriales[],MATCH('1.I_Compras'!$A5,ListadoMateriales[Materiales],0),MATCH("Tipos IVA",ListadoMateriales[#Headers],0)))</f>
        <v>0.21</v>
      </c>
      <c r="H5" s="7">
        <f>IF(Registro_Compras[[#This Row],[Material]]="","",G5*F5)</f>
        <v>12.6</v>
      </c>
      <c r="I5" s="8">
        <f>IF(Registro_Compras[[#This Row],[Material]]="","",F5+H5)</f>
        <v>72.599999999999994</v>
      </c>
      <c r="J5" s="5" t="str">
        <f>IF(Registro_Compras[[#This Row],[Material]]="","",INDEX(ListadoMateriales[],MATCH('1.I_Compras'!$A5,ListadoMateriales[Materiales],0),MATCH("Proveedores",ListadoMateriales[#Headers],0)))</f>
        <v>FILLAMENTUM</v>
      </c>
      <c r="K5" s="17" t="str">
        <f>IF(Registro_Compras[[#This Row],[Material]]="","",CONCATENATE("CO_",ROW(Registro_Compras[[#This Row],[Material]])-1))</f>
        <v>CO_4</v>
      </c>
    </row>
    <row r="6" spans="1:22" x14ac:dyDescent="0.3">
      <c r="A6" t="s">
        <v>7</v>
      </c>
      <c r="B6" s="24">
        <v>44302</v>
      </c>
      <c r="C6" s="22">
        <v>1321321</v>
      </c>
      <c r="D6" s="25">
        <v>22</v>
      </c>
      <c r="E6" s="22">
        <v>5</v>
      </c>
      <c r="F6" s="7">
        <f>IF(Registro_Compras[[#This Row],[Material]]="","",E6*D6)</f>
        <v>110</v>
      </c>
      <c r="G6" s="6">
        <f>IF(Registro_Compras[[#This Row],[Material]]="","",INDEX(ListadoMateriales[],MATCH('1.I_Compras'!$A6,ListadoMateriales[Materiales],0),MATCH("Tipos IVA",ListadoMateriales[#Headers],0)))</f>
        <v>0.21</v>
      </c>
      <c r="H6" s="7">
        <f>IF(Registro_Compras[[#This Row],[Material]]="","",G6*F6)</f>
        <v>23.099999999999998</v>
      </c>
      <c r="I6" s="8">
        <f>IF(Registro_Compras[[#This Row],[Material]]="","",F6+H6)</f>
        <v>133.1</v>
      </c>
      <c r="J6" s="5" t="str">
        <f>IF(Registro_Compras[[#This Row],[Material]]="","",INDEX(ListadoMateriales[],MATCH('1.I_Compras'!$A6,ListadoMateriales[Materiales],0),MATCH("Proveedores",ListadoMateriales[#Headers],0)))</f>
        <v>PROV1</v>
      </c>
      <c r="K6" s="17" t="str">
        <f>IF(Registro_Compras[[#This Row],[Material]]="","",CONCATENATE("CO_",ROW(Registro_Compras[[#This Row],[Material]])-1))</f>
        <v>CO_5</v>
      </c>
    </row>
    <row r="7" spans="1:22" x14ac:dyDescent="0.3">
      <c r="A7" t="s">
        <v>4</v>
      </c>
      <c r="B7" s="24">
        <v>44303</v>
      </c>
      <c r="C7" s="22">
        <v>5461</v>
      </c>
      <c r="D7" s="25">
        <v>25</v>
      </c>
      <c r="E7" s="22">
        <v>4</v>
      </c>
      <c r="F7" s="7">
        <f>IF(Registro_Compras[[#This Row],[Material]]="","",E7*D7)</f>
        <v>100</v>
      </c>
      <c r="G7" s="6">
        <f>IF(Registro_Compras[[#This Row],[Material]]="","",INDEX(ListadoMateriales[],MATCH('1.I_Compras'!$A7,ListadoMateriales[Materiales],0),MATCH("Tipos IVA",ListadoMateriales[#Headers],0)))</f>
        <v>0.1</v>
      </c>
      <c r="H7" s="7">
        <f>IF(Registro_Compras[[#This Row],[Material]]="","",G7*F7)</f>
        <v>10</v>
      </c>
      <c r="I7" s="8">
        <f>IF(Registro_Compras[[#This Row],[Material]]="","",F7+H7)</f>
        <v>110</v>
      </c>
      <c r="J7" s="5" t="str">
        <f>IF(Registro_Compras[[#This Row],[Material]]="","",INDEX(ListadoMateriales[],MATCH('1.I_Compras'!$A7,ListadoMateriales[Materiales],0),MATCH("Proveedores",ListadoMateriales[#Headers],0)))</f>
        <v>PROV3</v>
      </c>
      <c r="K7" s="17" t="str">
        <f>IF(Registro_Compras[[#This Row],[Material]]="","",CONCATENATE("CO_",ROW(Registro_Compras[[#This Row],[Material]])-1))</f>
        <v>CO_6</v>
      </c>
    </row>
    <row r="8" spans="1:22" x14ac:dyDescent="0.3">
      <c r="A8" t="s">
        <v>4</v>
      </c>
      <c r="B8" s="24">
        <v>44303</v>
      </c>
      <c r="C8" s="22">
        <v>32132</v>
      </c>
      <c r="D8" s="25">
        <v>25</v>
      </c>
      <c r="E8" s="22">
        <v>8</v>
      </c>
      <c r="F8" s="7">
        <f>IF(Registro_Compras[[#This Row],[Material]]="","",E8*D8)</f>
        <v>200</v>
      </c>
      <c r="G8" s="6">
        <f>IF(Registro_Compras[[#This Row],[Material]]="","",INDEX(ListadoMateriales[],MATCH('1.I_Compras'!$A8,ListadoMateriales[Materiales],0),MATCH("Tipos IVA",ListadoMateriales[#Headers],0)))</f>
        <v>0.1</v>
      </c>
      <c r="H8" s="7">
        <f>IF(Registro_Compras[[#This Row],[Material]]="","",G8*F8)</f>
        <v>20</v>
      </c>
      <c r="I8" s="8">
        <f>IF(Registro_Compras[[#This Row],[Material]]="","",F8+H8)</f>
        <v>220</v>
      </c>
      <c r="J8" s="5" t="str">
        <f>IF(Registro_Compras[[#This Row],[Material]]="","",INDEX(ListadoMateriales[],MATCH('1.I_Compras'!$A8,ListadoMateriales[Materiales],0),MATCH("Proveedores",ListadoMateriales[#Headers],0)))</f>
        <v>PROV3</v>
      </c>
      <c r="K8" s="17" t="str">
        <f>IF(Registro_Compras[[#This Row],[Material]]="","",CONCATENATE("CO_",ROW(Registro_Compras[[#This Row],[Material]])-1))</f>
        <v>CO_7</v>
      </c>
    </row>
    <row r="9" spans="1:22" x14ac:dyDescent="0.3">
      <c r="A9" t="s">
        <v>2</v>
      </c>
      <c r="B9" s="24">
        <v>44308</v>
      </c>
      <c r="C9" s="22">
        <v>1523151</v>
      </c>
      <c r="D9" s="25">
        <v>20</v>
      </c>
      <c r="E9" s="22">
        <v>3</v>
      </c>
      <c r="F9" s="7">
        <f>IF(Registro_Compras[[#This Row],[Material]]="","",E9*D9)</f>
        <v>60</v>
      </c>
      <c r="G9" s="6">
        <f>IF(Registro_Compras[[#This Row],[Material]]="","",INDEX(ListadoMateriales[],MATCH('1.I_Compras'!$A9,ListadoMateriales[Materiales],0),MATCH("Tipos IVA",ListadoMateriales[#Headers],0)))</f>
        <v>0.21</v>
      </c>
      <c r="H9" s="7">
        <f>IF(Registro_Compras[[#This Row],[Material]]="","",G9*F9)</f>
        <v>12.6</v>
      </c>
      <c r="I9" s="8">
        <f>IF(Registro_Compras[[#This Row],[Material]]="","",F9+H9)</f>
        <v>72.599999999999994</v>
      </c>
      <c r="J9" s="5" t="str">
        <f>IF(Registro_Compras[[#This Row],[Material]]="","",INDEX(ListadoMateriales[],MATCH('1.I_Compras'!$A9,ListadoMateriales[Materiales],0),MATCH("Proveedores",ListadoMateriales[#Headers],0)))</f>
        <v>FILLAMENTUM</v>
      </c>
      <c r="K9" s="17" t="str">
        <f>IF(Registro_Compras[[#This Row],[Material]]="","",CONCATENATE("CO_",ROW(Registro_Compras[[#This Row],[Material]])-1))</f>
        <v>CO_8</v>
      </c>
    </row>
    <row r="10" spans="1:22" x14ac:dyDescent="0.3">
      <c r="A10" t="s">
        <v>2</v>
      </c>
      <c r="B10" s="24">
        <v>44308</v>
      </c>
      <c r="C10" s="22">
        <v>1231231</v>
      </c>
      <c r="D10" s="25">
        <v>20</v>
      </c>
      <c r="E10" s="22">
        <v>4</v>
      </c>
      <c r="F10" s="7">
        <f>IF(Registro_Compras[[#This Row],[Material]]="","",E10*D10)</f>
        <v>80</v>
      </c>
      <c r="G10" s="6">
        <f>IF(Registro_Compras[[#This Row],[Material]]="","",INDEX(ListadoMateriales[],MATCH('1.I_Compras'!$A10,ListadoMateriales[Materiales],0),MATCH("Tipos IVA",ListadoMateriales[#Headers],0)))</f>
        <v>0.21</v>
      </c>
      <c r="H10" s="7">
        <f>IF(Registro_Compras[[#This Row],[Material]]="","",G10*F10)</f>
        <v>16.8</v>
      </c>
      <c r="I10" s="8">
        <f>IF(Registro_Compras[[#This Row],[Material]]="","",F10+H10)</f>
        <v>96.8</v>
      </c>
      <c r="J10" s="5" t="str">
        <f>IF(Registro_Compras[[#This Row],[Material]]="","",INDEX(ListadoMateriales[],MATCH('1.I_Compras'!$A10,ListadoMateriales[Materiales],0),MATCH("Proveedores",ListadoMateriales[#Headers],0)))</f>
        <v>FILLAMENTUM</v>
      </c>
      <c r="K10" s="17" t="str">
        <f>IF(Registro_Compras[[#This Row],[Material]]="","",CONCATENATE("CO_",ROW(Registro_Compras[[#This Row],[Material]])-1))</f>
        <v>CO_9</v>
      </c>
    </row>
    <row r="11" spans="1:22" x14ac:dyDescent="0.3">
      <c r="A11" t="s">
        <v>7</v>
      </c>
      <c r="B11" s="24">
        <v>44308</v>
      </c>
      <c r="C11" s="22">
        <v>154654</v>
      </c>
      <c r="D11" s="25">
        <v>22</v>
      </c>
      <c r="E11" s="22">
        <v>4</v>
      </c>
      <c r="F11" s="7">
        <f>IF(Registro_Compras[[#This Row],[Material]]="","",E11*D11)</f>
        <v>88</v>
      </c>
      <c r="G11" s="6">
        <f>IF(Registro_Compras[[#This Row],[Material]]="","",INDEX(ListadoMateriales[],MATCH('1.I_Compras'!$A11,ListadoMateriales[Materiales],0),MATCH("Tipos IVA",ListadoMateriales[#Headers],0)))</f>
        <v>0.21</v>
      </c>
      <c r="H11" s="7">
        <f>IF(Registro_Compras[[#This Row],[Material]]="","",G11*F11)</f>
        <v>18.48</v>
      </c>
      <c r="I11" s="8">
        <f>IF(Registro_Compras[[#This Row],[Material]]="","",F11+H11)</f>
        <v>106.48</v>
      </c>
      <c r="J11" s="5" t="str">
        <f>IF(Registro_Compras[[#This Row],[Material]]="","",INDEX(ListadoMateriales[],MATCH('1.I_Compras'!$A11,ListadoMateriales[Materiales],0),MATCH("Proveedores",ListadoMateriales[#Headers],0)))</f>
        <v>PROV1</v>
      </c>
      <c r="K11" s="17" t="str">
        <f>IF(Registro_Compras[[#This Row],[Material]]="","",CONCATENATE("CO_",ROW(Registro_Compras[[#This Row],[Material]])-1))</f>
        <v>CO_10</v>
      </c>
    </row>
    <row r="12" spans="1:22" x14ac:dyDescent="0.3">
      <c r="A12" t="s">
        <v>6</v>
      </c>
      <c r="B12" s="24">
        <v>44308</v>
      </c>
      <c r="C12" s="22">
        <v>1654684</v>
      </c>
      <c r="D12" s="25">
        <v>18</v>
      </c>
      <c r="E12" s="22">
        <v>1</v>
      </c>
      <c r="F12" s="7">
        <f>IF(Registro_Compras[[#This Row],[Material]]="","",E12*D12)</f>
        <v>18</v>
      </c>
      <c r="G12" s="6">
        <f>IF(Registro_Compras[[#This Row],[Material]]="","",INDEX(ListadoMateriales[],MATCH('1.I_Compras'!$A12,ListadoMateriales[Materiales],0),MATCH("Tipos IVA",ListadoMateriales[#Headers],0)))</f>
        <v>0.1</v>
      </c>
      <c r="H12" s="7">
        <f>IF(Registro_Compras[[#This Row],[Material]]="","",G12*F12)</f>
        <v>1.8</v>
      </c>
      <c r="I12" s="8">
        <f>IF(Registro_Compras[[#This Row],[Material]]="","",F12+H12)</f>
        <v>19.8</v>
      </c>
      <c r="J12" s="5" t="str">
        <f>IF(Registro_Compras[[#This Row],[Material]]="","",INDEX(ListadoMateriales[],MATCH('1.I_Compras'!$A12,ListadoMateriales[Materiales],0),MATCH("Proveedores",ListadoMateriales[#Headers],0)))</f>
        <v>PROV1</v>
      </c>
      <c r="K12" s="17" t="str">
        <f>IF(Registro_Compras[[#This Row],[Material]]="","",CONCATENATE("CO_",ROW(Registro_Compras[[#This Row],[Material]])-1))</f>
        <v>CO_11</v>
      </c>
    </row>
    <row r="13" spans="1:22" x14ac:dyDescent="0.3">
      <c r="A13" t="s">
        <v>4</v>
      </c>
      <c r="B13" s="24">
        <v>44308</v>
      </c>
      <c r="C13" s="22">
        <v>4846454</v>
      </c>
      <c r="D13" s="25">
        <v>25</v>
      </c>
      <c r="E13" s="22">
        <v>3</v>
      </c>
      <c r="F13" s="7">
        <f>IF(Registro_Compras[[#This Row],[Material]]="","",E13*D13)</f>
        <v>75</v>
      </c>
      <c r="G13" s="6">
        <f>IF(Registro_Compras[[#This Row],[Material]]="","",INDEX(ListadoMateriales[],MATCH('1.I_Compras'!$A13,ListadoMateriales[Materiales],0),MATCH("Tipos IVA",ListadoMateriales[#Headers],0)))</f>
        <v>0.1</v>
      </c>
      <c r="H13" s="7">
        <f>IF(Registro_Compras[[#This Row],[Material]]="","",G13*F13)</f>
        <v>7.5</v>
      </c>
      <c r="I13" s="8">
        <f>IF(Registro_Compras[[#This Row],[Material]]="","",F13+H13)</f>
        <v>82.5</v>
      </c>
      <c r="J13" s="5" t="str">
        <f>IF(Registro_Compras[[#This Row],[Material]]="","",INDEX(ListadoMateriales[],MATCH('1.I_Compras'!$A13,ListadoMateriales[Materiales],0),MATCH("Proveedores",ListadoMateriales[#Headers],0)))</f>
        <v>PROV3</v>
      </c>
      <c r="K13" s="17" t="str">
        <f>IF(Registro_Compras[[#This Row],[Material]]="","",CONCATENATE("CO_",ROW(Registro_Compras[[#This Row],[Material]])-1))</f>
        <v>CO_12</v>
      </c>
    </row>
    <row r="14" spans="1:22" x14ac:dyDescent="0.3">
      <c r="A14" t="s">
        <v>9</v>
      </c>
      <c r="B14" s="24">
        <v>44322</v>
      </c>
      <c r="C14" s="22">
        <v>1568463</v>
      </c>
      <c r="D14" s="25">
        <v>16.5</v>
      </c>
      <c r="E14" s="22">
        <v>4</v>
      </c>
      <c r="F14" s="10">
        <f>IF(Registro_Compras[[#This Row],[Material]]="","",E14*D14)</f>
        <v>66</v>
      </c>
      <c r="G14" s="11">
        <f>IF(Registro_Compras[[#This Row],[Material]]="","",INDEX(ListadoMateriales[],MATCH('1.I_Compras'!$A14,ListadoMateriales[Materiales],0),MATCH("Tipos IVA",ListadoMateriales[#Headers],0)))</f>
        <v>0.21</v>
      </c>
      <c r="H14" s="10">
        <f>IF(Registro_Compras[[#This Row],[Material]]="","",G14*F14)</f>
        <v>13.86</v>
      </c>
      <c r="I14" s="8">
        <f>IF(Registro_Compras[[#This Row],[Material]]="","",F14+H14)</f>
        <v>79.86</v>
      </c>
      <c r="J14" s="12" t="str">
        <f>IF(Registro_Compras[[#This Row],[Material]]="","",INDEX(ListadoMateriales[],MATCH('1.I_Compras'!$A14,ListadoMateriales[Materiales],0),MATCH("Proveedores",ListadoMateriales[#Headers],0)))</f>
        <v>PROV1</v>
      </c>
      <c r="K14" s="17" t="str">
        <f>IF(Registro_Compras[[#This Row],[Material]]="","",CONCATENATE("CO_",ROW(Registro_Compras[[#This Row],[Material]])-1))</f>
        <v>CO_13</v>
      </c>
    </row>
    <row r="15" spans="1:22" x14ac:dyDescent="0.3">
      <c r="A15" t="s">
        <v>4</v>
      </c>
      <c r="B15" s="24">
        <v>44322</v>
      </c>
      <c r="C15" s="22">
        <v>464897</v>
      </c>
      <c r="D15" s="25">
        <v>25</v>
      </c>
      <c r="E15" s="22">
        <v>2</v>
      </c>
      <c r="F15" s="10">
        <f>IF(Registro_Compras[[#This Row],[Material]]="","",E15*D15)</f>
        <v>50</v>
      </c>
      <c r="G15" s="11">
        <f>IF(Registro_Compras[[#This Row],[Material]]="","",INDEX(ListadoMateriales[],MATCH('1.I_Compras'!$A15,ListadoMateriales[Materiales],0),MATCH("Tipos IVA",ListadoMateriales[#Headers],0)))</f>
        <v>0.1</v>
      </c>
      <c r="H15" s="10">
        <f>IF(Registro_Compras[[#This Row],[Material]]="","",G15*F15)</f>
        <v>5</v>
      </c>
      <c r="I15" s="8">
        <f>IF(Registro_Compras[[#This Row],[Material]]="","",F15+H15)</f>
        <v>55</v>
      </c>
      <c r="J15" s="12" t="str">
        <f>IF(Registro_Compras[[#This Row],[Material]]="","",INDEX(ListadoMateriales[],MATCH('1.I_Compras'!$A15,ListadoMateriales[Materiales],0),MATCH("Proveedores",ListadoMateriales[#Headers],0)))</f>
        <v>PROV3</v>
      </c>
      <c r="K15" s="17" t="str">
        <f>IF(Registro_Compras[[#This Row],[Material]]="","",CONCATENATE("CO_",ROW(Registro_Compras[[#This Row],[Material]])-1))</f>
        <v>CO_14</v>
      </c>
    </row>
    <row r="16" spans="1:22" x14ac:dyDescent="0.3">
      <c r="A16" t="s">
        <v>3</v>
      </c>
      <c r="B16" s="24">
        <v>44337</v>
      </c>
      <c r="C16" s="22">
        <v>7894513</v>
      </c>
      <c r="D16" s="25">
        <v>15</v>
      </c>
      <c r="E16" s="22">
        <v>1</v>
      </c>
      <c r="F16" s="10">
        <f>IF(Registro_Compras[[#This Row],[Material]]="","",E16*D16)</f>
        <v>15</v>
      </c>
      <c r="G16" s="11">
        <f>IF(Registro_Compras[[#This Row],[Material]]="","",INDEX(ListadoMateriales[],MATCH('1.I_Compras'!$A16,ListadoMateriales[Materiales],0),MATCH("Tipos IVA",ListadoMateriales[#Headers],0)))</f>
        <v>0.04</v>
      </c>
      <c r="H16" s="10">
        <f>IF(Registro_Compras[[#This Row],[Material]]="","",G16*F16)</f>
        <v>0.6</v>
      </c>
      <c r="I16" s="8">
        <f>IF(Registro_Compras[[#This Row],[Material]]="","",F16+H16)</f>
        <v>15.6</v>
      </c>
      <c r="J16" s="12" t="str">
        <f>IF(Registro_Compras[[#This Row],[Material]]="","",INDEX(ListadoMateriales[],MATCH('1.I_Compras'!$A16,ListadoMateriales[Materiales],0),MATCH("Proveedores",ListadoMateriales[#Headers],0)))</f>
        <v>AMAZON</v>
      </c>
      <c r="K16" s="17" t="str">
        <f>IF(Registro_Compras[[#This Row],[Material]]="","",CONCATENATE("CO_",ROW(Registro_Compras[[#This Row],[Material]])-1))</f>
        <v>CO_15</v>
      </c>
    </row>
    <row r="17" spans="1:11" x14ac:dyDescent="0.3">
      <c r="A17" t="s">
        <v>3</v>
      </c>
      <c r="B17" s="24">
        <v>44337</v>
      </c>
      <c r="C17" s="22">
        <v>4878979</v>
      </c>
      <c r="D17" s="25">
        <v>15</v>
      </c>
      <c r="E17" s="22">
        <v>2</v>
      </c>
      <c r="F17" s="10">
        <f>IF(Registro_Compras[[#This Row],[Material]]="","",E17*D17)</f>
        <v>30</v>
      </c>
      <c r="G17" s="11">
        <f>IF(Registro_Compras[[#This Row],[Material]]="","",INDEX(ListadoMateriales[],MATCH('1.I_Compras'!$A17,ListadoMateriales[Materiales],0),MATCH("Tipos IVA",ListadoMateriales[#Headers],0)))</f>
        <v>0.04</v>
      </c>
      <c r="H17" s="10">
        <f>IF(Registro_Compras[[#This Row],[Material]]="","",G17*F17)</f>
        <v>1.2</v>
      </c>
      <c r="I17" s="8">
        <f>IF(Registro_Compras[[#This Row],[Material]]="","",F17+H17)</f>
        <v>31.2</v>
      </c>
      <c r="J17" s="12" t="str">
        <f>IF(Registro_Compras[[#This Row],[Material]]="","",INDEX(ListadoMateriales[],MATCH('1.I_Compras'!$A17,ListadoMateriales[Materiales],0),MATCH("Proveedores",ListadoMateriales[#Headers],0)))</f>
        <v>AMAZON</v>
      </c>
      <c r="K17" s="17" t="str">
        <f>IF(Registro_Compras[[#This Row],[Material]]="","",CONCATENATE("CO_",ROW(Registro_Compras[[#This Row],[Material]])-1))</f>
        <v>CO_16</v>
      </c>
    </row>
    <row r="18" spans="1:11" x14ac:dyDescent="0.3">
      <c r="A18" t="s">
        <v>3</v>
      </c>
      <c r="B18" s="24">
        <v>44340</v>
      </c>
      <c r="C18" s="22">
        <v>1651561</v>
      </c>
      <c r="D18" s="25">
        <v>15</v>
      </c>
      <c r="E18" s="22">
        <v>1</v>
      </c>
      <c r="F18" s="10">
        <f>IF(Registro_Compras[[#This Row],[Material]]="","",E18*D18)</f>
        <v>15</v>
      </c>
      <c r="G18" s="11">
        <f>IF(Registro_Compras[[#This Row],[Material]]="","",INDEX(ListadoMateriales[],MATCH('1.I_Compras'!$A18,ListadoMateriales[Materiales],0),MATCH("Tipos IVA",ListadoMateriales[#Headers],0)))</f>
        <v>0.04</v>
      </c>
      <c r="H18" s="10">
        <f>IF(Registro_Compras[[#This Row],[Material]]="","",G18*F18)</f>
        <v>0.6</v>
      </c>
      <c r="I18" s="8">
        <f>IF(Registro_Compras[[#This Row],[Material]]="","",F18+H18)</f>
        <v>15.6</v>
      </c>
      <c r="J18" s="12" t="str">
        <f>IF(Registro_Compras[[#This Row],[Material]]="","",INDEX(ListadoMateriales[],MATCH('1.I_Compras'!$A18,ListadoMateriales[Materiales],0),MATCH("Proveedores",ListadoMateriales[#Headers],0)))</f>
        <v>AMAZON</v>
      </c>
      <c r="K18" s="18" t="str">
        <f>IF(Registro_Compras[[#This Row],[Material]]="","",CONCATENATE("CO_",ROW(Registro_Compras[[#This Row],[Material]])-1))</f>
        <v>CO_17</v>
      </c>
    </row>
    <row r="19" spans="1:11" x14ac:dyDescent="0.3">
      <c r="A19" t="s">
        <v>8</v>
      </c>
      <c r="B19" s="24">
        <v>44364</v>
      </c>
      <c r="C19" s="22">
        <v>1564654</v>
      </c>
      <c r="D19" s="25">
        <v>50</v>
      </c>
      <c r="E19" s="22">
        <v>5</v>
      </c>
      <c r="F19" s="10">
        <f>IF(Registro_Compras[[#This Row],[Material]]="","",E19*D19)</f>
        <v>250</v>
      </c>
      <c r="G19" s="11">
        <f>IF(Registro_Compras[[#This Row],[Material]]="","",INDEX(ListadoMateriales[],MATCH('1.I_Compras'!$A19,ListadoMateriales[Materiales],0),MATCH("Tipos IVA",ListadoMateriales[#Headers],0)))</f>
        <v>0.21</v>
      </c>
      <c r="H19" s="10">
        <f>IF(Registro_Compras[[#This Row],[Material]]="","",G19*F19)</f>
        <v>52.5</v>
      </c>
      <c r="I19" s="8">
        <f>IF(Registro_Compras[[#This Row],[Material]]="","",F19+H19)</f>
        <v>302.5</v>
      </c>
      <c r="J19" s="12" t="str">
        <f>IF(Registro_Compras[[#This Row],[Material]]="","",INDEX(ListadoMateriales[],MATCH('1.I_Compras'!$A19,ListadoMateriales[Materiales],0),MATCH("Proveedores",ListadoMateriales[#Headers],0)))</f>
        <v>PROV2</v>
      </c>
      <c r="K19" s="18" t="str">
        <f>IF(Registro_Compras[[#This Row],[Material]]="","",CONCATENATE("CO_",ROW(Registro_Compras[[#This Row],[Material]])-1))</f>
        <v>CO_18</v>
      </c>
    </row>
  </sheetData>
  <phoneticPr fontId="3" type="noConversion"/>
  <dataValidations count="1">
    <dataValidation type="list" allowBlank="1" showDropDown="1" showInputMessage="1" showErrorMessage="1" errorTitle="ID no válida" error="Introduce el ID_Compra de la columna en negro, en la tabla de compra de materiales." prompt="Introduce el ID_Compra de la columna en negro, en la tabla de compra de materiales." sqref="M3:M4">
      <formula1>$K$3:$K$999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'1.C_Listas'!$D$4:$D$12</xm:f>
          </x14:formula1>
          <xm:sqref>A4:A19</xm:sqref>
        </x14:dataValidation>
        <x14:dataValidation type="list" allowBlank="1" showInputMessage="1" showErrorMessage="1">
          <x14:formula1>
            <xm:f>'1.C_Listas'!$D$4:$D$10000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12"/>
  <sheetViews>
    <sheetView tabSelected="1" workbookViewId="0">
      <selection activeCell="B6" sqref="B6"/>
    </sheetView>
  </sheetViews>
  <sheetFormatPr baseColWidth="10" defaultRowHeight="14.4" x14ac:dyDescent="0.3"/>
  <cols>
    <col min="1" max="1" width="14.6640625" customWidth="1"/>
    <col min="3" max="3" width="14.44140625" customWidth="1"/>
    <col min="4" max="4" width="12.6640625" customWidth="1"/>
    <col min="6" max="6" width="17.88671875" customWidth="1"/>
  </cols>
  <sheetData>
    <row r="1" spans="1:8" s="29" customFormat="1" ht="34.5" customHeight="1" x14ac:dyDescent="0.3">
      <c r="A1" s="28"/>
    </row>
    <row r="2" spans="1:8" x14ac:dyDescent="0.3">
      <c r="A2" t="s">
        <v>113</v>
      </c>
      <c r="C2" s="1" t="s">
        <v>24</v>
      </c>
      <c r="D2" s="1"/>
      <c r="E2" s="1"/>
      <c r="H2" t="s">
        <v>79</v>
      </c>
    </row>
    <row r="3" spans="1:8" x14ac:dyDescent="0.3">
      <c r="A3" s="22" t="s">
        <v>149</v>
      </c>
      <c r="C3" s="2" t="s">
        <v>19</v>
      </c>
      <c r="D3" s="2" t="s">
        <v>0</v>
      </c>
      <c r="E3" s="2" t="s">
        <v>20</v>
      </c>
      <c r="F3" s="2" t="s">
        <v>83</v>
      </c>
    </row>
    <row r="4" spans="1:8" x14ac:dyDescent="0.3">
      <c r="A4" s="22" t="s">
        <v>152</v>
      </c>
      <c r="C4" t="s">
        <v>149</v>
      </c>
      <c r="D4" s="22" t="s">
        <v>1</v>
      </c>
      <c r="E4" s="23">
        <v>0.21</v>
      </c>
      <c r="F4" s="32">
        <f>AVERAGEIF(Registro_Compras[Material],ListadoMateriales[[#This Row],[Materiales]],Registro_Compras[Precio ud])</f>
        <v>20</v>
      </c>
      <c r="H4" t="s">
        <v>34</v>
      </c>
    </row>
    <row r="5" spans="1:8" x14ac:dyDescent="0.3">
      <c r="A5" s="22" t="s">
        <v>151</v>
      </c>
      <c r="C5" t="s">
        <v>149</v>
      </c>
      <c r="D5" s="22" t="s">
        <v>2</v>
      </c>
      <c r="E5" s="23">
        <v>0.21</v>
      </c>
      <c r="F5" s="32">
        <f>AVERAGEIF(Registro_Compras[Material],ListadoMateriales[[#This Row],[Materiales]],Registro_Compras[Precio ud])</f>
        <v>20</v>
      </c>
      <c r="H5" t="s">
        <v>80</v>
      </c>
    </row>
    <row r="6" spans="1:8" x14ac:dyDescent="0.3">
      <c r="C6" t="s">
        <v>150</v>
      </c>
      <c r="D6" s="22" t="s">
        <v>3</v>
      </c>
      <c r="E6" s="23">
        <v>0.04</v>
      </c>
      <c r="F6" s="32">
        <f>AVERAGEIF(Registro_Compras[Material],ListadoMateriales[[#This Row],[Materiales]],Registro_Compras[Precio ud])</f>
        <v>15</v>
      </c>
    </row>
    <row r="7" spans="1:8" x14ac:dyDescent="0.3">
      <c r="C7" t="s">
        <v>23</v>
      </c>
      <c r="D7" s="22" t="s">
        <v>4</v>
      </c>
      <c r="E7" s="23">
        <v>0.1</v>
      </c>
      <c r="F7" s="32">
        <f>AVERAGEIF(Registro_Compras[Material],ListadoMateriales[[#This Row],[Materiales]],Registro_Compras[Precio ud])</f>
        <v>25</v>
      </c>
    </row>
    <row r="8" spans="1:8" x14ac:dyDescent="0.3">
      <c r="C8" t="s">
        <v>150</v>
      </c>
      <c r="D8" s="22" t="s">
        <v>5</v>
      </c>
      <c r="E8" s="23">
        <v>0.21</v>
      </c>
      <c r="F8" s="32">
        <f>AVERAGEIF(Registro_Compras[Material],ListadoMateriales[[#This Row],[Materiales]],Registro_Compras[Precio ud])</f>
        <v>18</v>
      </c>
    </row>
    <row r="9" spans="1:8" x14ac:dyDescent="0.3">
      <c r="C9" t="s">
        <v>21</v>
      </c>
      <c r="D9" s="22" t="s">
        <v>6</v>
      </c>
      <c r="E9" s="23">
        <v>0.1</v>
      </c>
      <c r="F9" s="32">
        <f>AVERAGEIF(Registro_Compras[Material],ListadoMateriales[[#This Row],[Materiales]],Registro_Compras[Precio ud])</f>
        <v>18</v>
      </c>
    </row>
    <row r="10" spans="1:8" x14ac:dyDescent="0.3">
      <c r="C10" t="s">
        <v>21</v>
      </c>
      <c r="D10" s="22" t="s">
        <v>7</v>
      </c>
      <c r="E10" s="23">
        <v>0.21</v>
      </c>
      <c r="F10" s="32">
        <f>AVERAGEIF(Registro_Compras[Material],ListadoMateriales[[#This Row],[Materiales]],Registro_Compras[Precio ud])</f>
        <v>22</v>
      </c>
    </row>
    <row r="11" spans="1:8" x14ac:dyDescent="0.3">
      <c r="C11" t="s">
        <v>22</v>
      </c>
      <c r="D11" s="22" t="s">
        <v>8</v>
      </c>
      <c r="E11" s="23">
        <v>0.21</v>
      </c>
      <c r="F11" s="32">
        <f>AVERAGEIF(Registro_Compras[Material],ListadoMateriales[[#This Row],[Materiales]],Registro_Compras[Precio ud])</f>
        <v>50</v>
      </c>
    </row>
    <row r="12" spans="1:8" x14ac:dyDescent="0.3">
      <c r="C12" t="s">
        <v>21</v>
      </c>
      <c r="D12" s="22" t="s">
        <v>9</v>
      </c>
      <c r="E12" s="23">
        <v>0.21</v>
      </c>
      <c r="F12" s="32">
        <f>AVERAGEIF(Registro_Compras[Material],ListadoMateriales[[#This Row],[Materiales]],Registro_Compras[Precio ud])</f>
        <v>16.5</v>
      </c>
    </row>
  </sheetData>
  <phoneticPr fontId="3" type="noConversion"/>
  <dataValidations count="1">
    <dataValidation type="list" allowBlank="1" showInputMessage="1" showErrorMessage="1" sqref="C4:C12">
      <formula1>$A$3:$A$9970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X21"/>
  <sheetViews>
    <sheetView showGridLines="0" zoomScale="130" zoomScaleNormal="130" workbookViewId="0">
      <selection sqref="A1:XFD1"/>
    </sheetView>
  </sheetViews>
  <sheetFormatPr baseColWidth="10" defaultColWidth="0" defaultRowHeight="14.4" x14ac:dyDescent="0.3"/>
  <cols>
    <col min="1" max="1" width="16.21875" customWidth="1"/>
    <col min="2" max="2" width="13.44140625" customWidth="1"/>
    <col min="3" max="3" width="12.44140625" customWidth="1"/>
    <col min="4" max="4" width="11.109375" customWidth="1"/>
    <col min="5" max="5" width="15.33203125" customWidth="1"/>
    <col min="6" max="6" width="3.88671875" style="72" customWidth="1"/>
    <col min="7" max="7" width="17.5546875" customWidth="1"/>
    <col min="8" max="8" width="14.5546875" bestFit="1" customWidth="1"/>
    <col min="9" max="9" width="13.109375" bestFit="1" customWidth="1"/>
    <col min="10" max="10" width="12.109375" bestFit="1" customWidth="1"/>
    <col min="11" max="11" width="16.88671875" bestFit="1" customWidth="1"/>
    <col min="12" max="12" width="4" style="72" customWidth="1"/>
    <col min="13" max="13" width="2" hidden="1" customWidth="1"/>
    <col min="14" max="14" width="4" hidden="1" customWidth="1"/>
    <col min="15" max="17" width="5" hidden="1" customWidth="1"/>
    <col min="18" max="19" width="6" hidden="1" customWidth="1"/>
    <col min="20" max="20" width="5" hidden="1" customWidth="1"/>
    <col min="21" max="21" width="3" hidden="1" customWidth="1"/>
    <col min="22" max="22" width="11.44140625" hidden="1" customWidth="1"/>
    <col min="23" max="23" width="22.44140625" hidden="1" customWidth="1"/>
    <col min="24" max="24" width="17.44140625" hidden="1" customWidth="1"/>
    <col min="25" max="16384" width="11.44140625" hidden="1"/>
  </cols>
  <sheetData>
    <row r="1" spans="1:12" s="29" customFormat="1" ht="34.5" customHeight="1" x14ac:dyDescent="0.3">
      <c r="A1" s="66" t="s">
        <v>32</v>
      </c>
      <c r="F1" s="71"/>
      <c r="G1" s="66" t="s">
        <v>116</v>
      </c>
      <c r="L1" s="71"/>
    </row>
    <row r="2" spans="1:12" x14ac:dyDescent="0.3">
      <c r="A2" s="1"/>
    </row>
    <row r="16" spans="1:12" s="74" customFormat="1" ht="28.8" x14ac:dyDescent="0.3">
      <c r="A16" s="73" t="s">
        <v>25</v>
      </c>
      <c r="B16" s="74" t="s">
        <v>29</v>
      </c>
      <c r="C16" s="74" t="s">
        <v>27</v>
      </c>
      <c r="D16" s="74" t="s">
        <v>28</v>
      </c>
      <c r="E16" s="74" t="s">
        <v>30</v>
      </c>
      <c r="F16" s="75"/>
      <c r="G16" s="73" t="s">
        <v>25</v>
      </c>
      <c r="H16" s="74" t="s">
        <v>29</v>
      </c>
      <c r="I16" s="74" t="s">
        <v>118</v>
      </c>
      <c r="J16" s="74" t="s">
        <v>28</v>
      </c>
      <c r="K16" s="74" t="s">
        <v>30</v>
      </c>
      <c r="L16" s="75"/>
    </row>
    <row r="17" spans="1:11" x14ac:dyDescent="0.3">
      <c r="A17" s="13" t="s">
        <v>26</v>
      </c>
      <c r="B17" s="15"/>
      <c r="C17" s="15"/>
      <c r="D17" s="15"/>
      <c r="E17" s="15"/>
      <c r="G17" s="13" t="s">
        <v>21</v>
      </c>
      <c r="H17" s="15">
        <v>-145.19999999999999</v>
      </c>
      <c r="I17" s="15">
        <v>-40</v>
      </c>
      <c r="J17" s="15">
        <v>-25.2</v>
      </c>
      <c r="K17" s="70">
        <v>-0.21</v>
      </c>
    </row>
    <row r="18" spans="1:11" x14ac:dyDescent="0.3">
      <c r="G18" s="14" t="s">
        <v>1</v>
      </c>
      <c r="H18" s="15">
        <v>-145.19999999999999</v>
      </c>
      <c r="I18" s="15">
        <v>-40</v>
      </c>
      <c r="J18" s="15">
        <v>-25.2</v>
      </c>
      <c r="K18" s="70">
        <v>-0.21</v>
      </c>
    </row>
    <row r="19" spans="1:11" x14ac:dyDescent="0.3">
      <c r="G19" s="13" t="s">
        <v>22</v>
      </c>
      <c r="H19" s="15">
        <v>-302.5</v>
      </c>
      <c r="I19" s="15">
        <v>-50</v>
      </c>
      <c r="J19" s="15">
        <v>-52.5</v>
      </c>
      <c r="K19" s="70">
        <v>-0.21</v>
      </c>
    </row>
    <row r="20" spans="1:11" x14ac:dyDescent="0.3">
      <c r="G20" s="14" t="s">
        <v>8</v>
      </c>
      <c r="H20" s="15">
        <v>-302.5</v>
      </c>
      <c r="I20" s="15">
        <v>-50</v>
      </c>
      <c r="J20" s="15">
        <v>-52.5</v>
      </c>
      <c r="K20" s="70">
        <v>-0.21</v>
      </c>
    </row>
    <row r="21" spans="1:11" x14ac:dyDescent="0.3">
      <c r="G21" s="13" t="s">
        <v>26</v>
      </c>
      <c r="H21" s="15">
        <v>-447.7</v>
      </c>
      <c r="I21" s="15">
        <v>-90</v>
      </c>
      <c r="J21" s="15">
        <v>-77.7</v>
      </c>
      <c r="K21" s="70">
        <v>-0.21</v>
      </c>
    </row>
  </sheetData>
  <sheetProtection selectLockedCells="1" sort="0" autoFilter="0" pivotTables="0"/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A1:AG21"/>
  <sheetViews>
    <sheetView workbookViewId="0">
      <selection activeCell="A5" sqref="A5"/>
    </sheetView>
  </sheetViews>
  <sheetFormatPr baseColWidth="10" defaultRowHeight="14.4" x14ac:dyDescent="0.3"/>
  <cols>
    <col min="1" max="1" width="19.109375" customWidth="1"/>
    <col min="6" max="7" width="1.6640625" customWidth="1"/>
    <col min="8" max="8" width="15.44140625" customWidth="1"/>
    <col min="10" max="10" width="12.109375" customWidth="1"/>
    <col min="11" max="12" width="14.44140625" customWidth="1"/>
    <col min="13" max="14" width="1.6640625" customWidth="1"/>
    <col min="15" max="16" width="12" customWidth="1"/>
    <col min="17" max="17" width="5.5546875" customWidth="1"/>
    <col min="18" max="22" width="9.33203125" customWidth="1"/>
    <col min="23" max="23" width="14.109375" customWidth="1"/>
    <col min="24" max="27" width="12.109375" customWidth="1"/>
    <col min="28" max="29" width="1.6640625" customWidth="1"/>
    <col min="31" max="31" width="12.5546875" customWidth="1"/>
    <col min="32" max="32" width="14.88671875" customWidth="1"/>
    <col min="33" max="33" width="14.6640625" customWidth="1"/>
  </cols>
  <sheetData>
    <row r="1" spans="1:33" s="39" customFormat="1" ht="34.5" customHeight="1" x14ac:dyDescent="0.3">
      <c r="A1" s="38" t="s">
        <v>89</v>
      </c>
      <c r="F1" s="40"/>
      <c r="G1" s="40"/>
      <c r="H1" s="38" t="s">
        <v>90</v>
      </c>
      <c r="M1" s="40"/>
      <c r="N1" s="40"/>
      <c r="O1" s="38" t="s">
        <v>73</v>
      </c>
      <c r="AB1" s="40"/>
      <c r="AC1" s="40"/>
      <c r="AD1" s="38" t="s">
        <v>91</v>
      </c>
    </row>
    <row r="2" spans="1:33" x14ac:dyDescent="0.3">
      <c r="C2" s="26"/>
    </row>
    <row r="3" spans="1:33" x14ac:dyDescent="0.3">
      <c r="A3" s="22" t="s">
        <v>62</v>
      </c>
      <c r="B3" s="22"/>
      <c r="C3" s="22"/>
      <c r="D3" s="22"/>
      <c r="E3" s="22"/>
      <c r="H3" t="s">
        <v>76</v>
      </c>
      <c r="I3" t="s">
        <v>75</v>
      </c>
      <c r="J3" t="s">
        <v>66</v>
      </c>
      <c r="K3" t="s">
        <v>74</v>
      </c>
      <c r="L3" t="s">
        <v>84</v>
      </c>
      <c r="O3" t="s">
        <v>73</v>
      </c>
      <c r="P3" t="s">
        <v>86</v>
      </c>
      <c r="Q3" t="s">
        <v>14</v>
      </c>
      <c r="R3" t="s">
        <v>72</v>
      </c>
      <c r="S3" t="s">
        <v>71</v>
      </c>
      <c r="T3" t="s">
        <v>70</v>
      </c>
      <c r="U3" t="s">
        <v>69</v>
      </c>
      <c r="V3" t="s">
        <v>68</v>
      </c>
      <c r="W3" t="s">
        <v>67</v>
      </c>
      <c r="X3" t="s">
        <v>66</v>
      </c>
      <c r="Y3" t="s">
        <v>85</v>
      </c>
      <c r="Z3" s="36" t="s">
        <v>87</v>
      </c>
      <c r="AA3" s="36" t="s">
        <v>88</v>
      </c>
      <c r="AD3" t="s">
        <v>65</v>
      </c>
      <c r="AE3" t="s">
        <v>64</v>
      </c>
      <c r="AF3" t="s">
        <v>63</v>
      </c>
      <c r="AG3" t="s">
        <v>82</v>
      </c>
    </row>
    <row r="4" spans="1:33" x14ac:dyDescent="0.3">
      <c r="A4" t="s">
        <v>34</v>
      </c>
      <c r="B4" t="s">
        <v>44</v>
      </c>
      <c r="C4" t="s">
        <v>35</v>
      </c>
      <c r="D4" t="s">
        <v>43</v>
      </c>
      <c r="E4" t="s">
        <v>83</v>
      </c>
      <c r="H4" s="22" t="s">
        <v>59</v>
      </c>
      <c r="I4" s="27" t="s">
        <v>61</v>
      </c>
      <c r="J4" s="17" t="e">
        <f ca="1">MIN(Receta1[Uds en almacen])</f>
        <v>#NAME?</v>
      </c>
      <c r="K4" s="17">
        <f>SUM(Receta1[Minutos])</f>
        <v>55</v>
      </c>
      <c r="L4" s="34">
        <f>SUM(Receta1[Coste unit medio])</f>
        <v>3.2</v>
      </c>
      <c r="O4" s="22" t="s">
        <v>60</v>
      </c>
      <c r="P4" s="25">
        <v>10</v>
      </c>
      <c r="Q4" s="54">
        <v>0.21</v>
      </c>
      <c r="R4" t="s">
        <v>59</v>
      </c>
      <c r="S4" t="s">
        <v>55</v>
      </c>
      <c r="T4" t="s">
        <v>53</v>
      </c>
      <c r="W4" s="19">
        <f>SUM(
SUMIF(ListadoComponentes[Componente],$R4,ListadoComponentes[Tiempo prod]),
SUMIF(ListadoComponentes[Componente],$S4,ListadoComponentes[Tiempo prod]),
SUMIF(ListadoComponentes[Componente],$T4,ListadoComponentes[Tiempo prod]),
SUMIF(ListadoComponentes[Componente],$U4,ListadoComponentes[Tiempo prod]),
SUMIF(ListadoComponentes[Componente],$V4,ListadoComponentes[Tiempo prod]))</f>
        <v>140</v>
      </c>
      <c r="X4" s="19" t="e">
        <f ca="1">MIN(IF($R4="",9999,INDEX(ListadoComponentes[],MATCH($R4,ListadoComponentes[Componente],0),MATCH("Capacidad",ListadoComponentes[#Headers],0))),
IF($S4="",9999,INDEX(ListadoComponentes[],MATCH($S4,ListadoComponentes[Componente],0),MATCH("Capacidad",ListadoComponentes[#Headers],0))),
IF($T4="",9999,INDEX(ListadoComponentes[],MATCH($T4,ListadoComponentes[Componente],0),MATCH("Capacidad",ListadoComponentes[#Headers],0))),
IF($U4="",9999,INDEX(ListadoComponentes[],MATCH($U4,ListadoComponentes[Componente],0),MATCH("Capacidad",ListadoComponentes[#Headers],0))),
IF($V4="",9999,INDEX(ListadoComponentes[],MATCH($V4,ListadoComponentes[Componente],0),MATCH("Capacidad",ListadoComponentes[#Headers],0))))</f>
        <v>#NAME?</v>
      </c>
      <c r="Y4" s="35">
        <f>SUM(
SUMIF(ListadoComponentes[Componente],$R4,ListadoComponentes[Coste unit comp]),
SUMIF(ListadoComponentes[Componente],$S4,ListadoComponentes[Coste unit comp]),
SUMIF(ListadoComponentes[Componente],$T4,ListadoComponentes[Coste unit comp]),
SUMIF(ListadoComponentes[Componente],$U4,ListadoComponentes[Coste unit comp]),
SUMIF(ListadoComponentes[Componente],$V4,ListadoComponentes[Coste unit comp]))</f>
        <v>7.0200000000000005</v>
      </c>
      <c r="Z4" s="35">
        <f>ListadoProductos[[#This Row],[Precio]]-ListadoProductos[[#This Row],[Coste unit prod]]</f>
        <v>2.9799999999999995</v>
      </c>
      <c r="AA4" s="37">
        <f>ListadoProductos[[#This Row],[Beneficio]]/ListadoProductos[[#This Row],[Mins totales]]</f>
        <v>2.1285714285714283E-2</v>
      </c>
      <c r="AD4" s="22" t="s">
        <v>58</v>
      </c>
      <c r="AE4" s="22">
        <v>10</v>
      </c>
      <c r="AF4" s="19">
        <f>AE4*60</f>
        <v>600</v>
      </c>
      <c r="AG4">
        <f>$AE$10*ListadoMaquinas[[#This Row],[Jornada(h)]]*30</f>
        <v>48</v>
      </c>
    </row>
    <row r="5" spans="1:33" x14ac:dyDescent="0.3">
      <c r="A5" t="s">
        <v>1</v>
      </c>
      <c r="B5" s="4">
        <v>0.1</v>
      </c>
      <c r="C5" s="27" t="e">
        <f ca="1">IF(Receta1[[#This Row],[Material]]="","",INDEX('3.I_Registro'!$E$3:$F$11,MATCH(Receta1[[#This Row],[Material]],_xlfn.ANCHORARRAY('3.I_Registro'!$E$3),0),MATCH(Receta1[[#Headers],[Uds en almacen]],'3.I_Registro'!$E$2:$F$2,0)))</f>
        <v>#NAME?</v>
      </c>
      <c r="D5">
        <v>30</v>
      </c>
      <c r="E5" s="32">
        <f>IF(Receta1[[#This Row],[Material]]="","",INDEX(ListadoMateriales[],MATCH(Receta1[[#This Row],[Material]],ListadoMateriales[Materiales],0),MATCH(Receta1[[#Headers],[Coste unit medio]],ListadoMateriales[#Headers],0)))*Receta1[[#This Row],[% necesario]]</f>
        <v>2</v>
      </c>
      <c r="H5" s="22" t="s">
        <v>55</v>
      </c>
      <c r="I5" s="27" t="s">
        <v>57</v>
      </c>
      <c r="J5" s="17" t="e">
        <f ca="1">MIN(Receta2[Uds en almacen])</f>
        <v>#NAME?</v>
      </c>
      <c r="K5" s="17">
        <f>SUM(Receta2[Minutos])</f>
        <v>40</v>
      </c>
      <c r="L5" s="34">
        <f>SUM(Receta2[Coste unit medio])</f>
        <v>1</v>
      </c>
      <c r="O5" s="22" t="s">
        <v>56</v>
      </c>
      <c r="P5" s="25">
        <v>6</v>
      </c>
      <c r="Q5" s="54">
        <v>0.21</v>
      </c>
      <c r="R5" t="s">
        <v>55</v>
      </c>
      <c r="S5" t="s">
        <v>50</v>
      </c>
      <c r="W5" s="19">
        <f>SUM(
SUMIF(ListadoComponentes[Componente],$R5,ListadoComponentes[Tiempo prod]),
SUMIF(ListadoComponentes[Componente],$S5,ListadoComponentes[Tiempo prod]),
SUMIF(ListadoComponentes[Componente],$T5,ListadoComponentes[Tiempo prod]),
SUMIF(ListadoComponentes[Componente],$U5,ListadoComponentes[Tiempo prod]),
SUMIF(ListadoComponentes[Componente],$V5,ListadoComponentes[Tiempo prod]))</f>
        <v>100</v>
      </c>
      <c r="X5" s="19" t="e">
        <f ca="1">MIN(IF($R5="",9999,INDEX(ListadoComponentes[],MATCH($R5,ListadoComponentes[Componente],0),MATCH("Capacidad",ListadoComponentes[#Headers],0))),
IF($S5="",9999,INDEX(ListadoComponentes[],MATCH($S5,ListadoComponentes[Componente],0),MATCH("Capacidad",ListadoComponentes[#Headers],0))),
IF($T5="",9999,INDEX(ListadoComponentes[],MATCH($T5,ListadoComponentes[Componente],0),MATCH("Capacidad",ListadoComponentes[#Headers],0))),
IF($U5="",9999,INDEX(ListadoComponentes[],MATCH($U5,ListadoComponentes[Componente],0),MATCH("Capacidad",ListadoComponentes[#Headers],0))),
IF($V5="",9999,INDEX(ListadoComponentes[],MATCH($V5,ListadoComponentes[Componente],0),MATCH("Capacidad",ListadoComponentes[#Headers],0))))</f>
        <v>#NAME?</v>
      </c>
      <c r="Y5" s="35">
        <f>SUM(
SUMIF(ListadoComponentes[Componente],$R5,ListadoComponentes[Coste unit comp]),
SUMIF(ListadoComponentes[Componente],$S5,ListadoComponentes[Coste unit comp]),
SUMIF(ListadoComponentes[Componente],$T5,ListadoComponentes[Coste unit comp]),
SUMIF(ListadoComponentes[Componente],$U5,ListadoComponentes[Coste unit comp]),
SUMIF(ListadoComponentes[Componente],$V5,ListadoComponentes[Coste unit comp]))</f>
        <v>2.7199999999999998</v>
      </c>
      <c r="Z5" s="35">
        <f>ListadoProductos[[#This Row],[Precio]]-ListadoProductos[[#This Row],[Coste unit prod]]</f>
        <v>3.2800000000000002</v>
      </c>
      <c r="AA5" s="37">
        <f>ListadoProductos[[#This Row],[Beneficio]]/ListadoProductos[[#This Row],[Mins totales]]</f>
        <v>3.2800000000000003E-2</v>
      </c>
      <c r="AD5" s="22" t="s">
        <v>54</v>
      </c>
      <c r="AE5" s="22">
        <v>10</v>
      </c>
      <c r="AF5" s="19">
        <f>AE5*60</f>
        <v>600</v>
      </c>
      <c r="AG5">
        <f>$AE$10*ListadoMaquinas[[#This Row],[Jornada(h)]]*30</f>
        <v>48</v>
      </c>
    </row>
    <row r="6" spans="1:33" x14ac:dyDescent="0.3">
      <c r="A6" t="s">
        <v>3</v>
      </c>
      <c r="B6" s="4">
        <v>0.08</v>
      </c>
      <c r="C6" s="27" t="e">
        <f ca="1">IF(Receta1[[#This Row],[Material]]="","",INDEX('3.I_Registro'!$E$3:$F$11,MATCH(Receta1[[#This Row],[Material]],_xlfn.ANCHORARRAY('3.I_Registro'!$E$3),0),MATCH(Receta1[[#Headers],[Uds en almacen]],'3.I_Registro'!$E$2:$F$2,0)))</f>
        <v>#NAME?</v>
      </c>
      <c r="D6">
        <v>25</v>
      </c>
      <c r="E6" s="32">
        <f>IF(Receta1[[#This Row],[Material]]="","",INDEX(ListadoMateriales[],MATCH(Receta1[[#This Row],[Material]],ListadoMateriales[Materiales],0),MATCH(Receta1[[#Headers],[Coste unit medio]],ListadoMateriales[#Headers],0)))*Receta1[[#This Row],[% necesario]]</f>
        <v>1.2</v>
      </c>
      <c r="H6" s="22" t="s">
        <v>53</v>
      </c>
      <c r="I6" s="27" t="s">
        <v>52</v>
      </c>
      <c r="J6" s="17" t="e">
        <f ca="1">MIN(Receta3[Uds en almacen])</f>
        <v>#NAME?</v>
      </c>
      <c r="K6" s="17">
        <f>SUM(Receta3[Minutos])</f>
        <v>45</v>
      </c>
      <c r="L6" s="34">
        <f>SUM(Receta3[Coste unit medio])</f>
        <v>2.8200000000000003</v>
      </c>
      <c r="AD6" s="22" t="s">
        <v>51</v>
      </c>
      <c r="AE6" s="22">
        <v>10</v>
      </c>
      <c r="AF6" s="19">
        <f>AE6*60</f>
        <v>600</v>
      </c>
      <c r="AG6">
        <f>$AE$10*ListadoMaquinas[[#This Row],[Jornada(h)]]*30</f>
        <v>48</v>
      </c>
    </row>
    <row r="7" spans="1:33" x14ac:dyDescent="0.3">
      <c r="H7" s="22" t="s">
        <v>50</v>
      </c>
      <c r="I7" s="27" t="s">
        <v>49</v>
      </c>
      <c r="J7" s="17" t="e">
        <f ca="1">MIN(Receta4[Uds en almacen])</f>
        <v>#NAME?</v>
      </c>
      <c r="K7" s="17">
        <f>SUM(Receta4[Minutos])</f>
        <v>60</v>
      </c>
      <c r="L7" s="34">
        <f>SUM(Receta4[Coste unit medio])</f>
        <v>1.72</v>
      </c>
      <c r="AD7" s="22" t="s">
        <v>48</v>
      </c>
      <c r="AE7" s="22">
        <v>10</v>
      </c>
      <c r="AF7" s="19">
        <f>AE7*60</f>
        <v>600</v>
      </c>
      <c r="AG7">
        <f>$AE$10*ListadoMaquinas[[#This Row],[Jornada(h)]]*30</f>
        <v>48</v>
      </c>
    </row>
    <row r="8" spans="1:33" x14ac:dyDescent="0.3">
      <c r="A8" s="22" t="s">
        <v>47</v>
      </c>
      <c r="B8" s="22"/>
      <c r="C8" s="22"/>
      <c r="D8" s="22"/>
      <c r="E8" s="22"/>
    </row>
    <row r="9" spans="1:33" x14ac:dyDescent="0.3">
      <c r="A9" t="s">
        <v>34</v>
      </c>
      <c r="B9" t="s">
        <v>44</v>
      </c>
      <c r="C9" t="s">
        <v>35</v>
      </c>
      <c r="D9" t="s">
        <v>43</v>
      </c>
      <c r="E9" t="s">
        <v>83</v>
      </c>
    </row>
    <row r="10" spans="1:33" x14ac:dyDescent="0.3">
      <c r="A10" t="s">
        <v>1</v>
      </c>
      <c r="B10" s="4">
        <v>0.05</v>
      </c>
      <c r="C10" s="27" t="e">
        <f ca="1">IF(Receta2[[#This Row],[Material]]="","",INDEX('3.I_Registro'!$E$3:$F$11,MATCH(Receta2[[#This Row],[Material]],_xlfn.ANCHORARRAY('3.I_Registro'!$E$3),0),MATCH(Receta2[[#Headers],[Uds en almacen]],'3.I_Registro'!$E$2:$F$2,0)))</f>
        <v>#NAME?</v>
      </c>
      <c r="D10">
        <v>40</v>
      </c>
      <c r="E10" s="32">
        <f>IF(Receta2[[#This Row],[Material]]="","",INDEX(ListadoMateriales[],MATCH(Receta2[[#This Row],[Material]],ListadoMateriales[Materiales],0),MATCH(Receta2[[#Headers],[Coste unit medio]],ListadoMateriales[#Headers],0)))*Receta2[[#This Row],[% necesario]]</f>
        <v>1</v>
      </c>
      <c r="AD10" s="31" t="s">
        <v>81</v>
      </c>
      <c r="AE10" s="31">
        <v>0.16</v>
      </c>
    </row>
    <row r="11" spans="1:33" x14ac:dyDescent="0.3">
      <c r="B11" s="4"/>
      <c r="E11" s="33"/>
    </row>
    <row r="13" spans="1:33" x14ac:dyDescent="0.3">
      <c r="A13" s="22" t="s">
        <v>46</v>
      </c>
      <c r="B13" s="22"/>
      <c r="C13" s="22"/>
      <c r="D13" s="22"/>
      <c r="E13" s="22"/>
    </row>
    <row r="14" spans="1:33" x14ac:dyDescent="0.3">
      <c r="A14" t="s">
        <v>34</v>
      </c>
      <c r="B14" t="s">
        <v>44</v>
      </c>
      <c r="C14" t="s">
        <v>35</v>
      </c>
      <c r="D14" t="s">
        <v>43</v>
      </c>
      <c r="E14" t="s">
        <v>83</v>
      </c>
    </row>
    <row r="15" spans="1:33" x14ac:dyDescent="0.3">
      <c r="A15" t="s">
        <v>5</v>
      </c>
      <c r="B15" s="4">
        <v>0.12</v>
      </c>
      <c r="C15" s="27" t="e">
        <f ca="1">IF(Receta3[[#This Row],[Material]]="","",INDEX('3.I_Registro'!$E$3:$F$11,MATCH(Receta3[[#This Row],[Material]],_xlfn.ANCHORARRAY('3.I_Registro'!$E$3),0),MATCH(Receta3[[#Headers],[Uds en almacen]],'3.I_Registro'!$E$2:$F$2,0)))</f>
        <v>#NAME?</v>
      </c>
      <c r="D15">
        <v>30</v>
      </c>
      <c r="E15" s="32">
        <f>IF(Receta3[[#This Row],[Material]]="","",INDEX(ListadoMateriales[],MATCH(Receta3[[#This Row],[Material]],ListadoMateriales[Materiales],0),MATCH(Receta3[[#Headers],[Coste unit medio]],ListadoMateriales[#Headers],0)))*Receta3[[#This Row],[% necesario]]</f>
        <v>2.16</v>
      </c>
    </row>
    <row r="16" spans="1:33" x14ac:dyDescent="0.3">
      <c r="A16" t="s">
        <v>7</v>
      </c>
      <c r="B16" s="4">
        <v>0.03</v>
      </c>
      <c r="C16" s="27" t="e">
        <f ca="1">IF(Receta3[[#This Row],[Material]]="","",INDEX('3.I_Registro'!$E$3:$F$11,MATCH(Receta3[[#This Row],[Material]],_xlfn.ANCHORARRAY('3.I_Registro'!$E$3),0),MATCH(Receta3[[#Headers],[Uds en almacen]],'3.I_Registro'!$E$2:$F$2,0)))</f>
        <v>#NAME?</v>
      </c>
      <c r="D16">
        <v>15</v>
      </c>
      <c r="E16" s="32">
        <f>IF(Receta3[[#This Row],[Material]]="","",INDEX(ListadoMateriales[],MATCH(Receta3[[#This Row],[Material]],ListadoMateriales[Materiales],0),MATCH(Receta3[[#Headers],[Coste unit medio]],ListadoMateriales[#Headers],0)))*Receta3[[#This Row],[% necesario]]</f>
        <v>0.65999999999999992</v>
      </c>
    </row>
    <row r="18" spans="1:5" x14ac:dyDescent="0.3">
      <c r="A18" s="22" t="s">
        <v>45</v>
      </c>
      <c r="B18" s="22"/>
      <c r="C18" s="22"/>
      <c r="D18" s="22"/>
      <c r="E18" s="22"/>
    </row>
    <row r="19" spans="1:5" x14ac:dyDescent="0.3">
      <c r="A19" t="s">
        <v>34</v>
      </c>
      <c r="B19" t="s">
        <v>44</v>
      </c>
      <c r="C19" t="s">
        <v>35</v>
      </c>
      <c r="D19" t="s">
        <v>43</v>
      </c>
      <c r="E19" t="s">
        <v>83</v>
      </c>
    </row>
    <row r="20" spans="1:5" x14ac:dyDescent="0.3">
      <c r="A20" t="s">
        <v>4</v>
      </c>
      <c r="B20" s="4">
        <v>0.04</v>
      </c>
      <c r="C20" s="27" t="e">
        <f ca="1">IF(Receta4[[#This Row],[Material]]="","",INDEX('3.I_Registro'!$E$3:$F$11,MATCH(Receta4[[#This Row],[Material]],_xlfn.ANCHORARRAY('3.I_Registro'!$E$3),0),MATCH(Receta4[[#Headers],[Uds en almacen]],'3.I_Registro'!$E$2:$F$2,0)))</f>
        <v>#NAME?</v>
      </c>
      <c r="D20">
        <v>30</v>
      </c>
      <c r="E20" s="32">
        <f>IF(Receta4[[#This Row],[Material]]="","",INDEX(ListadoMateriales[],MATCH(Receta4[[#This Row],[Material]],ListadoMateriales[Materiales],0),MATCH(Receta4[[#Headers],[Coste unit medio]],ListadoMateriales[#Headers],0)))*Receta4[[#This Row],[% necesario]]</f>
        <v>1</v>
      </c>
    </row>
    <row r="21" spans="1:5" x14ac:dyDescent="0.3">
      <c r="A21" t="s">
        <v>5</v>
      </c>
      <c r="B21" s="4">
        <v>0.04</v>
      </c>
      <c r="C21" s="27" t="e">
        <f ca="1">IF(Receta4[[#This Row],[Material]]="","",INDEX('3.I_Registro'!$E$3:$F$11,MATCH(Receta4[[#This Row],[Material]],_xlfn.ANCHORARRAY('3.I_Registro'!$E$3),0),MATCH(Receta4[[#Headers],[Uds en almacen]],'3.I_Registro'!$E$2:$F$2,0)))</f>
        <v>#NAME?</v>
      </c>
      <c r="D21">
        <v>30</v>
      </c>
      <c r="E21" s="32">
        <f>IF(Receta4[[#This Row],[Material]]="","",INDEX(ListadoMateriales[],MATCH(Receta4[[#This Row],[Material]],ListadoMateriales[Materiales],0),MATCH(Receta4[[#Headers],[Coste unit medio]],ListadoMateriales[#Headers],0)))*Receta4[[#This Row],[% necesario]]</f>
        <v>0.72</v>
      </c>
    </row>
  </sheetData>
  <conditionalFormatting sqref="J4:J7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{B37DDF65-09B9-4118-A733-EF44A1E454BD}</x14:id>
        </ext>
      </extLst>
    </cfRule>
  </conditionalFormatting>
  <conditionalFormatting sqref="K4:L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{5F31A527-74D9-446B-AB91-7768D5D9E3CD}</x14:id>
        </ext>
      </extLst>
    </cfRule>
  </conditionalFormatting>
  <conditionalFormatting sqref="Z4:AA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{5EFDE6E1-5B3E-4175-966E-1F9E739A112F}</x14:id>
        </ext>
      </extLst>
    </cfRule>
  </conditionalFormatting>
  <conditionalFormatting sqref="L4:L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{270D397B-5BBA-4F64-A7B2-A637ED16E1A6}</x14:id>
        </ext>
      </extLst>
    </cfRule>
  </conditionalFormatting>
  <dataValidations count="2">
    <dataValidation type="list" allowBlank="1" showInputMessage="1" showErrorMessage="1" sqref="R4:V5">
      <formula1>$H$4:$H$1000</formula1>
    </dataValidation>
    <dataValidation type="list" allowBlank="1" showInputMessage="1" showErrorMessage="1" sqref="H4">
      <formula1>$A$4:$A$10000</formula1>
    </dataValidation>
  </dataValidations>
  <pageMargins left="0.7" right="0.7" top="0.75" bottom="0.75" header="0.3" footer="0.3"/>
  <legacyDrawing r:id="rId1"/>
  <tableParts count="7">
    <tablePart r:id="rId2"/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7DDF65-09B9-4118-A733-EF44A1E454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</xm:sqref>
        </x14:conditionalFormatting>
        <x14:conditionalFormatting xmlns:xm="http://schemas.microsoft.com/office/excel/2006/main">
          <x14:cfRule type="dataBar" id="{5F31A527-74D9-446B-AB91-7768D5D9E3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K4:L7</xm:sqref>
        </x14:conditionalFormatting>
        <x14:conditionalFormatting xmlns:xm="http://schemas.microsoft.com/office/excel/2006/main">
          <x14:cfRule type="dataBar" id="{5EFDE6E1-5B3E-4175-966E-1F9E739A11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Z4:AA5</xm:sqref>
        </x14:conditionalFormatting>
        <x14:conditionalFormatting xmlns:xm="http://schemas.microsoft.com/office/excel/2006/main">
          <x14:cfRule type="dataBar" id="{270D397B-5BBA-4F64-A7B2-A637ED16E1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I210"/>
  <sheetViews>
    <sheetView workbookViewId="0">
      <selection activeCell="U13" sqref="U13"/>
    </sheetView>
  </sheetViews>
  <sheetFormatPr baseColWidth="10" defaultColWidth="11.44140625" defaultRowHeight="14.4" x14ac:dyDescent="0.3"/>
  <cols>
    <col min="1" max="1" width="18" style="46" customWidth="1"/>
    <col min="2" max="2" width="11.44140625" style="46" customWidth="1"/>
    <col min="3" max="14" width="3.88671875" style="93" customWidth="1"/>
    <col min="15" max="19" width="9.6640625" style="46" customWidth="1"/>
    <col min="20" max="16384" width="11.44140625" style="46"/>
  </cols>
  <sheetData>
    <row r="1" spans="1:35" s="62" customFormat="1" ht="34.5" customHeight="1" x14ac:dyDescent="0.3">
      <c r="A1" s="61"/>
      <c r="B1" s="61"/>
      <c r="C1" s="91"/>
      <c r="D1" s="91"/>
      <c r="E1" s="91"/>
      <c r="F1" s="91"/>
      <c r="G1" s="91"/>
      <c r="H1" s="91"/>
      <c r="I1" s="92"/>
      <c r="J1" s="91"/>
      <c r="K1" s="91"/>
      <c r="L1" s="91"/>
      <c r="M1" s="91"/>
      <c r="N1" s="91"/>
      <c r="P1" s="61"/>
      <c r="AI1" s="61"/>
    </row>
    <row r="2" spans="1:35" x14ac:dyDescent="0.3">
      <c r="J2" s="93" t="s">
        <v>126</v>
      </c>
      <c r="O2" s="46" t="s">
        <v>127</v>
      </c>
      <c r="U2" s="46" t="s">
        <v>93</v>
      </c>
      <c r="Z2" s="46" t="s">
        <v>138</v>
      </c>
      <c r="AD2" s="46" t="s">
        <v>94</v>
      </c>
      <c r="AI2" s="76" t="s">
        <v>120</v>
      </c>
    </row>
    <row r="3" spans="1:35" x14ac:dyDescent="0.3">
      <c r="A3" s="83" t="s">
        <v>105</v>
      </c>
      <c r="B3" s="84"/>
      <c r="C3" s="94" t="s">
        <v>96</v>
      </c>
      <c r="D3" s="94" t="s">
        <v>107</v>
      </c>
      <c r="E3" s="95" t="s">
        <v>72</v>
      </c>
      <c r="F3" s="95" t="s">
        <v>71</v>
      </c>
      <c r="G3" s="95" t="s">
        <v>70</v>
      </c>
      <c r="H3" s="95" t="s">
        <v>69</v>
      </c>
      <c r="I3" s="95" t="s">
        <v>68</v>
      </c>
      <c r="J3" s="96" t="s">
        <v>128</v>
      </c>
      <c r="K3" s="96" t="s">
        <v>129</v>
      </c>
      <c r="L3" s="96" t="s">
        <v>130</v>
      </c>
      <c r="M3" s="96" t="s">
        <v>131</v>
      </c>
      <c r="N3" s="96" t="s">
        <v>132</v>
      </c>
      <c r="O3" s="86" t="s">
        <v>133</v>
      </c>
      <c r="P3" s="86" t="s">
        <v>134</v>
      </c>
      <c r="Q3" s="86" t="s">
        <v>135</v>
      </c>
      <c r="R3" s="86" t="s">
        <v>136</v>
      </c>
      <c r="S3" s="86" t="s">
        <v>137</v>
      </c>
      <c r="U3" s="45"/>
      <c r="V3" s="45" t="s">
        <v>66</v>
      </c>
      <c r="W3" s="45" t="s">
        <v>78</v>
      </c>
      <c r="X3" s="45" t="s">
        <v>77</v>
      </c>
      <c r="AA3" s="45" t="s">
        <v>144</v>
      </c>
      <c r="AB3" s="46" t="s">
        <v>78</v>
      </c>
      <c r="AC3" s="45" t="s">
        <v>77</v>
      </c>
      <c r="AD3" s="45"/>
      <c r="AE3" s="45" t="s">
        <v>66</v>
      </c>
      <c r="AF3" s="48" t="s">
        <v>78</v>
      </c>
      <c r="AG3" s="49" t="s">
        <v>77</v>
      </c>
      <c r="AI3" s="46" t="s">
        <v>119</v>
      </c>
    </row>
    <row r="4" spans="1:35" x14ac:dyDescent="0.3">
      <c r="A4" s="60" t="str" cm="1">
        <f t="array" ref="A4:A10">Registro_Pedidos[ID_Pedido]</f>
        <v>PD_1</v>
      </c>
      <c r="B4" s="88" cm="1">
        <f t="array" ref="B4:B10">Registro_Pedidos[Fecha entrega estimada]</f>
        <v>44307</v>
      </c>
      <c r="C4" s="97" t="str" cm="1">
        <f t="array" ref="C4:C10">Registro_Pedidos[Producto]</f>
        <v>PROD1</v>
      </c>
      <c r="D4" s="98" cm="1">
        <f t="array" ref="D4:D10">Registro_Pedidos[Cantidad]</f>
        <v>1</v>
      </c>
      <c r="E4" s="97" t="str">
        <f>IF($A4="","",INDEX(ListadoProductos[],MATCH('2.C_Datos'!$C4,ListadoProductos[Productos],0),MATCH('2.C_Datos'!E$3,ListadoProductos[#Headers],0)))</f>
        <v>COMP1</v>
      </c>
      <c r="F4" s="97" t="str">
        <f>IF($A4="","",INDEX(ListadoProductos[],MATCH('2.C_Datos'!$C4,ListadoProductos[Productos],0),MATCH('2.C_Datos'!F$3,ListadoProductos[#Headers],0)))</f>
        <v>COMP2</v>
      </c>
      <c r="G4" s="97" t="str">
        <f>IF($A4="","",INDEX(ListadoProductos[],MATCH('2.C_Datos'!$C4,ListadoProductos[Productos],0),MATCH('2.C_Datos'!G$3,ListadoProductos[#Headers],0)))</f>
        <v>COMP3</v>
      </c>
      <c r="H4" s="97">
        <f>IF($A4="","",INDEX(ListadoProductos[],MATCH('2.C_Datos'!$C4,ListadoProductos[Productos],0),MATCH('2.C_Datos'!H$3,ListadoProductos[#Headers],0)))</f>
        <v>0</v>
      </c>
      <c r="I4" s="97">
        <f>IF($A4="","",INDEX(ListadoProductos[],MATCH('2.C_Datos'!$C4,ListadoProductos[Productos],0),MATCH('2.C_Datos'!I$3,ListadoProductos[#Headers],0)))</f>
        <v>0</v>
      </c>
      <c r="J4" s="99">
        <f>IF(Tabla19[[#This Row],[Comp1]]="","",COUNTIFS(TablaMaq1[Componente],Tabla19[[#This Row],[Comp1]],TablaMaq1[ID_Pedido],'2.C_Datos'!A4)+
COUNTIFS(TablaMaq2[Componente],Tabla19[[#This Row],[Comp1]],TablaMaq2[ID_Pedido],'2.C_Datos'!A4)+
COUNTIFS(TablaMaq3[Componente],Tabla19[[#This Row],[Comp1]],TablaMaq3[ID_Pedido],'2.C_Datos'!A4)+
COUNTIFS(TablaMaq4[Componente],Tabla19[[#This Row],[Comp1]],TablaMaq4[ID_Pedido],'2.C_Datos'!A4))</f>
        <v>1</v>
      </c>
      <c r="K4" s="99">
        <f>IF(Tabla19[[#This Row],[Comp2]]="","",COUNTIFS(TablaMaq1[Componente],Tabla19[[#This Row],[Comp2]],TablaMaq1[ID_Pedido],'2.C_Datos'!A4)+
COUNTIFS(TablaMaq2[Componente],Tabla19[[#This Row],[Comp2]],TablaMaq2[ID_Pedido],'2.C_Datos'!A4)+
COUNTIFS(TablaMaq3[Componente],Tabla19[[#This Row],[Comp2]],TablaMaq3[ID_Pedido],'2.C_Datos'!A4)+
COUNTIFS(TablaMaq4[Componente],Tabla19[[#This Row],[Comp2]],TablaMaq4[ID_Pedido],'2.C_Datos'!A4))</f>
        <v>1</v>
      </c>
      <c r="L4" s="99">
        <f>IF(Tabla19[[#This Row],[Comp3]]="","",COUNTIFS(TablaMaq1[Componente],Tabla19[[#This Row],[Comp3]],TablaMaq1[ID_Pedido],'2.C_Datos'!A4)+
COUNTIFS(TablaMaq2[Componente],Tabla19[[#This Row],[Comp3]],TablaMaq2[ID_Pedido],'2.C_Datos'!A4)+
COUNTIFS(TablaMaq3[Componente],Tabla19[[#This Row],[Comp3]],TablaMaq3[ID_Pedido],'2.C_Datos'!A4)+
COUNTIFS(TablaMaq4[Componente],Tabla19[[#This Row],[Comp3]],TablaMaq4[ID_Pedido],'2.C_Datos'!A4))</f>
        <v>1</v>
      </c>
      <c r="M4" s="99">
        <f>IF(Tabla19[[#This Row],[Comp4]]="","",COUNTIFS(TablaMaq1[Componente],Tabla19[[#This Row],[Comp4]],TablaMaq1[ID_Pedido],'2.C_Datos'!A4)+
COUNTIFS(TablaMaq2[Componente],Tabla19[[#This Row],[Comp4]],TablaMaq2[ID_Pedido],'2.C_Datos'!A4)+
COUNTIFS(TablaMaq3[Componente],Tabla19[[#This Row],[Comp4]],TablaMaq3[ID_Pedido],'2.C_Datos'!A4)+
COUNTIFS(TablaMaq4[Componente],Tabla19[[#This Row],[Comp4]],TablaMaq4[ID_Pedido],'2.C_Datos'!A4))</f>
        <v>0</v>
      </c>
      <c r="N4" s="99">
        <f>IF(Tabla19[[#This Row],[Comp5]]="","",COUNTIFS(TablaMaq1[Componente],Tabla19[[#This Row],[Comp5]],TablaMaq1[ID_Pedido],'2.C_Datos'!A4)+
COUNTIFS(TablaMaq1[Componente],Tabla19[[#This Row],[Comp5]],TablaMaq2[ID_Pedido],'2.C_Datos'!A4)+
COUNTIFS(TablaMaq1[Componente],Tabla19[[#This Row],[Comp5]],TablaMaq3[ID_Pedido],'2.C_Datos'!A4)+
COUNTIFS(TablaMaq1[Componente],Tabla19[[#This Row],[Comp5]],TablaMaq4[ID_Pedido],'2.C_Datos'!A4))</f>
        <v>0</v>
      </c>
      <c r="O4" s="85">
        <f>IF(Tabla19[[#This Row],[Comp1]]="","",
IF(IF(Tabla19[[#This Row],[Comp1]]=0,0,1)*$D4-Tabla19[[#This Row],[Asign1]]=0,0,Tabla19[[#This Row],[Comp1]]))</f>
        <v>0</v>
      </c>
      <c r="P4" s="85">
        <f>IF(Tabla19[[#This Row],[Comp2]]="","",
IF(IF(Tabla19[[#This Row],[Comp2]]=0,0,1)*$D4-Tabla19[[#This Row],[Asign2]]=0,0,Tabla19[[#This Row],[Comp2]]))</f>
        <v>0</v>
      </c>
      <c r="Q4" s="85">
        <f>IF(Tabla19[[#This Row],[Comp3]]="","",
IF(IF(Tabla19[[#This Row],[Comp3]]=0,0,1)*$D4-Tabla19[[#This Row],[Asign3]]=0,0,Tabla19[[#This Row],[Comp3]]))</f>
        <v>0</v>
      </c>
      <c r="R4" s="85">
        <f>IF(Tabla19[[#This Row],[Comp4]]="","",
IF(IF(Tabla19[[#This Row],[Comp4]]=0,0,1)*$D4-Tabla19[[#This Row],[Asign4]]=0,0,Tabla19[[#This Row],[Comp4]]))</f>
        <v>0</v>
      </c>
      <c r="S4" s="85">
        <f>IF(Tabla19[[#This Row],[Comp5]]="","",
IF(IF(Tabla19[[#This Row],[Comp5]]=0,0,1)*$D4-Tabla19[[#This Row],[Asign5]]=0,0,Tabla19[[#This Row],[Comp5]]))</f>
        <v>0</v>
      </c>
      <c r="U4" s="45" t="str" cm="1">
        <f t="array" ref="U4:U7">ListadoComponentes[Componente]</f>
        <v>COMP1</v>
      </c>
      <c r="V4" s="47" t="e" cm="1">
        <f t="array" ref="V4:V7" ca="1">ListadoComponentes[Capacidad]</f>
        <v>#NAME?</v>
      </c>
      <c r="W4" s="45">
        <f>SUM(
COUNTIF(TablaMaq1[Componente],$U4),
COUNTIF(TablaMaq2[Componente],$U4),
COUNTIF(TablaMaq3[Componente],$U4),
COUNTIF(TablaMaq4[Componente],$U4))</f>
        <v>8</v>
      </c>
      <c r="X4" s="45" t="e">
        <f ca="1">V4-W4</f>
        <v>#NAME?</v>
      </c>
      <c r="Z4" s="46" t="str" cm="1">
        <f t="array" ref="Z4:Z7">ListadoComponentes[Componente]</f>
        <v>COMP1</v>
      </c>
      <c r="AA4" s="87">
        <f>COUNTIF(Tabla19[[Comp1]:[Comp5]],Z4)</f>
        <v>4</v>
      </c>
      <c r="AB4" s="46">
        <f>AA4-AC4</f>
        <v>4</v>
      </c>
      <c r="AC4" s="87">
        <f>COUNTIF(Tabla19[[Pend1]:[Pend5]],Z4)</f>
        <v>0</v>
      </c>
      <c r="AD4" s="45" t="str" cm="1">
        <f t="array" ref="AD4:AD7">ListadoMaquinas[Maquina]</f>
        <v>MAQ1</v>
      </c>
      <c r="AE4" s="45" cm="1">
        <f t="array" ref="AE4:AE7">ListadoMaquinas[Jornada(min)]</f>
        <v>600</v>
      </c>
      <c r="AF4" s="50">
        <f>SUM(TablaMaq1[Tiempo prod])</f>
        <v>485</v>
      </c>
      <c r="AG4" s="51">
        <f>AE4-AF4</f>
        <v>115</v>
      </c>
    </row>
    <row r="5" spans="1:35" x14ac:dyDescent="0.3">
      <c r="A5" s="60" t="str">
        <v>PD_2</v>
      </c>
      <c r="B5" s="88">
        <v>44314</v>
      </c>
      <c r="C5" s="97" t="str">
        <v>PROD2</v>
      </c>
      <c r="D5" s="98">
        <v>2</v>
      </c>
      <c r="E5" s="97" t="str">
        <f>IF($A5="","",INDEX(ListadoProductos[],MATCH('2.C_Datos'!$C5,ListadoProductos[Productos],0),MATCH('2.C_Datos'!E$3,ListadoProductos[#Headers],0)))</f>
        <v>COMP2</v>
      </c>
      <c r="F5" s="97" t="str">
        <f>IF($A5="","",INDEX(ListadoProductos[],MATCH('2.C_Datos'!$C5,ListadoProductos[Productos],0),MATCH('2.C_Datos'!F$3,ListadoProductos[#Headers],0)))</f>
        <v>COMP4</v>
      </c>
      <c r="G5" s="97">
        <f>IF($A5="","",INDEX(ListadoProductos[],MATCH('2.C_Datos'!$C5,ListadoProductos[Productos],0),MATCH('2.C_Datos'!G$3,ListadoProductos[#Headers],0)))</f>
        <v>0</v>
      </c>
      <c r="H5" s="97">
        <f>IF($A5="","",INDEX(ListadoProductos[],MATCH('2.C_Datos'!$C5,ListadoProductos[Productos],0),MATCH('2.C_Datos'!H$3,ListadoProductos[#Headers],0)))</f>
        <v>0</v>
      </c>
      <c r="I5" s="97">
        <f>IF($A5="","",INDEX(ListadoProductos[],MATCH('2.C_Datos'!$C5,ListadoProductos[Productos],0),MATCH('2.C_Datos'!I$3,ListadoProductos[#Headers],0)))</f>
        <v>0</v>
      </c>
      <c r="J5" s="99">
        <f>IF(Tabla19[[#This Row],[Comp1]]="","",COUNTIFS(TablaMaq1[Componente],Tabla19[[#This Row],[Comp1]],TablaMaq1[ID_Pedido],'2.C_Datos'!A5)+
COUNTIFS(TablaMaq2[Componente],Tabla19[[#This Row],[Comp1]],TablaMaq2[ID_Pedido],'2.C_Datos'!A5)+
COUNTIFS(TablaMaq3[Componente],Tabla19[[#This Row],[Comp1]],TablaMaq3[ID_Pedido],'2.C_Datos'!A5)+
COUNTIFS(TablaMaq4[Componente],Tabla19[[#This Row],[Comp1]],TablaMaq4[ID_Pedido],'2.C_Datos'!A5))</f>
        <v>2</v>
      </c>
      <c r="K5" s="99">
        <f>IF(Tabla19[[#This Row],[Comp2]]="","",COUNTIFS(TablaMaq1[Componente],Tabla19[[#This Row],[Comp2]],TablaMaq1[ID_Pedido],'2.C_Datos'!A5)+
COUNTIFS(TablaMaq2[Componente],Tabla19[[#This Row],[Comp2]],TablaMaq2[ID_Pedido],'2.C_Datos'!A5)+
COUNTIFS(TablaMaq3[Componente],Tabla19[[#This Row],[Comp2]],TablaMaq3[ID_Pedido],'2.C_Datos'!A5)+
COUNTIFS(TablaMaq4[Componente],Tabla19[[#This Row],[Comp2]],TablaMaq4[ID_Pedido],'2.C_Datos'!A5))</f>
        <v>2</v>
      </c>
      <c r="L5" s="99">
        <f>IF(Tabla19[[#This Row],[Comp3]]="","",COUNTIFS(TablaMaq1[Componente],Tabla19[[#This Row],[Comp3]],TablaMaq1[ID_Pedido],'2.C_Datos'!A5)+
COUNTIFS(TablaMaq2[Componente],Tabla19[[#This Row],[Comp3]],TablaMaq2[ID_Pedido],'2.C_Datos'!A5)+
COUNTIFS(TablaMaq3[Componente],Tabla19[[#This Row],[Comp3]],TablaMaq3[ID_Pedido],'2.C_Datos'!A5)+
COUNTIFS(TablaMaq4[Componente],Tabla19[[#This Row],[Comp3]],TablaMaq4[ID_Pedido],'2.C_Datos'!A5))</f>
        <v>0</v>
      </c>
      <c r="M5" s="99">
        <f>IF(Tabla19[[#This Row],[Comp4]]="","",COUNTIFS(TablaMaq1[Componente],Tabla19[[#This Row],[Comp4]],TablaMaq1[ID_Pedido],'2.C_Datos'!A5)+
COUNTIFS(TablaMaq2[Componente],Tabla19[[#This Row],[Comp4]],TablaMaq2[ID_Pedido],'2.C_Datos'!A5)+
COUNTIFS(TablaMaq3[Componente],Tabla19[[#This Row],[Comp4]],TablaMaq3[ID_Pedido],'2.C_Datos'!A5)+
COUNTIFS(TablaMaq4[Componente],Tabla19[[#This Row],[Comp4]],TablaMaq4[ID_Pedido],'2.C_Datos'!A5))</f>
        <v>0</v>
      </c>
      <c r="N5" s="99">
        <f>IF(Tabla19[[#This Row],[Comp5]]="","",COUNTIFS(TablaMaq1[Componente],Tabla19[[#This Row],[Comp5]],TablaMaq1[ID_Pedido],'2.C_Datos'!A5)+
COUNTIFS(TablaMaq1[Componente],Tabla19[[#This Row],[Comp5]],TablaMaq2[ID_Pedido],'2.C_Datos'!A5)+
COUNTIFS(TablaMaq1[Componente],Tabla19[[#This Row],[Comp5]],TablaMaq3[ID_Pedido],'2.C_Datos'!A5)+
COUNTIFS(TablaMaq1[Componente],Tabla19[[#This Row],[Comp5]],TablaMaq4[ID_Pedido],'2.C_Datos'!A5))</f>
        <v>0</v>
      </c>
      <c r="O5" s="85">
        <f>IF(Tabla19[[#This Row],[Comp1]]="","",
IF(IF(Tabla19[[#This Row],[Comp1]]=0,0,1)*$D5-Tabla19[[#This Row],[Asign1]]=0,0,Tabla19[[#This Row],[Comp1]]))</f>
        <v>0</v>
      </c>
      <c r="P5" s="85">
        <f>IF(Tabla19[[#This Row],[Comp2]]="","",
IF(IF(Tabla19[[#This Row],[Comp2]]=0,0,1)*$D5-Tabla19[[#This Row],[Asign2]]=0,0,Tabla19[[#This Row],[Comp2]]))</f>
        <v>0</v>
      </c>
      <c r="Q5" s="85">
        <f>IF(Tabla19[[#This Row],[Comp3]]="","",
IF(IF(Tabla19[[#This Row],[Comp3]]=0,0,1)*$D5-Tabla19[[#This Row],[Asign3]]=0,0,Tabla19[[#This Row],[Comp3]]))</f>
        <v>0</v>
      </c>
      <c r="R5" s="85">
        <f>IF(Tabla19[[#This Row],[Comp4]]="","",
IF(IF(Tabla19[[#This Row],[Comp4]]=0,0,1)*$D5-Tabla19[[#This Row],[Asign4]]=0,0,Tabla19[[#This Row],[Comp4]]))</f>
        <v>0</v>
      </c>
      <c r="S5" s="85">
        <f>IF(Tabla19[[#This Row],[Comp5]]="","",
IF(IF(Tabla19[[#This Row],[Comp5]]=0,0,1)*$D5-Tabla19[[#This Row],[Asign5]]=0,0,Tabla19[[#This Row],[Comp5]]))</f>
        <v>0</v>
      </c>
      <c r="U5" s="45" t="str">
        <v>COMP2</v>
      </c>
      <c r="V5" s="47" t="e">
        <f ca="1"/>
        <v>#NAME?</v>
      </c>
      <c r="W5" s="45">
        <f>SUM(
COUNTIF(TablaMaq1[Componente],$U5),
COUNTIF(TablaMaq2[Componente],$U5),
COUNTIF(TablaMaq3[Componente],$U5),
COUNTIF(TablaMaq4[Componente],$U5))</f>
        <v>16</v>
      </c>
      <c r="X5" s="45" t="e">
        <f ca="1">V5-W5</f>
        <v>#NAME?</v>
      </c>
      <c r="Z5" s="46" t="str">
        <v>COMP2</v>
      </c>
      <c r="AA5" s="87">
        <f>COUNTIF(Tabla19[[Comp1]:[Comp5]],Z5)</f>
        <v>7</v>
      </c>
      <c r="AB5" s="46">
        <f t="shared" ref="AB5:AB7" si="0">AA5-AC5</f>
        <v>7</v>
      </c>
      <c r="AC5" s="87">
        <f>COUNTIF(Tabla19[[Pend1]:[Pend5]],Z5)</f>
        <v>0</v>
      </c>
      <c r="AD5" s="45" t="str">
        <v>MAQ2</v>
      </c>
      <c r="AE5" s="45">
        <v>600</v>
      </c>
      <c r="AF5" s="50">
        <f>SUM(TablaMaq2[Tiempo prod])</f>
        <v>460</v>
      </c>
      <c r="AG5" s="51">
        <f>AE5-AF5</f>
        <v>140</v>
      </c>
    </row>
    <row r="6" spans="1:35" x14ac:dyDescent="0.3">
      <c r="A6" s="60" t="str">
        <v>PD_3</v>
      </c>
      <c r="B6" s="88">
        <v>44314</v>
      </c>
      <c r="C6" s="97" t="str">
        <v>PROD1</v>
      </c>
      <c r="D6" s="98">
        <v>1</v>
      </c>
      <c r="E6" s="97" t="str">
        <f>IF($A6="","",INDEX(ListadoProductos[],MATCH('2.C_Datos'!$C6,ListadoProductos[Productos],0),MATCH('2.C_Datos'!E$3,ListadoProductos[#Headers],0)))</f>
        <v>COMP1</v>
      </c>
      <c r="F6" s="97" t="str">
        <f>IF($A6="","",INDEX(ListadoProductos[],MATCH('2.C_Datos'!$C6,ListadoProductos[Productos],0),MATCH('2.C_Datos'!F$3,ListadoProductos[#Headers],0)))</f>
        <v>COMP2</v>
      </c>
      <c r="G6" s="97" t="str">
        <f>IF($A6="","",INDEX(ListadoProductos[],MATCH('2.C_Datos'!$C6,ListadoProductos[Productos],0),MATCH('2.C_Datos'!G$3,ListadoProductos[#Headers],0)))</f>
        <v>COMP3</v>
      </c>
      <c r="H6" s="97">
        <f>IF($A6="","",INDEX(ListadoProductos[],MATCH('2.C_Datos'!$C6,ListadoProductos[Productos],0),MATCH('2.C_Datos'!H$3,ListadoProductos[#Headers],0)))</f>
        <v>0</v>
      </c>
      <c r="I6" s="97">
        <f>IF($A6="","",INDEX(ListadoProductos[],MATCH('2.C_Datos'!$C6,ListadoProductos[Productos],0),MATCH('2.C_Datos'!I$3,ListadoProductos[#Headers],0)))</f>
        <v>0</v>
      </c>
      <c r="J6" s="99">
        <f>IF(Tabla19[[#This Row],[Comp1]]="","",COUNTIFS(TablaMaq1[Componente],Tabla19[[#This Row],[Comp1]],TablaMaq1[ID_Pedido],'2.C_Datos'!A6)+
COUNTIFS(TablaMaq2[Componente],Tabla19[[#This Row],[Comp1]],TablaMaq2[ID_Pedido],'2.C_Datos'!A6)+
COUNTIFS(TablaMaq3[Componente],Tabla19[[#This Row],[Comp1]],TablaMaq3[ID_Pedido],'2.C_Datos'!A6)+
COUNTIFS(TablaMaq4[Componente],Tabla19[[#This Row],[Comp1]],TablaMaq4[ID_Pedido],'2.C_Datos'!A6))</f>
        <v>1</v>
      </c>
      <c r="K6" s="99">
        <f>IF(Tabla19[[#This Row],[Comp2]]="","",COUNTIFS(TablaMaq1[Componente],Tabla19[[#This Row],[Comp2]],TablaMaq1[ID_Pedido],'2.C_Datos'!A6)+
COUNTIFS(TablaMaq2[Componente],Tabla19[[#This Row],[Comp2]],TablaMaq2[ID_Pedido],'2.C_Datos'!A6)+
COUNTIFS(TablaMaq3[Componente],Tabla19[[#This Row],[Comp2]],TablaMaq3[ID_Pedido],'2.C_Datos'!A6)+
COUNTIFS(TablaMaq4[Componente],Tabla19[[#This Row],[Comp2]],TablaMaq4[ID_Pedido],'2.C_Datos'!A6))</f>
        <v>1</v>
      </c>
      <c r="L6" s="99">
        <f>IF(Tabla19[[#This Row],[Comp3]]="","",COUNTIFS(TablaMaq1[Componente],Tabla19[[#This Row],[Comp3]],TablaMaq1[ID_Pedido],'2.C_Datos'!A6)+
COUNTIFS(TablaMaq2[Componente],Tabla19[[#This Row],[Comp3]],TablaMaq2[ID_Pedido],'2.C_Datos'!A6)+
COUNTIFS(TablaMaq3[Componente],Tabla19[[#This Row],[Comp3]],TablaMaq3[ID_Pedido],'2.C_Datos'!A6)+
COUNTIFS(TablaMaq4[Componente],Tabla19[[#This Row],[Comp3]],TablaMaq4[ID_Pedido],'2.C_Datos'!A6))</f>
        <v>1</v>
      </c>
      <c r="M6" s="99">
        <f>IF(Tabla19[[#This Row],[Comp4]]="","",COUNTIFS(TablaMaq1[Componente],Tabla19[[#This Row],[Comp4]],TablaMaq1[ID_Pedido],'2.C_Datos'!A6)+
COUNTIFS(TablaMaq2[Componente],Tabla19[[#This Row],[Comp4]],TablaMaq2[ID_Pedido],'2.C_Datos'!A6)+
COUNTIFS(TablaMaq3[Componente],Tabla19[[#This Row],[Comp4]],TablaMaq3[ID_Pedido],'2.C_Datos'!A6)+
COUNTIFS(TablaMaq4[Componente],Tabla19[[#This Row],[Comp4]],TablaMaq4[ID_Pedido],'2.C_Datos'!A6))</f>
        <v>0</v>
      </c>
      <c r="N6" s="99">
        <f>IF(Tabla19[[#This Row],[Comp5]]="","",COUNTIFS(TablaMaq1[Componente],Tabla19[[#This Row],[Comp5]],TablaMaq1[ID_Pedido],'2.C_Datos'!A6)+
COUNTIFS(TablaMaq1[Componente],Tabla19[[#This Row],[Comp5]],TablaMaq2[ID_Pedido],'2.C_Datos'!A6)+
COUNTIFS(TablaMaq1[Componente],Tabla19[[#This Row],[Comp5]],TablaMaq3[ID_Pedido],'2.C_Datos'!A6)+
COUNTIFS(TablaMaq1[Componente],Tabla19[[#This Row],[Comp5]],TablaMaq4[ID_Pedido],'2.C_Datos'!A6))</f>
        <v>0</v>
      </c>
      <c r="O6" s="85">
        <f>IF(Tabla19[[#This Row],[Comp1]]="","",
IF(IF(Tabla19[[#This Row],[Comp1]]=0,0,1)*$D6-Tabla19[[#This Row],[Asign1]]=0,0,Tabla19[[#This Row],[Comp1]]))</f>
        <v>0</v>
      </c>
      <c r="P6" s="85">
        <f>IF(Tabla19[[#This Row],[Comp2]]="","",
IF(IF(Tabla19[[#This Row],[Comp2]]=0,0,1)*$D6-Tabla19[[#This Row],[Asign2]]=0,0,Tabla19[[#This Row],[Comp2]]))</f>
        <v>0</v>
      </c>
      <c r="Q6" s="85">
        <f>IF(Tabla19[[#This Row],[Comp3]]="","",
IF(IF(Tabla19[[#This Row],[Comp3]]=0,0,1)*$D6-Tabla19[[#This Row],[Asign3]]=0,0,Tabla19[[#This Row],[Comp3]]))</f>
        <v>0</v>
      </c>
      <c r="R6" s="85">
        <f>IF(Tabla19[[#This Row],[Comp4]]="","",
IF(IF(Tabla19[[#This Row],[Comp4]]=0,0,1)*$D6-Tabla19[[#This Row],[Asign4]]=0,0,Tabla19[[#This Row],[Comp4]]))</f>
        <v>0</v>
      </c>
      <c r="S6" s="85">
        <f>IF(Tabla19[[#This Row],[Comp5]]="","",
IF(IF(Tabla19[[#This Row],[Comp5]]=0,0,1)*$D6-Tabla19[[#This Row],[Asign5]]=0,0,Tabla19[[#This Row],[Comp5]]))</f>
        <v>0</v>
      </c>
      <c r="U6" s="45" t="str">
        <v>COMP3</v>
      </c>
      <c r="V6" s="47" t="e">
        <f ca="1"/>
        <v>#NAME?</v>
      </c>
      <c r="W6" s="45">
        <f>SUM(
COUNTIF(TablaMaq1[Componente],$U6),
COUNTIF(TablaMaq2[Componente],$U6),
COUNTIF(TablaMaq3[Componente],$U6),
COUNTIF(TablaMaq4[Componente],$U6))</f>
        <v>8</v>
      </c>
      <c r="X6" s="45" t="e">
        <f ca="1">V6-W6</f>
        <v>#NAME?</v>
      </c>
      <c r="Z6" s="46" t="str">
        <v>COMP3</v>
      </c>
      <c r="AA6" s="87">
        <f>COUNTIF(Tabla19[[Comp1]:[Comp5]],Z6)</f>
        <v>4</v>
      </c>
      <c r="AB6" s="46">
        <f t="shared" si="0"/>
        <v>4</v>
      </c>
      <c r="AC6" s="87">
        <f>COUNTIF(Tabla19[[Pend1]:[Pend5]],Z6)</f>
        <v>0</v>
      </c>
      <c r="AD6" s="45" t="str">
        <v>MAQ3</v>
      </c>
      <c r="AE6" s="45">
        <v>600</v>
      </c>
      <c r="AF6" s="50">
        <f>SUM(TablaMaq3[Tiempo prod])</f>
        <v>455</v>
      </c>
      <c r="AG6" s="51">
        <f>AE6-AF6</f>
        <v>145</v>
      </c>
    </row>
    <row r="7" spans="1:35" x14ac:dyDescent="0.3">
      <c r="A7" s="60" t="str">
        <v>PD_4</v>
      </c>
      <c r="B7" s="88">
        <v>44311</v>
      </c>
      <c r="C7" s="97" t="str">
        <v>PROD1</v>
      </c>
      <c r="D7" s="98">
        <v>1</v>
      </c>
      <c r="E7" s="97" t="str">
        <f>IF($A7="","",INDEX(ListadoProductos[],MATCH('2.C_Datos'!$C7,ListadoProductos[Productos],0),MATCH('2.C_Datos'!E$3,ListadoProductos[#Headers],0)))</f>
        <v>COMP1</v>
      </c>
      <c r="F7" s="97" t="str">
        <f>IF($A7="","",INDEX(ListadoProductos[],MATCH('2.C_Datos'!$C7,ListadoProductos[Productos],0),MATCH('2.C_Datos'!F$3,ListadoProductos[#Headers],0)))</f>
        <v>COMP2</v>
      </c>
      <c r="G7" s="97" t="str">
        <f>IF($A7="","",INDEX(ListadoProductos[],MATCH('2.C_Datos'!$C7,ListadoProductos[Productos],0),MATCH('2.C_Datos'!G$3,ListadoProductos[#Headers],0)))</f>
        <v>COMP3</v>
      </c>
      <c r="H7" s="97">
        <f>IF($A7="","",INDEX(ListadoProductos[],MATCH('2.C_Datos'!$C7,ListadoProductos[Productos],0),MATCH('2.C_Datos'!H$3,ListadoProductos[#Headers],0)))</f>
        <v>0</v>
      </c>
      <c r="I7" s="97">
        <f>IF($A7="","",INDEX(ListadoProductos[],MATCH('2.C_Datos'!$C7,ListadoProductos[Productos],0),MATCH('2.C_Datos'!I$3,ListadoProductos[#Headers],0)))</f>
        <v>0</v>
      </c>
      <c r="J7" s="99">
        <f>IF(Tabla19[[#This Row],[Comp1]]="","",COUNTIFS(TablaMaq1[Componente],Tabla19[[#This Row],[Comp1]],TablaMaq1[ID_Pedido],'2.C_Datos'!A7)+
COUNTIFS(TablaMaq2[Componente],Tabla19[[#This Row],[Comp1]],TablaMaq2[ID_Pedido],'2.C_Datos'!A7)+
COUNTIFS(TablaMaq3[Componente],Tabla19[[#This Row],[Comp1]],TablaMaq3[ID_Pedido],'2.C_Datos'!A7)+
COUNTIFS(TablaMaq4[Componente],Tabla19[[#This Row],[Comp1]],TablaMaq4[ID_Pedido],'2.C_Datos'!A7))</f>
        <v>1</v>
      </c>
      <c r="K7" s="99">
        <f>IF(Tabla19[[#This Row],[Comp2]]="","",COUNTIFS(TablaMaq1[Componente],Tabla19[[#This Row],[Comp2]],TablaMaq1[ID_Pedido],'2.C_Datos'!A7)+
COUNTIFS(TablaMaq2[Componente],Tabla19[[#This Row],[Comp2]],TablaMaq2[ID_Pedido],'2.C_Datos'!A7)+
COUNTIFS(TablaMaq3[Componente],Tabla19[[#This Row],[Comp2]],TablaMaq3[ID_Pedido],'2.C_Datos'!A7)+
COUNTIFS(TablaMaq4[Componente],Tabla19[[#This Row],[Comp2]],TablaMaq4[ID_Pedido],'2.C_Datos'!A7))</f>
        <v>1</v>
      </c>
      <c r="L7" s="99">
        <f>IF(Tabla19[[#This Row],[Comp3]]="","",COUNTIFS(TablaMaq1[Componente],Tabla19[[#This Row],[Comp3]],TablaMaq1[ID_Pedido],'2.C_Datos'!A7)+
COUNTIFS(TablaMaq2[Componente],Tabla19[[#This Row],[Comp3]],TablaMaq2[ID_Pedido],'2.C_Datos'!A7)+
COUNTIFS(TablaMaq3[Componente],Tabla19[[#This Row],[Comp3]],TablaMaq3[ID_Pedido],'2.C_Datos'!A7)+
COUNTIFS(TablaMaq4[Componente],Tabla19[[#This Row],[Comp3]],TablaMaq4[ID_Pedido],'2.C_Datos'!A7))</f>
        <v>1</v>
      </c>
      <c r="M7" s="99">
        <f>IF(Tabla19[[#This Row],[Comp4]]="","",COUNTIFS(TablaMaq1[Componente],Tabla19[[#This Row],[Comp4]],TablaMaq1[ID_Pedido],'2.C_Datos'!A7)+
COUNTIFS(TablaMaq2[Componente],Tabla19[[#This Row],[Comp4]],TablaMaq2[ID_Pedido],'2.C_Datos'!A7)+
COUNTIFS(TablaMaq3[Componente],Tabla19[[#This Row],[Comp4]],TablaMaq3[ID_Pedido],'2.C_Datos'!A7)+
COUNTIFS(TablaMaq4[Componente],Tabla19[[#This Row],[Comp4]],TablaMaq4[ID_Pedido],'2.C_Datos'!A7))</f>
        <v>0</v>
      </c>
      <c r="N7" s="99">
        <f>IF(Tabla19[[#This Row],[Comp5]]="","",COUNTIFS(TablaMaq1[Componente],Tabla19[[#This Row],[Comp5]],TablaMaq1[ID_Pedido],'2.C_Datos'!A7)+
COUNTIFS(TablaMaq1[Componente],Tabla19[[#This Row],[Comp5]],TablaMaq2[ID_Pedido],'2.C_Datos'!A7)+
COUNTIFS(TablaMaq1[Componente],Tabla19[[#This Row],[Comp5]],TablaMaq3[ID_Pedido],'2.C_Datos'!A7)+
COUNTIFS(TablaMaq1[Componente],Tabla19[[#This Row],[Comp5]],TablaMaq4[ID_Pedido],'2.C_Datos'!A7))</f>
        <v>0</v>
      </c>
      <c r="O7" s="85">
        <f>IF(Tabla19[[#This Row],[Comp1]]="","",
IF(IF(Tabla19[[#This Row],[Comp1]]=0,0,1)*$D7-Tabla19[[#This Row],[Asign1]]=0,0,Tabla19[[#This Row],[Comp1]]))</f>
        <v>0</v>
      </c>
      <c r="P7" s="85">
        <f>IF(Tabla19[[#This Row],[Comp2]]="","",
IF(IF(Tabla19[[#This Row],[Comp2]]=0,0,1)*$D7-Tabla19[[#This Row],[Asign2]]=0,0,Tabla19[[#This Row],[Comp2]]))</f>
        <v>0</v>
      </c>
      <c r="Q7" s="85">
        <f>IF(Tabla19[[#This Row],[Comp3]]="","",
IF(IF(Tabla19[[#This Row],[Comp3]]=0,0,1)*$D7-Tabla19[[#This Row],[Asign3]]=0,0,Tabla19[[#This Row],[Comp3]]))</f>
        <v>0</v>
      </c>
      <c r="R7" s="85">
        <f>IF(Tabla19[[#This Row],[Comp4]]="","",
IF(IF(Tabla19[[#This Row],[Comp4]]=0,0,1)*$D7-Tabla19[[#This Row],[Asign4]]=0,0,Tabla19[[#This Row],[Comp4]]))</f>
        <v>0</v>
      </c>
      <c r="S7" s="85">
        <f>IF(Tabla19[[#This Row],[Comp5]]="","",
IF(IF(Tabla19[[#This Row],[Comp5]]=0,0,1)*$D7-Tabla19[[#This Row],[Asign5]]=0,0,Tabla19[[#This Row],[Comp5]]))</f>
        <v>0</v>
      </c>
      <c r="U7" s="45" t="str">
        <v>COMP4</v>
      </c>
      <c r="V7" s="47" t="e">
        <f ca="1"/>
        <v>#NAME?</v>
      </c>
      <c r="W7" s="45">
        <f>SUM(
COUNTIF(TablaMaq1[Componente],$U7),
COUNTIF(TablaMaq2[Componente],$U7),
COUNTIF(TablaMaq3[Componente],$U7),
COUNTIF(TablaMaq4[Componente],$U7))</f>
        <v>8</v>
      </c>
      <c r="X7" s="45" t="e">
        <f ca="1">V7-W7</f>
        <v>#NAME?</v>
      </c>
      <c r="Z7" s="46" t="str">
        <v>COMP4</v>
      </c>
      <c r="AA7" s="87">
        <f>COUNTIF(Tabla19[[Comp1]:[Comp5]],Z7)</f>
        <v>3</v>
      </c>
      <c r="AB7" s="46">
        <f t="shared" si="0"/>
        <v>3</v>
      </c>
      <c r="AC7" s="87">
        <f>COUNTIF(Tabla19[[Pend1]:[Pend5]],Z7)</f>
        <v>0</v>
      </c>
      <c r="AD7" s="45" t="str">
        <v>MAQ4</v>
      </c>
      <c r="AE7" s="45">
        <v>600</v>
      </c>
      <c r="AF7" s="52">
        <f>SUM(TablaMaq4[Tiempo prod])</f>
        <v>520</v>
      </c>
      <c r="AG7" s="53">
        <f>AE7-AF7</f>
        <v>80</v>
      </c>
    </row>
    <row r="8" spans="1:35" x14ac:dyDescent="0.3">
      <c r="A8" s="60" t="str">
        <v>PD_5</v>
      </c>
      <c r="B8" s="88">
        <v>44314</v>
      </c>
      <c r="C8" s="97" t="str">
        <v>PROD2</v>
      </c>
      <c r="D8" s="98">
        <v>1</v>
      </c>
      <c r="E8" s="97" t="str">
        <f>IF($A8="","",INDEX(ListadoProductos[],MATCH('2.C_Datos'!$C8,ListadoProductos[Productos],0),MATCH('2.C_Datos'!E$3,ListadoProductos[#Headers],0)))</f>
        <v>COMP2</v>
      </c>
      <c r="F8" s="97" t="str">
        <f>IF($A8="","",INDEX(ListadoProductos[],MATCH('2.C_Datos'!$C8,ListadoProductos[Productos],0),MATCH('2.C_Datos'!F$3,ListadoProductos[#Headers],0)))</f>
        <v>COMP4</v>
      </c>
      <c r="G8" s="97">
        <f>IF($A8="","",INDEX(ListadoProductos[],MATCH('2.C_Datos'!$C8,ListadoProductos[Productos],0),MATCH('2.C_Datos'!G$3,ListadoProductos[#Headers],0)))</f>
        <v>0</v>
      </c>
      <c r="H8" s="97">
        <f>IF($A8="","",INDEX(ListadoProductos[],MATCH('2.C_Datos'!$C8,ListadoProductos[Productos],0),MATCH('2.C_Datos'!H$3,ListadoProductos[#Headers],0)))</f>
        <v>0</v>
      </c>
      <c r="I8" s="97">
        <f>IF($A8="","",INDEX(ListadoProductos[],MATCH('2.C_Datos'!$C8,ListadoProductos[Productos],0),MATCH('2.C_Datos'!I$3,ListadoProductos[#Headers],0)))</f>
        <v>0</v>
      </c>
      <c r="J8" s="99">
        <f>IF(Tabla19[[#This Row],[Comp1]]="","",COUNTIFS(TablaMaq1[Componente],Tabla19[[#This Row],[Comp1]],TablaMaq1[ID_Pedido],'2.C_Datos'!A8)+
COUNTIFS(TablaMaq2[Componente],Tabla19[[#This Row],[Comp1]],TablaMaq2[ID_Pedido],'2.C_Datos'!A8)+
COUNTIFS(TablaMaq3[Componente],Tabla19[[#This Row],[Comp1]],TablaMaq3[ID_Pedido],'2.C_Datos'!A8)+
COUNTIFS(TablaMaq4[Componente],Tabla19[[#This Row],[Comp1]],TablaMaq4[ID_Pedido],'2.C_Datos'!A8))</f>
        <v>1</v>
      </c>
      <c r="K8" s="99">
        <f>IF(Tabla19[[#This Row],[Comp2]]="","",COUNTIFS(TablaMaq1[Componente],Tabla19[[#This Row],[Comp2]],TablaMaq1[ID_Pedido],'2.C_Datos'!A8)+
COUNTIFS(TablaMaq2[Componente],Tabla19[[#This Row],[Comp2]],TablaMaq2[ID_Pedido],'2.C_Datos'!A8)+
COUNTIFS(TablaMaq3[Componente],Tabla19[[#This Row],[Comp2]],TablaMaq3[ID_Pedido],'2.C_Datos'!A8)+
COUNTIFS(TablaMaq4[Componente],Tabla19[[#This Row],[Comp2]],TablaMaq4[ID_Pedido],'2.C_Datos'!A8))</f>
        <v>1</v>
      </c>
      <c r="L8" s="99">
        <f>IF(Tabla19[[#This Row],[Comp3]]="","",COUNTIFS(TablaMaq1[Componente],Tabla19[[#This Row],[Comp3]],TablaMaq1[ID_Pedido],'2.C_Datos'!A8)+
COUNTIFS(TablaMaq2[Componente],Tabla19[[#This Row],[Comp3]],TablaMaq2[ID_Pedido],'2.C_Datos'!A8)+
COUNTIFS(TablaMaq3[Componente],Tabla19[[#This Row],[Comp3]],TablaMaq3[ID_Pedido],'2.C_Datos'!A8)+
COUNTIFS(TablaMaq4[Componente],Tabla19[[#This Row],[Comp3]],TablaMaq4[ID_Pedido],'2.C_Datos'!A8))</f>
        <v>0</v>
      </c>
      <c r="M8" s="99">
        <f>IF(Tabla19[[#This Row],[Comp4]]="","",COUNTIFS(TablaMaq1[Componente],Tabla19[[#This Row],[Comp4]],TablaMaq1[ID_Pedido],'2.C_Datos'!A8)+
COUNTIFS(TablaMaq2[Componente],Tabla19[[#This Row],[Comp4]],TablaMaq2[ID_Pedido],'2.C_Datos'!A8)+
COUNTIFS(TablaMaq3[Componente],Tabla19[[#This Row],[Comp4]],TablaMaq3[ID_Pedido],'2.C_Datos'!A8)+
COUNTIFS(TablaMaq4[Componente],Tabla19[[#This Row],[Comp4]],TablaMaq4[ID_Pedido],'2.C_Datos'!A8))</f>
        <v>0</v>
      </c>
      <c r="N8" s="99">
        <f>IF(Tabla19[[#This Row],[Comp5]]="","",COUNTIFS(TablaMaq1[Componente],Tabla19[[#This Row],[Comp5]],TablaMaq1[ID_Pedido],'2.C_Datos'!A8)+
COUNTIFS(TablaMaq1[Componente],Tabla19[[#This Row],[Comp5]],TablaMaq2[ID_Pedido],'2.C_Datos'!A8)+
COUNTIFS(TablaMaq1[Componente],Tabla19[[#This Row],[Comp5]],TablaMaq3[ID_Pedido],'2.C_Datos'!A8)+
COUNTIFS(TablaMaq1[Componente],Tabla19[[#This Row],[Comp5]],TablaMaq4[ID_Pedido],'2.C_Datos'!A8))</f>
        <v>0</v>
      </c>
      <c r="O8" s="85">
        <f>IF(Tabla19[[#This Row],[Comp1]]="","",
IF(IF(Tabla19[[#This Row],[Comp1]]=0,0,1)*$D8-Tabla19[[#This Row],[Asign1]]=0,0,Tabla19[[#This Row],[Comp1]]))</f>
        <v>0</v>
      </c>
      <c r="P8" s="85">
        <f>IF(Tabla19[[#This Row],[Comp2]]="","",
IF(IF(Tabla19[[#This Row],[Comp2]]=0,0,1)*$D8-Tabla19[[#This Row],[Asign2]]=0,0,Tabla19[[#This Row],[Comp2]]))</f>
        <v>0</v>
      </c>
      <c r="Q8" s="85">
        <f>IF(Tabla19[[#This Row],[Comp3]]="","",
IF(IF(Tabla19[[#This Row],[Comp3]]=0,0,1)*$D8-Tabla19[[#This Row],[Asign3]]=0,0,Tabla19[[#This Row],[Comp3]]))</f>
        <v>0</v>
      </c>
      <c r="R8" s="85">
        <f>IF(Tabla19[[#This Row],[Comp4]]="","",
IF(IF(Tabla19[[#This Row],[Comp4]]=0,0,1)*$D8-Tabla19[[#This Row],[Asign4]]=0,0,Tabla19[[#This Row],[Comp4]]))</f>
        <v>0</v>
      </c>
      <c r="S8" s="85">
        <f>IF(Tabla19[[#This Row],[Comp5]]="","",
IF(IF(Tabla19[[#This Row],[Comp5]]=0,0,1)*$D8-Tabla19[[#This Row],[Asign5]]=0,0,Tabla19[[#This Row],[Comp5]]))</f>
        <v>0</v>
      </c>
    </row>
    <row r="9" spans="1:35" x14ac:dyDescent="0.3">
      <c r="A9" s="82" t="str">
        <v>PD_6</v>
      </c>
      <c r="B9" s="89">
        <v>44316</v>
      </c>
      <c r="C9" s="100" t="str">
        <v>PROD1</v>
      </c>
      <c r="D9" s="101">
        <v>5</v>
      </c>
      <c r="E9" s="97" t="str">
        <f>IF($A9="","",INDEX(ListadoProductos[],MATCH('2.C_Datos'!$C9,ListadoProductos[Productos],0),MATCH('2.C_Datos'!E$3,ListadoProductos[#Headers],0)))</f>
        <v>COMP1</v>
      </c>
      <c r="F9" s="97" t="str">
        <f>IF($A9="","",INDEX(ListadoProductos[],MATCH('2.C_Datos'!$C9,ListadoProductos[Productos],0),MATCH('2.C_Datos'!F$3,ListadoProductos[#Headers],0)))</f>
        <v>COMP2</v>
      </c>
      <c r="G9" s="97" t="str">
        <f>IF($A9="","",INDEX(ListadoProductos[],MATCH('2.C_Datos'!$C9,ListadoProductos[Productos],0),MATCH('2.C_Datos'!G$3,ListadoProductos[#Headers],0)))</f>
        <v>COMP3</v>
      </c>
      <c r="H9" s="97">
        <f>IF($A9="","",INDEX(ListadoProductos[],MATCH('2.C_Datos'!$C9,ListadoProductos[Productos],0),MATCH('2.C_Datos'!H$3,ListadoProductos[#Headers],0)))</f>
        <v>0</v>
      </c>
      <c r="I9" s="97">
        <f>IF($A9="","",INDEX(ListadoProductos[],MATCH('2.C_Datos'!$C9,ListadoProductos[Productos],0),MATCH('2.C_Datos'!I$3,ListadoProductos[#Headers],0)))</f>
        <v>0</v>
      </c>
      <c r="J9" s="99">
        <f>IF(Tabla19[[#This Row],[Comp1]]="","",COUNTIFS(TablaMaq1[Componente],Tabla19[[#This Row],[Comp1]],TablaMaq1[ID_Pedido],'2.C_Datos'!A9)+
COUNTIFS(TablaMaq2[Componente],Tabla19[[#This Row],[Comp1]],TablaMaq2[ID_Pedido],'2.C_Datos'!A9)+
COUNTIFS(TablaMaq3[Componente],Tabla19[[#This Row],[Comp1]],TablaMaq3[ID_Pedido],'2.C_Datos'!A9)+
COUNTIFS(TablaMaq4[Componente],Tabla19[[#This Row],[Comp1]],TablaMaq4[ID_Pedido],'2.C_Datos'!A9))</f>
        <v>5</v>
      </c>
      <c r="K9" s="99">
        <f>IF(Tabla19[[#This Row],[Comp2]]="","",COUNTIFS(TablaMaq1[Componente],Tabla19[[#This Row],[Comp2]],TablaMaq1[ID_Pedido],'2.C_Datos'!A9)+
COUNTIFS(TablaMaq2[Componente],Tabla19[[#This Row],[Comp2]],TablaMaq2[ID_Pedido],'2.C_Datos'!A9)+
COUNTIFS(TablaMaq3[Componente],Tabla19[[#This Row],[Comp2]],TablaMaq3[ID_Pedido],'2.C_Datos'!A9)+
COUNTIFS(TablaMaq4[Componente],Tabla19[[#This Row],[Comp2]],TablaMaq4[ID_Pedido],'2.C_Datos'!A9))</f>
        <v>5</v>
      </c>
      <c r="L9" s="99">
        <f>IF(Tabla19[[#This Row],[Comp3]]="","",COUNTIFS(TablaMaq1[Componente],Tabla19[[#This Row],[Comp3]],TablaMaq1[ID_Pedido],'2.C_Datos'!A9)+
COUNTIFS(TablaMaq2[Componente],Tabla19[[#This Row],[Comp3]],TablaMaq2[ID_Pedido],'2.C_Datos'!A9)+
COUNTIFS(TablaMaq3[Componente],Tabla19[[#This Row],[Comp3]],TablaMaq3[ID_Pedido],'2.C_Datos'!A9)+
COUNTIFS(TablaMaq4[Componente],Tabla19[[#This Row],[Comp3]],TablaMaq4[ID_Pedido],'2.C_Datos'!A9))</f>
        <v>5</v>
      </c>
      <c r="M9" s="99">
        <f>IF(Tabla19[[#This Row],[Comp4]]="","",COUNTIFS(TablaMaq1[Componente],Tabla19[[#This Row],[Comp4]],TablaMaq1[ID_Pedido],'2.C_Datos'!A9)+
COUNTIFS(TablaMaq2[Componente],Tabla19[[#This Row],[Comp4]],TablaMaq2[ID_Pedido],'2.C_Datos'!A9)+
COUNTIFS(TablaMaq3[Componente],Tabla19[[#This Row],[Comp4]],TablaMaq3[ID_Pedido],'2.C_Datos'!A9)+
COUNTIFS(TablaMaq4[Componente],Tabla19[[#This Row],[Comp4]],TablaMaq4[ID_Pedido],'2.C_Datos'!A9))</f>
        <v>0</v>
      </c>
      <c r="N9" s="99">
        <f>IF(Tabla19[[#This Row],[Comp5]]="","",COUNTIFS(TablaMaq1[Componente],Tabla19[[#This Row],[Comp5]],TablaMaq1[ID_Pedido],'2.C_Datos'!A9)+
COUNTIFS(TablaMaq1[Componente],Tabla19[[#This Row],[Comp5]],TablaMaq2[ID_Pedido],'2.C_Datos'!A9)+
COUNTIFS(TablaMaq1[Componente],Tabla19[[#This Row],[Comp5]],TablaMaq3[ID_Pedido],'2.C_Datos'!A9)+
COUNTIFS(TablaMaq1[Componente],Tabla19[[#This Row],[Comp5]],TablaMaq4[ID_Pedido],'2.C_Datos'!A9))</f>
        <v>0</v>
      </c>
      <c r="O9" s="85">
        <f>IF(Tabla19[[#This Row],[Comp1]]="","",
IF(IF(Tabla19[[#This Row],[Comp1]]=0,0,1)*$D9-Tabla19[[#This Row],[Asign1]]=0,0,Tabla19[[#This Row],[Comp1]]))</f>
        <v>0</v>
      </c>
      <c r="P9" s="85">
        <f>IF(Tabla19[[#This Row],[Comp2]]="","",
IF(IF(Tabla19[[#This Row],[Comp2]]=0,0,1)*$D9-Tabla19[[#This Row],[Asign2]]=0,0,Tabla19[[#This Row],[Comp2]]))</f>
        <v>0</v>
      </c>
      <c r="Q9" s="85">
        <f>IF(Tabla19[[#This Row],[Comp3]]="","",
IF(IF(Tabla19[[#This Row],[Comp3]]=0,0,1)*$D9-Tabla19[[#This Row],[Asign3]]=0,0,Tabla19[[#This Row],[Comp3]]))</f>
        <v>0</v>
      </c>
      <c r="R9" s="85">
        <f>IF(Tabla19[[#This Row],[Comp4]]="","",
IF(IF(Tabla19[[#This Row],[Comp4]]=0,0,1)*$D9-Tabla19[[#This Row],[Asign4]]=0,0,Tabla19[[#This Row],[Comp4]]))</f>
        <v>0</v>
      </c>
      <c r="S9" s="85">
        <f>IF(Tabla19[[#This Row],[Comp5]]="","",
IF(IF(Tabla19[[#This Row],[Comp5]]=0,0,1)*$D9-Tabla19[[#This Row],[Asign5]]=0,0,Tabla19[[#This Row],[Comp5]]))</f>
        <v>0</v>
      </c>
    </row>
    <row r="10" spans="1:35" x14ac:dyDescent="0.3">
      <c r="A10" s="46" t="str">
        <v>PD_7</v>
      </c>
      <c r="B10" s="90">
        <v>44316</v>
      </c>
      <c r="C10" s="93" t="str">
        <v>PROD2</v>
      </c>
      <c r="D10" s="93">
        <v>5</v>
      </c>
      <c r="E10" s="102" t="str">
        <f>IF($A10="","",INDEX(ListadoProductos[],MATCH('2.C_Datos'!$C10,ListadoProductos[Productos],0),MATCH('2.C_Datos'!E$3,ListadoProductos[#Headers],0)))</f>
        <v>COMP2</v>
      </c>
      <c r="F10" s="102" t="str">
        <f>IF($A10="","",INDEX(ListadoProductos[],MATCH('2.C_Datos'!$C10,ListadoProductos[Productos],0),MATCH('2.C_Datos'!F$3,ListadoProductos[#Headers],0)))</f>
        <v>COMP4</v>
      </c>
      <c r="G10" s="102">
        <f>IF($A10="","",INDEX(ListadoProductos[],MATCH('2.C_Datos'!$C10,ListadoProductos[Productos],0),MATCH('2.C_Datos'!G$3,ListadoProductos[#Headers],0)))</f>
        <v>0</v>
      </c>
      <c r="H10" s="102">
        <f>IF($A10="","",INDEX(ListadoProductos[],MATCH('2.C_Datos'!$C10,ListadoProductos[Productos],0),MATCH('2.C_Datos'!H$3,ListadoProductos[#Headers],0)))</f>
        <v>0</v>
      </c>
      <c r="I10" s="102">
        <f>IF($A10="","",INDEX(ListadoProductos[],MATCH('2.C_Datos'!$C10,ListadoProductos[Productos],0),MATCH('2.C_Datos'!I$3,ListadoProductos[#Headers],0)))</f>
        <v>0</v>
      </c>
      <c r="J10" s="99">
        <f>IF(Tabla19[[#This Row],[Comp1]]="","",COUNTIFS(TablaMaq1[Componente],Tabla19[[#This Row],[Comp1]],TablaMaq1[ID_Pedido],'2.C_Datos'!A10)+
COUNTIFS(TablaMaq2[Componente],Tabla19[[#This Row],[Comp1]],TablaMaq2[ID_Pedido],'2.C_Datos'!A10)+
COUNTIFS(TablaMaq3[Componente],Tabla19[[#This Row],[Comp1]],TablaMaq3[ID_Pedido],'2.C_Datos'!A10)+
COUNTIFS(TablaMaq4[Componente],Tabla19[[#This Row],[Comp1]],TablaMaq4[ID_Pedido],'2.C_Datos'!A10))</f>
        <v>5</v>
      </c>
      <c r="K10" s="99">
        <f>IF(Tabla19[[#This Row],[Comp2]]="","",COUNTIFS(TablaMaq1[Componente],Tabla19[[#This Row],[Comp2]],TablaMaq1[ID_Pedido],'2.C_Datos'!A10)+
COUNTIFS(TablaMaq2[Componente],Tabla19[[#This Row],[Comp2]],TablaMaq2[ID_Pedido],'2.C_Datos'!A10)+
COUNTIFS(TablaMaq3[Componente],Tabla19[[#This Row],[Comp2]],TablaMaq3[ID_Pedido],'2.C_Datos'!A10)+
COUNTIFS(TablaMaq4[Componente],Tabla19[[#This Row],[Comp2]],TablaMaq4[ID_Pedido],'2.C_Datos'!A10))</f>
        <v>5</v>
      </c>
      <c r="L10" s="99">
        <f>IF(Tabla19[[#This Row],[Comp3]]="","",COUNTIFS(TablaMaq1[Componente],Tabla19[[#This Row],[Comp3]],TablaMaq1[ID_Pedido],'2.C_Datos'!A10)+
COUNTIFS(TablaMaq2[Componente],Tabla19[[#This Row],[Comp3]],TablaMaq2[ID_Pedido],'2.C_Datos'!A10)+
COUNTIFS(TablaMaq3[Componente],Tabla19[[#This Row],[Comp3]],TablaMaq3[ID_Pedido],'2.C_Datos'!A10)+
COUNTIFS(TablaMaq4[Componente],Tabla19[[#This Row],[Comp3]],TablaMaq4[ID_Pedido],'2.C_Datos'!A10))</f>
        <v>0</v>
      </c>
      <c r="M10" s="99">
        <f>IF(Tabla19[[#This Row],[Comp4]]="","",COUNTIFS(TablaMaq1[Componente],Tabla19[[#This Row],[Comp4]],TablaMaq1[ID_Pedido],'2.C_Datos'!A10)+
COUNTIFS(TablaMaq2[Componente],Tabla19[[#This Row],[Comp4]],TablaMaq2[ID_Pedido],'2.C_Datos'!A10)+
COUNTIFS(TablaMaq3[Componente],Tabla19[[#This Row],[Comp4]],TablaMaq3[ID_Pedido],'2.C_Datos'!A10)+
COUNTIFS(TablaMaq4[Componente],Tabla19[[#This Row],[Comp4]],TablaMaq4[ID_Pedido],'2.C_Datos'!A10))</f>
        <v>0</v>
      </c>
      <c r="N10" s="99">
        <f>IF(Tabla19[[#This Row],[Comp5]]="","",COUNTIFS(TablaMaq1[Componente],Tabla19[[#This Row],[Comp5]],TablaMaq1[ID_Pedido],'2.C_Datos'!A10)+
COUNTIFS(TablaMaq1[Componente],Tabla19[[#This Row],[Comp5]],TablaMaq2[ID_Pedido],'2.C_Datos'!A10)+
COUNTIFS(TablaMaq1[Componente],Tabla19[[#This Row],[Comp5]],TablaMaq3[ID_Pedido],'2.C_Datos'!A10)+
COUNTIFS(TablaMaq1[Componente],Tabla19[[#This Row],[Comp5]],TablaMaq4[ID_Pedido],'2.C_Datos'!A10))</f>
        <v>0</v>
      </c>
      <c r="O10" s="85">
        <f>IF(Tabla19[[#This Row],[Comp1]]="","",
IF(IF(Tabla19[[#This Row],[Comp1]]=0,0,1)*$D10-Tabla19[[#This Row],[Asign1]]=0,0,Tabla19[[#This Row],[Comp1]]))</f>
        <v>0</v>
      </c>
      <c r="P10" s="85">
        <f>IF(Tabla19[[#This Row],[Comp2]]="","",
IF(IF(Tabla19[[#This Row],[Comp2]]=0,0,1)*$D10-Tabla19[[#This Row],[Asign2]]=0,0,Tabla19[[#This Row],[Comp2]]))</f>
        <v>0</v>
      </c>
      <c r="Q10" s="85">
        <f>IF(Tabla19[[#This Row],[Comp3]]="","",
IF(IF(Tabla19[[#This Row],[Comp3]]=0,0,1)*$D10-Tabla19[[#This Row],[Asign3]]=0,0,Tabla19[[#This Row],[Comp3]]))</f>
        <v>0</v>
      </c>
      <c r="R10" s="85">
        <f>IF(Tabla19[[#This Row],[Comp4]]="","",
IF(IF(Tabla19[[#This Row],[Comp4]]=0,0,1)*$D10-Tabla19[[#This Row],[Asign4]]=0,0,Tabla19[[#This Row],[Comp4]]))</f>
        <v>0</v>
      </c>
      <c r="S10" s="85">
        <f>IF(Tabla19[[#This Row],[Comp5]]="","",
IF(IF(Tabla19[[#This Row],[Comp5]]=0,0,1)*$D10-Tabla19[[#This Row],[Asign5]]=0,0,Tabla19[[#This Row],[Comp5]]))</f>
        <v>0</v>
      </c>
    </row>
    <row r="11" spans="1:35" x14ac:dyDescent="0.3">
      <c r="B11" s="90"/>
      <c r="E11" s="99" t="str">
        <f>IF($A11="","",INDEX(ListadoProductos[],MATCH('2.C_Datos'!$C11,ListadoProductos[Productos],0),MATCH('2.C_Datos'!E$3,ListadoProductos[#Headers],0)))</f>
        <v/>
      </c>
      <c r="F11" s="99" t="str">
        <f>IF($A11="","",INDEX(ListadoProductos[],MATCH('2.C_Datos'!$C11,ListadoProductos[Productos],0),MATCH('2.C_Datos'!F$3,ListadoProductos[#Headers],0)))</f>
        <v/>
      </c>
      <c r="G11" s="99" t="str">
        <f>IF($A11="","",INDEX(ListadoProductos[],MATCH('2.C_Datos'!$C11,ListadoProductos[Productos],0),MATCH('2.C_Datos'!G$3,ListadoProductos[#Headers],0)))</f>
        <v/>
      </c>
      <c r="H11" s="99" t="str">
        <f>IF($A11="","",INDEX(ListadoProductos[],MATCH('2.C_Datos'!$C11,ListadoProductos[Productos],0),MATCH('2.C_Datos'!H$3,ListadoProductos[#Headers],0)))</f>
        <v/>
      </c>
      <c r="I11" s="99" t="str">
        <f>IF($A11="","",INDEX(ListadoProductos[],MATCH('2.C_Datos'!$C11,ListadoProductos[Productos],0),MATCH('2.C_Datos'!I$3,ListadoProductos[#Headers],0)))</f>
        <v/>
      </c>
      <c r="J11" s="99" t="str">
        <f>IF(Tabla19[[#This Row],[Comp1]]="","",COUNTIFS(TablaMaq1[Componente],Tabla19[[#This Row],[Comp1]],TablaMaq1[ID_Pedido],'2.C_Datos'!A11)+
COUNTIFS(TablaMaq2[Componente],Tabla19[[#This Row],[Comp1]],TablaMaq2[ID_Pedido],'2.C_Datos'!A11)+
COUNTIFS(TablaMaq3[Componente],Tabla19[[#This Row],[Comp1]],TablaMaq3[ID_Pedido],'2.C_Datos'!A11)+
COUNTIFS(TablaMaq4[Componente],Tabla19[[#This Row],[Comp1]],TablaMaq4[ID_Pedido],'2.C_Datos'!A11))</f>
        <v/>
      </c>
      <c r="K11" s="99" t="str">
        <f>IF(Tabla19[[#This Row],[Comp2]]="","",COUNTIFS(TablaMaq1[Componente],Tabla19[[#This Row],[Comp2]],TablaMaq1[ID_Pedido],'2.C_Datos'!A11)+
COUNTIFS(TablaMaq2[Componente],Tabla19[[#This Row],[Comp2]],TablaMaq2[ID_Pedido],'2.C_Datos'!A11)+
COUNTIFS(TablaMaq3[Componente],Tabla19[[#This Row],[Comp2]],TablaMaq3[ID_Pedido],'2.C_Datos'!A11)+
COUNTIFS(TablaMaq4[Componente],Tabla19[[#This Row],[Comp2]],TablaMaq4[ID_Pedido],'2.C_Datos'!A11))</f>
        <v/>
      </c>
      <c r="L11" s="99" t="str">
        <f>IF(Tabla19[[#This Row],[Comp3]]="","",COUNTIFS(TablaMaq1[Componente],Tabla19[[#This Row],[Comp3]],TablaMaq1[ID_Pedido],'2.C_Datos'!A11)+
COUNTIFS(TablaMaq2[Componente],Tabla19[[#This Row],[Comp3]],TablaMaq2[ID_Pedido],'2.C_Datos'!A11)+
COUNTIFS(TablaMaq3[Componente],Tabla19[[#This Row],[Comp3]],TablaMaq3[ID_Pedido],'2.C_Datos'!A11)+
COUNTIFS(TablaMaq4[Componente],Tabla19[[#This Row],[Comp3]],TablaMaq4[ID_Pedido],'2.C_Datos'!A11))</f>
        <v/>
      </c>
      <c r="M11" s="99" t="str">
        <f>IF(Tabla19[[#This Row],[Comp4]]="","",COUNTIFS(TablaMaq1[Componente],Tabla19[[#This Row],[Comp4]],TablaMaq1[ID_Pedido],'2.C_Datos'!A11)+
COUNTIFS(TablaMaq2[Componente],Tabla19[[#This Row],[Comp4]],TablaMaq2[ID_Pedido],'2.C_Datos'!A11)+
COUNTIFS(TablaMaq3[Componente],Tabla19[[#This Row],[Comp4]],TablaMaq3[ID_Pedido],'2.C_Datos'!A11)+
COUNTIFS(TablaMaq4[Componente],Tabla19[[#This Row],[Comp4]],TablaMaq4[ID_Pedido],'2.C_Datos'!A11))</f>
        <v/>
      </c>
      <c r="N11" s="99" t="str">
        <f>IF(Tabla19[[#This Row],[Comp5]]="","",COUNTIFS(TablaMaq1[Componente],Tabla19[[#This Row],[Comp5]],TablaMaq1[ID_Pedido],'2.C_Datos'!A11)+
COUNTIFS(TablaMaq1[Componente],Tabla19[[#This Row],[Comp5]],TablaMaq2[ID_Pedido],'2.C_Datos'!A11)+
COUNTIFS(TablaMaq1[Componente],Tabla19[[#This Row],[Comp5]],TablaMaq3[ID_Pedido],'2.C_Datos'!A11)+
COUNTIFS(TablaMaq1[Componente],Tabla19[[#This Row],[Comp5]],TablaMaq4[ID_Pedido],'2.C_Datos'!A11))</f>
        <v/>
      </c>
      <c r="O11" s="85" t="str">
        <f>IF(Tabla19[[#This Row],[Comp1]]="","",
IF(IF(Tabla19[[#This Row],[Comp1]]=0,0,1)*$D11-Tabla19[[#This Row],[Asign1]]=0,0,Tabla19[[#This Row],[Comp1]]))</f>
        <v/>
      </c>
      <c r="P11" s="85" t="str">
        <f>IF(Tabla19[[#This Row],[Comp2]]="","",
IF(IF(Tabla19[[#This Row],[Comp2]]=0,0,1)*$D11-Tabla19[[#This Row],[Asign2]]=0,0,Tabla19[[#This Row],[Comp2]]))</f>
        <v/>
      </c>
      <c r="Q11" s="85" t="str">
        <f>IF(Tabla19[[#This Row],[Comp3]]="","",
IF(IF(Tabla19[[#This Row],[Comp3]]=0,0,1)*$D11-Tabla19[[#This Row],[Asign3]]=0,0,Tabla19[[#This Row],[Comp3]]))</f>
        <v/>
      </c>
      <c r="R11" s="85" t="str">
        <f>IF(Tabla19[[#This Row],[Comp4]]="","",
IF(IF(Tabla19[[#This Row],[Comp4]]=0,0,1)*$D11-Tabla19[[#This Row],[Asign4]]=0,0,Tabla19[[#This Row],[Comp4]]))</f>
        <v/>
      </c>
      <c r="S11" s="85" t="str">
        <f>IF(Tabla19[[#This Row],[Comp5]]="","",
IF(IF(Tabla19[[#This Row],[Comp5]]=0,0,1)*$D11-Tabla19[[#This Row],[Asign5]]=0,0,Tabla19[[#This Row],[Comp5]]))</f>
        <v/>
      </c>
    </row>
    <row r="12" spans="1:35" x14ac:dyDescent="0.3">
      <c r="E12" s="99" t="str">
        <f>IF($A12="","",INDEX(ListadoProductos[],MATCH('2.C_Datos'!$C12,ListadoProductos[Productos],0),MATCH('2.C_Datos'!E$3,ListadoProductos[#Headers],0)))</f>
        <v/>
      </c>
      <c r="F12" s="99" t="str">
        <f>IF($A12="","",INDEX(ListadoProductos[],MATCH('2.C_Datos'!$C12,ListadoProductos[Productos],0),MATCH('2.C_Datos'!F$3,ListadoProductos[#Headers],0)))</f>
        <v/>
      </c>
      <c r="G12" s="99" t="str">
        <f>IF($A12="","",INDEX(ListadoProductos[],MATCH('2.C_Datos'!$C12,ListadoProductos[Productos],0),MATCH('2.C_Datos'!G$3,ListadoProductos[#Headers],0)))</f>
        <v/>
      </c>
      <c r="H12" s="99" t="str">
        <f>IF($A12="","",INDEX(ListadoProductos[],MATCH('2.C_Datos'!$C12,ListadoProductos[Productos],0),MATCH('2.C_Datos'!H$3,ListadoProductos[#Headers],0)))</f>
        <v/>
      </c>
      <c r="I12" s="99" t="str">
        <f>IF($A12="","",INDEX(ListadoProductos[],MATCH('2.C_Datos'!$C12,ListadoProductos[Productos],0),MATCH('2.C_Datos'!I$3,ListadoProductos[#Headers],0)))</f>
        <v/>
      </c>
      <c r="J12" s="99" t="str">
        <f>IF(Tabla19[[#This Row],[Comp1]]="","",COUNTIFS(TablaMaq1[Componente],Tabla19[[#This Row],[Comp1]],TablaMaq1[ID_Pedido],'2.C_Datos'!A12)+
COUNTIFS(TablaMaq2[Componente],Tabla19[[#This Row],[Comp1]],TablaMaq2[ID_Pedido],'2.C_Datos'!A12)+
COUNTIFS(TablaMaq3[Componente],Tabla19[[#This Row],[Comp1]],TablaMaq3[ID_Pedido],'2.C_Datos'!A12)+
COUNTIFS(TablaMaq4[Componente],Tabla19[[#This Row],[Comp1]],TablaMaq4[ID_Pedido],'2.C_Datos'!A12))</f>
        <v/>
      </c>
      <c r="K12" s="99" t="str">
        <f>IF(Tabla19[[#This Row],[Comp2]]="","",COUNTIFS(TablaMaq1[Componente],Tabla19[[#This Row],[Comp2]],TablaMaq1[ID_Pedido],'2.C_Datos'!A12)+
COUNTIFS(TablaMaq2[Componente],Tabla19[[#This Row],[Comp2]],TablaMaq2[ID_Pedido],'2.C_Datos'!A12)+
COUNTIFS(TablaMaq3[Componente],Tabla19[[#This Row],[Comp2]],TablaMaq3[ID_Pedido],'2.C_Datos'!A12)+
COUNTIFS(TablaMaq4[Componente],Tabla19[[#This Row],[Comp2]],TablaMaq4[ID_Pedido],'2.C_Datos'!A12))</f>
        <v/>
      </c>
      <c r="L12" s="99" t="str">
        <f>IF(Tabla19[[#This Row],[Comp3]]="","",COUNTIFS(TablaMaq1[Componente],Tabla19[[#This Row],[Comp3]],TablaMaq1[ID_Pedido],'2.C_Datos'!A12)+
COUNTIFS(TablaMaq2[Componente],Tabla19[[#This Row],[Comp3]],TablaMaq2[ID_Pedido],'2.C_Datos'!A12)+
COUNTIFS(TablaMaq3[Componente],Tabla19[[#This Row],[Comp3]],TablaMaq3[ID_Pedido],'2.C_Datos'!A12)+
COUNTIFS(TablaMaq4[Componente],Tabla19[[#This Row],[Comp3]],TablaMaq4[ID_Pedido],'2.C_Datos'!A12))</f>
        <v/>
      </c>
      <c r="M12" s="99" t="str">
        <f>IF(Tabla19[[#This Row],[Comp4]]="","",COUNTIFS(TablaMaq1[Componente],Tabla19[[#This Row],[Comp4]],TablaMaq1[ID_Pedido],'2.C_Datos'!A12)+
COUNTIFS(TablaMaq2[Componente],Tabla19[[#This Row],[Comp4]],TablaMaq2[ID_Pedido],'2.C_Datos'!A12)+
COUNTIFS(TablaMaq3[Componente],Tabla19[[#This Row],[Comp4]],TablaMaq3[ID_Pedido],'2.C_Datos'!A12)+
COUNTIFS(TablaMaq4[Componente],Tabla19[[#This Row],[Comp4]],TablaMaq4[ID_Pedido],'2.C_Datos'!A12))</f>
        <v/>
      </c>
      <c r="N12" s="99" t="str">
        <f>IF(Tabla19[[#This Row],[Comp5]]="","",COUNTIFS(TablaMaq1[Componente],Tabla19[[#This Row],[Comp5]],TablaMaq1[ID_Pedido],'2.C_Datos'!A12)+
COUNTIFS(TablaMaq1[Componente],Tabla19[[#This Row],[Comp5]],TablaMaq2[ID_Pedido],'2.C_Datos'!A12)+
COUNTIFS(TablaMaq1[Componente],Tabla19[[#This Row],[Comp5]],TablaMaq3[ID_Pedido],'2.C_Datos'!A12)+
COUNTIFS(TablaMaq1[Componente],Tabla19[[#This Row],[Comp5]],TablaMaq4[ID_Pedido],'2.C_Datos'!A12))</f>
        <v/>
      </c>
      <c r="O12" s="85" t="str">
        <f>IF(Tabla19[[#This Row],[Comp1]]="","",
IF(IF(Tabla19[[#This Row],[Comp1]]=0,0,1)*$D12-Tabla19[[#This Row],[Asign1]]=0,0,Tabla19[[#This Row],[Comp1]]))</f>
        <v/>
      </c>
      <c r="P12" s="85" t="str">
        <f>IF(Tabla19[[#This Row],[Comp2]]="","",
IF(IF(Tabla19[[#This Row],[Comp2]]=0,0,1)*$D12-Tabla19[[#This Row],[Asign2]]=0,0,Tabla19[[#This Row],[Comp2]]))</f>
        <v/>
      </c>
      <c r="Q12" s="85" t="str">
        <f>IF(Tabla19[[#This Row],[Comp3]]="","",
IF(IF(Tabla19[[#This Row],[Comp3]]=0,0,1)*$D12-Tabla19[[#This Row],[Asign3]]=0,0,Tabla19[[#This Row],[Comp3]]))</f>
        <v/>
      </c>
      <c r="R12" s="85" t="str">
        <f>IF(Tabla19[[#This Row],[Comp4]]="","",
IF(IF(Tabla19[[#This Row],[Comp4]]=0,0,1)*$D12-Tabla19[[#This Row],[Asign4]]=0,0,Tabla19[[#This Row],[Comp4]]))</f>
        <v/>
      </c>
      <c r="S12" s="85" t="str">
        <f>IF(Tabla19[[#This Row],[Comp5]]="","",
IF(IF(Tabla19[[#This Row],[Comp5]]=0,0,1)*$D12-Tabla19[[#This Row],[Asign5]]=0,0,Tabla19[[#This Row],[Comp5]]))</f>
        <v/>
      </c>
    </row>
    <row r="13" spans="1:35" x14ac:dyDescent="0.3">
      <c r="E13" s="99" t="str">
        <f>IF($A13="","",INDEX(ListadoProductos[],MATCH('2.C_Datos'!$C13,ListadoProductos[Productos],0),MATCH('2.C_Datos'!E$3,ListadoProductos[#Headers],0)))</f>
        <v/>
      </c>
      <c r="F13" s="99" t="str">
        <f>IF($A13="","",INDEX(ListadoProductos[],MATCH('2.C_Datos'!$C13,ListadoProductos[Productos],0),MATCH('2.C_Datos'!F$3,ListadoProductos[#Headers],0)))</f>
        <v/>
      </c>
      <c r="G13" s="99" t="str">
        <f>IF($A13="","",INDEX(ListadoProductos[],MATCH('2.C_Datos'!$C13,ListadoProductos[Productos],0),MATCH('2.C_Datos'!G$3,ListadoProductos[#Headers],0)))</f>
        <v/>
      </c>
      <c r="H13" s="99" t="str">
        <f>IF($A13="","",INDEX(ListadoProductos[],MATCH('2.C_Datos'!$C13,ListadoProductos[Productos],0),MATCH('2.C_Datos'!H$3,ListadoProductos[#Headers],0)))</f>
        <v/>
      </c>
      <c r="I13" s="99" t="str">
        <f>IF($A13="","",INDEX(ListadoProductos[],MATCH('2.C_Datos'!$C13,ListadoProductos[Productos],0),MATCH('2.C_Datos'!I$3,ListadoProductos[#Headers],0)))</f>
        <v/>
      </c>
      <c r="J13" s="99" t="str">
        <f>IF(Tabla19[[#This Row],[Comp1]]="","",COUNTIFS(TablaMaq1[Componente],Tabla19[[#This Row],[Comp1]],TablaMaq1[ID_Pedido],'2.C_Datos'!A13)+
COUNTIFS(TablaMaq2[Componente],Tabla19[[#This Row],[Comp1]],TablaMaq2[ID_Pedido],'2.C_Datos'!A13)+
COUNTIFS(TablaMaq3[Componente],Tabla19[[#This Row],[Comp1]],TablaMaq3[ID_Pedido],'2.C_Datos'!A13)+
COUNTIFS(TablaMaq4[Componente],Tabla19[[#This Row],[Comp1]],TablaMaq4[ID_Pedido],'2.C_Datos'!A13))</f>
        <v/>
      </c>
      <c r="K13" s="99" t="str">
        <f>IF(Tabla19[[#This Row],[Comp2]]="","",COUNTIFS(TablaMaq1[Componente],Tabla19[[#This Row],[Comp2]],TablaMaq1[ID_Pedido],'2.C_Datos'!A13)+
COUNTIFS(TablaMaq2[Componente],Tabla19[[#This Row],[Comp2]],TablaMaq2[ID_Pedido],'2.C_Datos'!A13)+
COUNTIFS(TablaMaq3[Componente],Tabla19[[#This Row],[Comp2]],TablaMaq3[ID_Pedido],'2.C_Datos'!A13)+
COUNTIFS(TablaMaq4[Componente],Tabla19[[#This Row],[Comp2]],TablaMaq4[ID_Pedido],'2.C_Datos'!A13))</f>
        <v/>
      </c>
      <c r="L13" s="99" t="str">
        <f>IF(Tabla19[[#This Row],[Comp3]]="","",COUNTIFS(TablaMaq1[Componente],Tabla19[[#This Row],[Comp3]],TablaMaq1[ID_Pedido],'2.C_Datos'!A13)+
COUNTIFS(TablaMaq2[Componente],Tabla19[[#This Row],[Comp3]],TablaMaq2[ID_Pedido],'2.C_Datos'!A13)+
COUNTIFS(TablaMaq3[Componente],Tabla19[[#This Row],[Comp3]],TablaMaq3[ID_Pedido],'2.C_Datos'!A13)+
COUNTIFS(TablaMaq4[Componente],Tabla19[[#This Row],[Comp3]],TablaMaq4[ID_Pedido],'2.C_Datos'!A13))</f>
        <v/>
      </c>
      <c r="M13" s="99" t="str">
        <f>IF(Tabla19[[#This Row],[Comp4]]="","",COUNTIFS(TablaMaq1[Componente],Tabla19[[#This Row],[Comp4]],TablaMaq1[ID_Pedido],'2.C_Datos'!A13)+
COUNTIFS(TablaMaq2[Componente],Tabla19[[#This Row],[Comp4]],TablaMaq2[ID_Pedido],'2.C_Datos'!A13)+
COUNTIFS(TablaMaq3[Componente],Tabla19[[#This Row],[Comp4]],TablaMaq3[ID_Pedido],'2.C_Datos'!A13)+
COUNTIFS(TablaMaq4[Componente],Tabla19[[#This Row],[Comp4]],TablaMaq4[ID_Pedido],'2.C_Datos'!A13))</f>
        <v/>
      </c>
      <c r="N13" s="99" t="str">
        <f>IF(Tabla19[[#This Row],[Comp5]]="","",COUNTIFS(TablaMaq1[Componente],Tabla19[[#This Row],[Comp5]],TablaMaq1[ID_Pedido],'2.C_Datos'!A13)+
COUNTIFS(TablaMaq1[Componente],Tabla19[[#This Row],[Comp5]],TablaMaq2[ID_Pedido],'2.C_Datos'!A13)+
COUNTIFS(TablaMaq1[Componente],Tabla19[[#This Row],[Comp5]],TablaMaq3[ID_Pedido],'2.C_Datos'!A13)+
COUNTIFS(TablaMaq1[Componente],Tabla19[[#This Row],[Comp5]],TablaMaq4[ID_Pedido],'2.C_Datos'!A13))</f>
        <v/>
      </c>
      <c r="O13" s="85" t="str">
        <f>IF(Tabla19[[#This Row],[Comp1]]="","",
IF(IF(Tabla19[[#This Row],[Comp1]]=0,0,1)*$D13-Tabla19[[#This Row],[Asign1]]=0,0,Tabla19[[#This Row],[Comp1]]))</f>
        <v/>
      </c>
      <c r="P13" s="85" t="str">
        <f>IF(Tabla19[[#This Row],[Comp2]]="","",
IF(IF(Tabla19[[#This Row],[Comp2]]=0,0,1)*$D13-Tabla19[[#This Row],[Asign2]]=0,0,Tabla19[[#This Row],[Comp2]]))</f>
        <v/>
      </c>
      <c r="Q13" s="85" t="str">
        <f>IF(Tabla19[[#This Row],[Comp3]]="","",
IF(IF(Tabla19[[#This Row],[Comp3]]=0,0,1)*$D13-Tabla19[[#This Row],[Asign3]]=0,0,Tabla19[[#This Row],[Comp3]]))</f>
        <v/>
      </c>
      <c r="R13" s="85" t="str">
        <f>IF(Tabla19[[#This Row],[Comp4]]="","",
IF(IF(Tabla19[[#This Row],[Comp4]]=0,0,1)*$D13-Tabla19[[#This Row],[Asign4]]=0,0,Tabla19[[#This Row],[Comp4]]))</f>
        <v/>
      </c>
      <c r="S13" s="85" t="str">
        <f>IF(Tabla19[[#This Row],[Comp5]]="","",
IF(IF(Tabla19[[#This Row],[Comp5]]=0,0,1)*$D13-Tabla19[[#This Row],[Asign5]]=0,0,Tabla19[[#This Row],[Comp5]]))</f>
        <v/>
      </c>
    </row>
    <row r="14" spans="1:35" x14ac:dyDescent="0.3">
      <c r="E14" s="99" t="str">
        <f>IF($A14="","",INDEX(ListadoProductos[],MATCH('2.C_Datos'!$C14,ListadoProductos[Productos],0),MATCH('2.C_Datos'!E$3,ListadoProductos[#Headers],0)))</f>
        <v/>
      </c>
      <c r="F14" s="99" t="str">
        <f>IF($A14="","",INDEX(ListadoProductos[],MATCH('2.C_Datos'!$C14,ListadoProductos[Productos],0),MATCH('2.C_Datos'!F$3,ListadoProductos[#Headers],0)))</f>
        <v/>
      </c>
      <c r="G14" s="99" t="str">
        <f>IF($A14="","",INDEX(ListadoProductos[],MATCH('2.C_Datos'!$C14,ListadoProductos[Productos],0),MATCH('2.C_Datos'!G$3,ListadoProductos[#Headers],0)))</f>
        <v/>
      </c>
      <c r="H14" s="99" t="str">
        <f>IF($A14="","",INDEX(ListadoProductos[],MATCH('2.C_Datos'!$C14,ListadoProductos[Productos],0),MATCH('2.C_Datos'!H$3,ListadoProductos[#Headers],0)))</f>
        <v/>
      </c>
      <c r="I14" s="99" t="str">
        <f>IF($A14="","",INDEX(ListadoProductos[],MATCH('2.C_Datos'!$C14,ListadoProductos[Productos],0),MATCH('2.C_Datos'!I$3,ListadoProductos[#Headers],0)))</f>
        <v/>
      </c>
      <c r="J14" s="99" t="str">
        <f>IF(Tabla19[[#This Row],[Comp1]]="","",COUNTIFS(TablaMaq1[Componente],Tabla19[[#This Row],[Comp1]],TablaMaq1[ID_Pedido],'2.C_Datos'!A14)+
COUNTIFS(TablaMaq2[Componente],Tabla19[[#This Row],[Comp1]],TablaMaq2[ID_Pedido],'2.C_Datos'!A14)+
COUNTIFS(TablaMaq3[Componente],Tabla19[[#This Row],[Comp1]],TablaMaq3[ID_Pedido],'2.C_Datos'!A14)+
COUNTIFS(TablaMaq4[Componente],Tabla19[[#This Row],[Comp1]],TablaMaq4[ID_Pedido],'2.C_Datos'!A14))</f>
        <v/>
      </c>
      <c r="K14" s="99" t="str">
        <f>IF(Tabla19[[#This Row],[Comp2]]="","",COUNTIFS(TablaMaq1[Componente],Tabla19[[#This Row],[Comp2]],TablaMaq1[ID_Pedido],'2.C_Datos'!A14)+
COUNTIFS(TablaMaq2[Componente],Tabla19[[#This Row],[Comp2]],TablaMaq2[ID_Pedido],'2.C_Datos'!A14)+
COUNTIFS(TablaMaq3[Componente],Tabla19[[#This Row],[Comp2]],TablaMaq3[ID_Pedido],'2.C_Datos'!A14)+
COUNTIFS(TablaMaq4[Componente],Tabla19[[#This Row],[Comp2]],TablaMaq4[ID_Pedido],'2.C_Datos'!A14))</f>
        <v/>
      </c>
      <c r="L14" s="99" t="str">
        <f>IF(Tabla19[[#This Row],[Comp3]]="","",COUNTIFS(TablaMaq1[Componente],Tabla19[[#This Row],[Comp3]],TablaMaq1[ID_Pedido],'2.C_Datos'!A14)+
COUNTIFS(TablaMaq2[Componente],Tabla19[[#This Row],[Comp3]],TablaMaq2[ID_Pedido],'2.C_Datos'!A14)+
COUNTIFS(TablaMaq3[Componente],Tabla19[[#This Row],[Comp3]],TablaMaq3[ID_Pedido],'2.C_Datos'!A14)+
COUNTIFS(TablaMaq4[Componente],Tabla19[[#This Row],[Comp3]],TablaMaq4[ID_Pedido],'2.C_Datos'!A14))</f>
        <v/>
      </c>
      <c r="M14" s="99" t="str">
        <f>IF(Tabla19[[#This Row],[Comp4]]="","",COUNTIFS(TablaMaq1[Componente],Tabla19[[#This Row],[Comp4]],TablaMaq1[ID_Pedido],'2.C_Datos'!A14)+
COUNTIFS(TablaMaq2[Componente],Tabla19[[#This Row],[Comp4]],TablaMaq2[ID_Pedido],'2.C_Datos'!A14)+
COUNTIFS(TablaMaq3[Componente],Tabla19[[#This Row],[Comp4]],TablaMaq3[ID_Pedido],'2.C_Datos'!A14)+
COUNTIFS(TablaMaq4[Componente],Tabla19[[#This Row],[Comp4]],TablaMaq4[ID_Pedido],'2.C_Datos'!A14))</f>
        <v/>
      </c>
      <c r="N14" s="99" t="str">
        <f>IF(Tabla19[[#This Row],[Comp5]]="","",COUNTIFS(TablaMaq1[Componente],Tabla19[[#This Row],[Comp5]],TablaMaq1[ID_Pedido],'2.C_Datos'!A14)+
COUNTIFS(TablaMaq1[Componente],Tabla19[[#This Row],[Comp5]],TablaMaq2[ID_Pedido],'2.C_Datos'!A14)+
COUNTIFS(TablaMaq1[Componente],Tabla19[[#This Row],[Comp5]],TablaMaq3[ID_Pedido],'2.C_Datos'!A14)+
COUNTIFS(TablaMaq1[Componente],Tabla19[[#This Row],[Comp5]],TablaMaq4[ID_Pedido],'2.C_Datos'!A14))</f>
        <v/>
      </c>
      <c r="O14" s="85" t="str">
        <f>IF(Tabla19[[#This Row],[Comp1]]="","",
IF(IF(Tabla19[[#This Row],[Comp1]]=0,0,1)*$D14-Tabla19[[#This Row],[Asign1]]=0,0,Tabla19[[#This Row],[Comp1]]))</f>
        <v/>
      </c>
      <c r="P14" s="85" t="str">
        <f>IF(Tabla19[[#This Row],[Comp2]]="","",
IF(IF(Tabla19[[#This Row],[Comp2]]=0,0,1)*$D14-Tabla19[[#This Row],[Asign2]]=0,0,Tabla19[[#This Row],[Comp2]]))</f>
        <v/>
      </c>
      <c r="Q14" s="85" t="str">
        <f>IF(Tabla19[[#This Row],[Comp3]]="","",
IF(IF(Tabla19[[#This Row],[Comp3]]=0,0,1)*$D14-Tabla19[[#This Row],[Asign3]]=0,0,Tabla19[[#This Row],[Comp3]]))</f>
        <v/>
      </c>
      <c r="R14" s="85" t="str">
        <f>IF(Tabla19[[#This Row],[Comp4]]="","",
IF(IF(Tabla19[[#This Row],[Comp4]]=0,0,1)*$D14-Tabla19[[#This Row],[Asign4]]=0,0,Tabla19[[#This Row],[Comp4]]))</f>
        <v/>
      </c>
      <c r="S14" s="85" t="str">
        <f>IF(Tabla19[[#This Row],[Comp5]]="","",
IF(IF(Tabla19[[#This Row],[Comp5]]=0,0,1)*$D14-Tabla19[[#This Row],[Asign5]]=0,0,Tabla19[[#This Row],[Comp5]]))</f>
        <v/>
      </c>
    </row>
    <row r="15" spans="1:35" x14ac:dyDescent="0.3">
      <c r="E15" s="99" t="str">
        <f>IF($A15="","",INDEX(ListadoProductos[],MATCH('2.C_Datos'!$C15,ListadoProductos[Productos],0),MATCH('2.C_Datos'!E$3,ListadoProductos[#Headers],0)))</f>
        <v/>
      </c>
      <c r="F15" s="99" t="str">
        <f>IF($A15="","",INDEX(ListadoProductos[],MATCH('2.C_Datos'!$C15,ListadoProductos[Productos],0),MATCH('2.C_Datos'!F$3,ListadoProductos[#Headers],0)))</f>
        <v/>
      </c>
      <c r="G15" s="99" t="str">
        <f>IF($A15="","",INDEX(ListadoProductos[],MATCH('2.C_Datos'!$C15,ListadoProductos[Productos],0),MATCH('2.C_Datos'!G$3,ListadoProductos[#Headers],0)))</f>
        <v/>
      </c>
      <c r="H15" s="99" t="str">
        <f>IF($A15="","",INDEX(ListadoProductos[],MATCH('2.C_Datos'!$C15,ListadoProductos[Productos],0),MATCH('2.C_Datos'!H$3,ListadoProductos[#Headers],0)))</f>
        <v/>
      </c>
      <c r="I15" s="99" t="str">
        <f>IF($A15="","",INDEX(ListadoProductos[],MATCH('2.C_Datos'!$C15,ListadoProductos[Productos],0),MATCH('2.C_Datos'!I$3,ListadoProductos[#Headers],0)))</f>
        <v/>
      </c>
      <c r="J15" s="99" t="str">
        <f>IF(Tabla19[[#This Row],[Comp1]]="","",COUNTIFS(TablaMaq1[Componente],Tabla19[[#This Row],[Comp1]],TablaMaq1[ID_Pedido],'2.C_Datos'!A15)+
COUNTIFS(TablaMaq2[Componente],Tabla19[[#This Row],[Comp1]],TablaMaq2[ID_Pedido],'2.C_Datos'!A15)+
COUNTIFS(TablaMaq3[Componente],Tabla19[[#This Row],[Comp1]],TablaMaq3[ID_Pedido],'2.C_Datos'!A15)+
COUNTIFS(TablaMaq4[Componente],Tabla19[[#This Row],[Comp1]],TablaMaq4[ID_Pedido],'2.C_Datos'!A15))</f>
        <v/>
      </c>
      <c r="K15" s="99" t="str">
        <f>IF(Tabla19[[#This Row],[Comp2]]="","",COUNTIFS(TablaMaq1[Componente],Tabla19[[#This Row],[Comp2]],TablaMaq1[ID_Pedido],'2.C_Datos'!A15)+
COUNTIFS(TablaMaq2[Componente],Tabla19[[#This Row],[Comp2]],TablaMaq2[ID_Pedido],'2.C_Datos'!A15)+
COUNTIFS(TablaMaq3[Componente],Tabla19[[#This Row],[Comp2]],TablaMaq3[ID_Pedido],'2.C_Datos'!A15)+
COUNTIFS(TablaMaq4[Componente],Tabla19[[#This Row],[Comp2]],TablaMaq4[ID_Pedido],'2.C_Datos'!A15))</f>
        <v/>
      </c>
      <c r="L15" s="99" t="str">
        <f>IF(Tabla19[[#This Row],[Comp3]]="","",COUNTIFS(TablaMaq1[Componente],Tabla19[[#This Row],[Comp3]],TablaMaq1[ID_Pedido],'2.C_Datos'!A15)+
COUNTIFS(TablaMaq2[Componente],Tabla19[[#This Row],[Comp3]],TablaMaq2[ID_Pedido],'2.C_Datos'!A15)+
COUNTIFS(TablaMaq3[Componente],Tabla19[[#This Row],[Comp3]],TablaMaq3[ID_Pedido],'2.C_Datos'!A15)+
COUNTIFS(TablaMaq4[Componente],Tabla19[[#This Row],[Comp3]],TablaMaq4[ID_Pedido],'2.C_Datos'!A15))</f>
        <v/>
      </c>
      <c r="M15" s="99" t="str">
        <f>IF(Tabla19[[#This Row],[Comp4]]="","",COUNTIFS(TablaMaq1[Componente],Tabla19[[#This Row],[Comp4]],TablaMaq1[ID_Pedido],'2.C_Datos'!A15)+
COUNTIFS(TablaMaq2[Componente],Tabla19[[#This Row],[Comp4]],TablaMaq2[ID_Pedido],'2.C_Datos'!A15)+
COUNTIFS(TablaMaq3[Componente],Tabla19[[#This Row],[Comp4]],TablaMaq3[ID_Pedido],'2.C_Datos'!A15)+
COUNTIFS(TablaMaq4[Componente],Tabla19[[#This Row],[Comp4]],TablaMaq4[ID_Pedido],'2.C_Datos'!A15))</f>
        <v/>
      </c>
      <c r="N15" s="99" t="str">
        <f>IF(Tabla19[[#This Row],[Comp5]]="","",COUNTIFS(TablaMaq1[Componente],Tabla19[[#This Row],[Comp5]],TablaMaq1[ID_Pedido],'2.C_Datos'!A15)+
COUNTIFS(TablaMaq1[Componente],Tabla19[[#This Row],[Comp5]],TablaMaq2[ID_Pedido],'2.C_Datos'!A15)+
COUNTIFS(TablaMaq1[Componente],Tabla19[[#This Row],[Comp5]],TablaMaq3[ID_Pedido],'2.C_Datos'!A15)+
COUNTIFS(TablaMaq1[Componente],Tabla19[[#This Row],[Comp5]],TablaMaq4[ID_Pedido],'2.C_Datos'!A15))</f>
        <v/>
      </c>
      <c r="O15" s="85" t="str">
        <f>IF(Tabla19[[#This Row],[Comp1]]="","",
IF(IF(Tabla19[[#This Row],[Comp1]]=0,0,1)*$D15-Tabla19[[#This Row],[Asign1]]=0,0,Tabla19[[#This Row],[Comp1]]))</f>
        <v/>
      </c>
      <c r="P15" s="85" t="str">
        <f>IF(Tabla19[[#This Row],[Comp2]]="","",
IF(IF(Tabla19[[#This Row],[Comp2]]=0,0,1)*$D15-Tabla19[[#This Row],[Asign2]]=0,0,Tabla19[[#This Row],[Comp2]]))</f>
        <v/>
      </c>
      <c r="Q15" s="85" t="str">
        <f>IF(Tabla19[[#This Row],[Comp3]]="","",
IF(IF(Tabla19[[#This Row],[Comp3]]=0,0,1)*$D15-Tabla19[[#This Row],[Asign3]]=0,0,Tabla19[[#This Row],[Comp3]]))</f>
        <v/>
      </c>
      <c r="R15" s="85" t="str">
        <f>IF(Tabla19[[#This Row],[Comp4]]="","",
IF(IF(Tabla19[[#This Row],[Comp4]]=0,0,1)*$D15-Tabla19[[#This Row],[Asign4]]=0,0,Tabla19[[#This Row],[Comp4]]))</f>
        <v/>
      </c>
      <c r="S15" s="85" t="str">
        <f>IF(Tabla19[[#This Row],[Comp5]]="","",
IF(IF(Tabla19[[#This Row],[Comp5]]=0,0,1)*$D15-Tabla19[[#This Row],[Asign5]]=0,0,Tabla19[[#This Row],[Comp5]]))</f>
        <v/>
      </c>
    </row>
    <row r="16" spans="1:35" x14ac:dyDescent="0.3">
      <c r="E16" s="99" t="str">
        <f>IF($A16="","",INDEX(ListadoProductos[],MATCH('2.C_Datos'!$C16,ListadoProductos[Productos],0),MATCH('2.C_Datos'!E$3,ListadoProductos[#Headers],0)))</f>
        <v/>
      </c>
      <c r="F16" s="99" t="str">
        <f>IF($A16="","",INDEX(ListadoProductos[],MATCH('2.C_Datos'!$C16,ListadoProductos[Productos],0),MATCH('2.C_Datos'!F$3,ListadoProductos[#Headers],0)))</f>
        <v/>
      </c>
      <c r="G16" s="99" t="str">
        <f>IF($A16="","",INDEX(ListadoProductos[],MATCH('2.C_Datos'!$C16,ListadoProductos[Productos],0),MATCH('2.C_Datos'!G$3,ListadoProductos[#Headers],0)))</f>
        <v/>
      </c>
      <c r="H16" s="99" t="str">
        <f>IF($A16="","",INDEX(ListadoProductos[],MATCH('2.C_Datos'!$C16,ListadoProductos[Productos],0),MATCH('2.C_Datos'!H$3,ListadoProductos[#Headers],0)))</f>
        <v/>
      </c>
      <c r="I16" s="99" t="str">
        <f>IF($A16="","",INDEX(ListadoProductos[],MATCH('2.C_Datos'!$C16,ListadoProductos[Productos],0),MATCH('2.C_Datos'!I$3,ListadoProductos[#Headers],0)))</f>
        <v/>
      </c>
      <c r="J16" s="99" t="str">
        <f>IF(Tabla19[[#This Row],[Comp1]]="","",COUNTIFS(TablaMaq1[Componente],Tabla19[[#This Row],[Comp1]],TablaMaq1[ID_Pedido],'2.C_Datos'!A16)+
COUNTIFS(TablaMaq2[Componente],Tabla19[[#This Row],[Comp1]],TablaMaq2[ID_Pedido],'2.C_Datos'!A16)+
COUNTIFS(TablaMaq3[Componente],Tabla19[[#This Row],[Comp1]],TablaMaq3[ID_Pedido],'2.C_Datos'!A16)+
COUNTIFS(TablaMaq4[Componente],Tabla19[[#This Row],[Comp1]],TablaMaq4[ID_Pedido],'2.C_Datos'!A16))</f>
        <v/>
      </c>
      <c r="K16" s="99" t="str">
        <f>IF(Tabla19[[#This Row],[Comp2]]="","",COUNTIFS(TablaMaq1[Componente],Tabla19[[#This Row],[Comp2]],TablaMaq1[ID_Pedido],'2.C_Datos'!A16)+
COUNTIFS(TablaMaq2[Componente],Tabla19[[#This Row],[Comp2]],TablaMaq2[ID_Pedido],'2.C_Datos'!A16)+
COUNTIFS(TablaMaq3[Componente],Tabla19[[#This Row],[Comp2]],TablaMaq3[ID_Pedido],'2.C_Datos'!A16)+
COUNTIFS(TablaMaq4[Componente],Tabla19[[#This Row],[Comp2]],TablaMaq4[ID_Pedido],'2.C_Datos'!A16))</f>
        <v/>
      </c>
      <c r="L16" s="99" t="str">
        <f>IF(Tabla19[[#This Row],[Comp3]]="","",COUNTIFS(TablaMaq1[Componente],Tabla19[[#This Row],[Comp3]],TablaMaq1[ID_Pedido],'2.C_Datos'!A16)+
COUNTIFS(TablaMaq2[Componente],Tabla19[[#This Row],[Comp3]],TablaMaq2[ID_Pedido],'2.C_Datos'!A16)+
COUNTIFS(TablaMaq3[Componente],Tabla19[[#This Row],[Comp3]],TablaMaq3[ID_Pedido],'2.C_Datos'!A16)+
COUNTIFS(TablaMaq4[Componente],Tabla19[[#This Row],[Comp3]],TablaMaq4[ID_Pedido],'2.C_Datos'!A16))</f>
        <v/>
      </c>
      <c r="M16" s="99" t="str">
        <f>IF(Tabla19[[#This Row],[Comp4]]="","",COUNTIFS(TablaMaq1[Componente],Tabla19[[#This Row],[Comp4]],TablaMaq1[ID_Pedido],'2.C_Datos'!A16)+
COUNTIFS(TablaMaq2[Componente],Tabla19[[#This Row],[Comp4]],TablaMaq2[ID_Pedido],'2.C_Datos'!A16)+
COUNTIFS(TablaMaq3[Componente],Tabla19[[#This Row],[Comp4]],TablaMaq3[ID_Pedido],'2.C_Datos'!A16)+
COUNTIFS(TablaMaq4[Componente],Tabla19[[#This Row],[Comp4]],TablaMaq4[ID_Pedido],'2.C_Datos'!A16))</f>
        <v/>
      </c>
      <c r="N16" s="99" t="str">
        <f>IF(Tabla19[[#This Row],[Comp5]]="","",COUNTIFS(TablaMaq1[Componente],Tabla19[[#This Row],[Comp5]],TablaMaq1[ID_Pedido],'2.C_Datos'!A16)+
COUNTIFS(TablaMaq1[Componente],Tabla19[[#This Row],[Comp5]],TablaMaq2[ID_Pedido],'2.C_Datos'!A16)+
COUNTIFS(TablaMaq1[Componente],Tabla19[[#This Row],[Comp5]],TablaMaq3[ID_Pedido],'2.C_Datos'!A16)+
COUNTIFS(TablaMaq1[Componente],Tabla19[[#This Row],[Comp5]],TablaMaq4[ID_Pedido],'2.C_Datos'!A16))</f>
        <v/>
      </c>
      <c r="O16" s="85" t="str">
        <f>IF(Tabla19[[#This Row],[Comp1]]="","",
IF(IF(Tabla19[[#This Row],[Comp1]]=0,0,1)*$D16-Tabla19[[#This Row],[Asign1]]=0,0,Tabla19[[#This Row],[Comp1]]))</f>
        <v/>
      </c>
      <c r="P16" s="85" t="str">
        <f>IF(Tabla19[[#This Row],[Comp2]]="","",
IF(IF(Tabla19[[#This Row],[Comp2]]=0,0,1)*$D16-Tabla19[[#This Row],[Asign2]]=0,0,Tabla19[[#This Row],[Comp2]]))</f>
        <v/>
      </c>
      <c r="Q16" s="85" t="str">
        <f>IF(Tabla19[[#This Row],[Comp3]]="","",
IF(IF(Tabla19[[#This Row],[Comp3]]=0,0,1)*$D16-Tabla19[[#This Row],[Asign3]]=0,0,Tabla19[[#This Row],[Comp3]]))</f>
        <v/>
      </c>
      <c r="R16" s="85" t="str">
        <f>IF(Tabla19[[#This Row],[Comp4]]="","",
IF(IF(Tabla19[[#This Row],[Comp4]]=0,0,1)*$D16-Tabla19[[#This Row],[Asign4]]=0,0,Tabla19[[#This Row],[Comp4]]))</f>
        <v/>
      </c>
      <c r="S16" s="85" t="str">
        <f>IF(Tabla19[[#This Row],[Comp5]]="","",
IF(IF(Tabla19[[#This Row],[Comp5]]=0,0,1)*$D16-Tabla19[[#This Row],[Asign5]]=0,0,Tabla19[[#This Row],[Comp5]]))</f>
        <v/>
      </c>
    </row>
    <row r="17" spans="5:19" x14ac:dyDescent="0.3">
      <c r="E17" s="99" t="str">
        <f>IF($A17="","",INDEX(ListadoProductos[],MATCH('2.C_Datos'!$C17,ListadoProductos[Productos],0),MATCH('2.C_Datos'!E$3,ListadoProductos[#Headers],0)))</f>
        <v/>
      </c>
      <c r="F17" s="99" t="str">
        <f>IF($A17="","",INDEX(ListadoProductos[],MATCH('2.C_Datos'!$C17,ListadoProductos[Productos],0),MATCH('2.C_Datos'!F$3,ListadoProductos[#Headers],0)))</f>
        <v/>
      </c>
      <c r="G17" s="99" t="str">
        <f>IF($A17="","",INDEX(ListadoProductos[],MATCH('2.C_Datos'!$C17,ListadoProductos[Productos],0),MATCH('2.C_Datos'!G$3,ListadoProductos[#Headers],0)))</f>
        <v/>
      </c>
      <c r="H17" s="99" t="str">
        <f>IF($A17="","",INDEX(ListadoProductos[],MATCH('2.C_Datos'!$C17,ListadoProductos[Productos],0),MATCH('2.C_Datos'!H$3,ListadoProductos[#Headers],0)))</f>
        <v/>
      </c>
      <c r="I17" s="99" t="str">
        <f>IF($A17="","",INDEX(ListadoProductos[],MATCH('2.C_Datos'!$C17,ListadoProductos[Productos],0),MATCH('2.C_Datos'!I$3,ListadoProductos[#Headers],0)))</f>
        <v/>
      </c>
      <c r="J17" s="99" t="str">
        <f>IF(Tabla19[[#This Row],[Comp1]]="","",COUNTIFS(TablaMaq1[Componente],Tabla19[[#This Row],[Comp1]],TablaMaq1[ID_Pedido],'2.C_Datos'!A17)+
COUNTIFS(TablaMaq2[Componente],Tabla19[[#This Row],[Comp1]],TablaMaq2[ID_Pedido],'2.C_Datos'!A17)+
COUNTIFS(TablaMaq3[Componente],Tabla19[[#This Row],[Comp1]],TablaMaq3[ID_Pedido],'2.C_Datos'!A17)+
COUNTIFS(TablaMaq4[Componente],Tabla19[[#This Row],[Comp1]],TablaMaq4[ID_Pedido],'2.C_Datos'!A17))</f>
        <v/>
      </c>
      <c r="K17" s="99" t="str">
        <f>IF(Tabla19[[#This Row],[Comp2]]="","",COUNTIFS(TablaMaq1[Componente],Tabla19[[#This Row],[Comp2]],TablaMaq1[ID_Pedido],'2.C_Datos'!A17)+
COUNTIFS(TablaMaq2[Componente],Tabla19[[#This Row],[Comp2]],TablaMaq2[ID_Pedido],'2.C_Datos'!A17)+
COUNTIFS(TablaMaq3[Componente],Tabla19[[#This Row],[Comp2]],TablaMaq3[ID_Pedido],'2.C_Datos'!A17)+
COUNTIFS(TablaMaq4[Componente],Tabla19[[#This Row],[Comp2]],TablaMaq4[ID_Pedido],'2.C_Datos'!A17))</f>
        <v/>
      </c>
      <c r="L17" s="99" t="str">
        <f>IF(Tabla19[[#This Row],[Comp3]]="","",COUNTIFS(TablaMaq1[Componente],Tabla19[[#This Row],[Comp3]],TablaMaq1[ID_Pedido],'2.C_Datos'!A17)+
COUNTIFS(TablaMaq2[Componente],Tabla19[[#This Row],[Comp3]],TablaMaq2[ID_Pedido],'2.C_Datos'!A17)+
COUNTIFS(TablaMaq3[Componente],Tabla19[[#This Row],[Comp3]],TablaMaq3[ID_Pedido],'2.C_Datos'!A17)+
COUNTIFS(TablaMaq4[Componente],Tabla19[[#This Row],[Comp3]],TablaMaq4[ID_Pedido],'2.C_Datos'!A17))</f>
        <v/>
      </c>
      <c r="M17" s="99" t="str">
        <f>IF(Tabla19[[#This Row],[Comp4]]="","",COUNTIFS(TablaMaq1[Componente],Tabla19[[#This Row],[Comp4]],TablaMaq1[ID_Pedido],'2.C_Datos'!A17)+
COUNTIFS(TablaMaq2[Componente],Tabla19[[#This Row],[Comp4]],TablaMaq2[ID_Pedido],'2.C_Datos'!A17)+
COUNTIFS(TablaMaq3[Componente],Tabla19[[#This Row],[Comp4]],TablaMaq3[ID_Pedido],'2.C_Datos'!A17)+
COUNTIFS(TablaMaq4[Componente],Tabla19[[#This Row],[Comp4]],TablaMaq4[ID_Pedido],'2.C_Datos'!A17))</f>
        <v/>
      </c>
      <c r="N17" s="99" t="str">
        <f>IF(Tabla19[[#This Row],[Comp5]]="","",COUNTIFS(TablaMaq1[Componente],Tabla19[[#This Row],[Comp5]],TablaMaq1[ID_Pedido],'2.C_Datos'!A17)+
COUNTIFS(TablaMaq1[Componente],Tabla19[[#This Row],[Comp5]],TablaMaq2[ID_Pedido],'2.C_Datos'!A17)+
COUNTIFS(TablaMaq1[Componente],Tabla19[[#This Row],[Comp5]],TablaMaq3[ID_Pedido],'2.C_Datos'!A17)+
COUNTIFS(TablaMaq1[Componente],Tabla19[[#This Row],[Comp5]],TablaMaq4[ID_Pedido],'2.C_Datos'!A17))</f>
        <v/>
      </c>
      <c r="O17" s="85" t="str">
        <f>IF(Tabla19[[#This Row],[Comp1]]="","",
IF(IF(Tabla19[[#This Row],[Comp1]]=0,0,1)*$D17-Tabla19[[#This Row],[Asign1]]=0,0,Tabla19[[#This Row],[Comp1]]))</f>
        <v/>
      </c>
      <c r="P17" s="85" t="str">
        <f>IF(Tabla19[[#This Row],[Comp2]]="","",
IF(IF(Tabla19[[#This Row],[Comp2]]=0,0,1)*$D17-Tabla19[[#This Row],[Asign2]]=0,0,Tabla19[[#This Row],[Comp2]]))</f>
        <v/>
      </c>
      <c r="Q17" s="85" t="str">
        <f>IF(Tabla19[[#This Row],[Comp3]]="","",
IF(IF(Tabla19[[#This Row],[Comp3]]=0,0,1)*$D17-Tabla19[[#This Row],[Asign3]]=0,0,Tabla19[[#This Row],[Comp3]]))</f>
        <v/>
      </c>
      <c r="R17" s="85" t="str">
        <f>IF(Tabla19[[#This Row],[Comp4]]="","",
IF(IF(Tabla19[[#This Row],[Comp4]]=0,0,1)*$D17-Tabla19[[#This Row],[Asign4]]=0,0,Tabla19[[#This Row],[Comp4]]))</f>
        <v/>
      </c>
      <c r="S17" s="85" t="str">
        <f>IF(Tabla19[[#This Row],[Comp5]]="","",
IF(IF(Tabla19[[#This Row],[Comp5]]=0,0,1)*$D17-Tabla19[[#This Row],[Asign5]]=0,0,Tabla19[[#This Row],[Comp5]]))</f>
        <v/>
      </c>
    </row>
    <row r="18" spans="5:19" x14ac:dyDescent="0.3">
      <c r="E18" s="99" t="str">
        <f>IF($A18="","",INDEX(ListadoProductos[],MATCH('2.C_Datos'!$C18,ListadoProductos[Productos],0),MATCH('2.C_Datos'!E$3,ListadoProductos[#Headers],0)))</f>
        <v/>
      </c>
      <c r="F18" s="99" t="str">
        <f>IF($A18="","",INDEX(ListadoProductos[],MATCH('2.C_Datos'!$C18,ListadoProductos[Productos],0),MATCH('2.C_Datos'!F$3,ListadoProductos[#Headers],0)))</f>
        <v/>
      </c>
      <c r="G18" s="99" t="str">
        <f>IF($A18="","",INDEX(ListadoProductos[],MATCH('2.C_Datos'!$C18,ListadoProductos[Productos],0),MATCH('2.C_Datos'!G$3,ListadoProductos[#Headers],0)))</f>
        <v/>
      </c>
      <c r="H18" s="99" t="str">
        <f>IF($A18="","",INDEX(ListadoProductos[],MATCH('2.C_Datos'!$C18,ListadoProductos[Productos],0),MATCH('2.C_Datos'!H$3,ListadoProductos[#Headers],0)))</f>
        <v/>
      </c>
      <c r="I18" s="99" t="str">
        <f>IF($A18="","",INDEX(ListadoProductos[],MATCH('2.C_Datos'!$C18,ListadoProductos[Productos],0),MATCH('2.C_Datos'!I$3,ListadoProductos[#Headers],0)))</f>
        <v/>
      </c>
      <c r="J18" s="99" t="str">
        <f>IF(Tabla19[[#This Row],[Comp1]]="","",COUNTIFS(TablaMaq1[Componente],Tabla19[[#This Row],[Comp1]],TablaMaq1[ID_Pedido],'2.C_Datos'!A18)+
COUNTIFS(TablaMaq2[Componente],Tabla19[[#This Row],[Comp1]],TablaMaq2[ID_Pedido],'2.C_Datos'!A18)+
COUNTIFS(TablaMaq3[Componente],Tabla19[[#This Row],[Comp1]],TablaMaq3[ID_Pedido],'2.C_Datos'!A18)+
COUNTIFS(TablaMaq4[Componente],Tabla19[[#This Row],[Comp1]],TablaMaq4[ID_Pedido],'2.C_Datos'!A18))</f>
        <v/>
      </c>
      <c r="K18" s="99" t="str">
        <f>IF(Tabla19[[#This Row],[Comp2]]="","",COUNTIFS(TablaMaq1[Componente],Tabla19[[#This Row],[Comp2]],TablaMaq1[ID_Pedido],'2.C_Datos'!A18)+
COUNTIFS(TablaMaq2[Componente],Tabla19[[#This Row],[Comp2]],TablaMaq2[ID_Pedido],'2.C_Datos'!A18)+
COUNTIFS(TablaMaq3[Componente],Tabla19[[#This Row],[Comp2]],TablaMaq3[ID_Pedido],'2.C_Datos'!A18)+
COUNTIFS(TablaMaq4[Componente],Tabla19[[#This Row],[Comp2]],TablaMaq4[ID_Pedido],'2.C_Datos'!A18))</f>
        <v/>
      </c>
      <c r="L18" s="99" t="str">
        <f>IF(Tabla19[[#This Row],[Comp3]]="","",COUNTIFS(TablaMaq1[Componente],Tabla19[[#This Row],[Comp3]],TablaMaq1[ID_Pedido],'2.C_Datos'!A18)+
COUNTIFS(TablaMaq2[Componente],Tabla19[[#This Row],[Comp3]],TablaMaq2[ID_Pedido],'2.C_Datos'!A18)+
COUNTIFS(TablaMaq3[Componente],Tabla19[[#This Row],[Comp3]],TablaMaq3[ID_Pedido],'2.C_Datos'!A18)+
COUNTIFS(TablaMaq4[Componente],Tabla19[[#This Row],[Comp3]],TablaMaq4[ID_Pedido],'2.C_Datos'!A18))</f>
        <v/>
      </c>
      <c r="M18" s="99" t="str">
        <f>IF(Tabla19[[#This Row],[Comp4]]="","",COUNTIFS(TablaMaq1[Componente],Tabla19[[#This Row],[Comp4]],TablaMaq1[ID_Pedido],'2.C_Datos'!A18)+
COUNTIFS(TablaMaq2[Componente],Tabla19[[#This Row],[Comp4]],TablaMaq2[ID_Pedido],'2.C_Datos'!A18)+
COUNTIFS(TablaMaq3[Componente],Tabla19[[#This Row],[Comp4]],TablaMaq3[ID_Pedido],'2.C_Datos'!A18)+
COUNTIFS(TablaMaq4[Componente],Tabla19[[#This Row],[Comp4]],TablaMaq4[ID_Pedido],'2.C_Datos'!A18))</f>
        <v/>
      </c>
      <c r="N18" s="99" t="str">
        <f>IF(Tabla19[[#This Row],[Comp5]]="","",COUNTIFS(TablaMaq1[Componente],Tabla19[[#This Row],[Comp5]],TablaMaq1[ID_Pedido],'2.C_Datos'!A18)+
COUNTIFS(TablaMaq1[Componente],Tabla19[[#This Row],[Comp5]],TablaMaq2[ID_Pedido],'2.C_Datos'!A18)+
COUNTIFS(TablaMaq1[Componente],Tabla19[[#This Row],[Comp5]],TablaMaq3[ID_Pedido],'2.C_Datos'!A18)+
COUNTIFS(TablaMaq1[Componente],Tabla19[[#This Row],[Comp5]],TablaMaq4[ID_Pedido],'2.C_Datos'!A18))</f>
        <v/>
      </c>
      <c r="O18" s="85" t="str">
        <f>IF(Tabla19[[#This Row],[Comp1]]="","",
IF(IF(Tabla19[[#This Row],[Comp1]]=0,0,1)*$D18-Tabla19[[#This Row],[Asign1]]=0,0,Tabla19[[#This Row],[Comp1]]))</f>
        <v/>
      </c>
      <c r="P18" s="85" t="str">
        <f>IF(Tabla19[[#This Row],[Comp2]]="","",
IF(IF(Tabla19[[#This Row],[Comp2]]=0,0,1)*$D18-Tabla19[[#This Row],[Asign2]]=0,0,Tabla19[[#This Row],[Comp2]]))</f>
        <v/>
      </c>
      <c r="Q18" s="85" t="str">
        <f>IF(Tabla19[[#This Row],[Comp3]]="","",
IF(IF(Tabla19[[#This Row],[Comp3]]=0,0,1)*$D18-Tabla19[[#This Row],[Asign3]]=0,0,Tabla19[[#This Row],[Comp3]]))</f>
        <v/>
      </c>
      <c r="R18" s="85" t="str">
        <f>IF(Tabla19[[#This Row],[Comp4]]="","",
IF(IF(Tabla19[[#This Row],[Comp4]]=0,0,1)*$D18-Tabla19[[#This Row],[Asign4]]=0,0,Tabla19[[#This Row],[Comp4]]))</f>
        <v/>
      </c>
      <c r="S18" s="85" t="str">
        <f>IF(Tabla19[[#This Row],[Comp5]]="","",
IF(IF(Tabla19[[#This Row],[Comp5]]=0,0,1)*$D18-Tabla19[[#This Row],[Asign5]]=0,0,Tabla19[[#This Row],[Comp5]]))</f>
        <v/>
      </c>
    </row>
    <row r="19" spans="5:19" x14ac:dyDescent="0.3">
      <c r="E19" s="99" t="str">
        <f>IF($A19="","",INDEX(ListadoProductos[],MATCH('2.C_Datos'!$C19,ListadoProductos[Productos],0),MATCH('2.C_Datos'!E$3,ListadoProductos[#Headers],0)))</f>
        <v/>
      </c>
      <c r="F19" s="99" t="str">
        <f>IF($A19="","",INDEX(ListadoProductos[],MATCH('2.C_Datos'!$C19,ListadoProductos[Productos],0),MATCH('2.C_Datos'!F$3,ListadoProductos[#Headers],0)))</f>
        <v/>
      </c>
      <c r="G19" s="99" t="str">
        <f>IF($A19="","",INDEX(ListadoProductos[],MATCH('2.C_Datos'!$C19,ListadoProductos[Productos],0),MATCH('2.C_Datos'!G$3,ListadoProductos[#Headers],0)))</f>
        <v/>
      </c>
      <c r="H19" s="99" t="str">
        <f>IF($A19="","",INDEX(ListadoProductos[],MATCH('2.C_Datos'!$C19,ListadoProductos[Productos],0),MATCH('2.C_Datos'!H$3,ListadoProductos[#Headers],0)))</f>
        <v/>
      </c>
      <c r="I19" s="99" t="str">
        <f>IF($A19="","",INDEX(ListadoProductos[],MATCH('2.C_Datos'!$C19,ListadoProductos[Productos],0),MATCH('2.C_Datos'!I$3,ListadoProductos[#Headers],0)))</f>
        <v/>
      </c>
      <c r="J19" s="99" t="str">
        <f>IF(Tabla19[[#This Row],[Comp1]]="","",COUNTIFS(TablaMaq1[Componente],Tabla19[[#This Row],[Comp1]],TablaMaq1[ID_Pedido],'2.C_Datos'!A19)+
COUNTIFS(TablaMaq2[Componente],Tabla19[[#This Row],[Comp1]],TablaMaq2[ID_Pedido],'2.C_Datos'!A19)+
COUNTIFS(TablaMaq3[Componente],Tabla19[[#This Row],[Comp1]],TablaMaq3[ID_Pedido],'2.C_Datos'!A19)+
COUNTIFS(TablaMaq4[Componente],Tabla19[[#This Row],[Comp1]],TablaMaq4[ID_Pedido],'2.C_Datos'!A19))</f>
        <v/>
      </c>
      <c r="K19" s="99" t="str">
        <f>IF(Tabla19[[#This Row],[Comp2]]="","",COUNTIFS(TablaMaq1[Componente],Tabla19[[#This Row],[Comp2]],TablaMaq1[ID_Pedido],'2.C_Datos'!A19)+
COUNTIFS(TablaMaq2[Componente],Tabla19[[#This Row],[Comp2]],TablaMaq2[ID_Pedido],'2.C_Datos'!A19)+
COUNTIFS(TablaMaq3[Componente],Tabla19[[#This Row],[Comp2]],TablaMaq3[ID_Pedido],'2.C_Datos'!A19)+
COUNTIFS(TablaMaq4[Componente],Tabla19[[#This Row],[Comp2]],TablaMaq4[ID_Pedido],'2.C_Datos'!A19))</f>
        <v/>
      </c>
      <c r="L19" s="99" t="str">
        <f>IF(Tabla19[[#This Row],[Comp3]]="","",COUNTIFS(TablaMaq1[Componente],Tabla19[[#This Row],[Comp3]],TablaMaq1[ID_Pedido],'2.C_Datos'!A19)+
COUNTIFS(TablaMaq2[Componente],Tabla19[[#This Row],[Comp3]],TablaMaq2[ID_Pedido],'2.C_Datos'!A19)+
COUNTIFS(TablaMaq3[Componente],Tabla19[[#This Row],[Comp3]],TablaMaq3[ID_Pedido],'2.C_Datos'!A19)+
COUNTIFS(TablaMaq4[Componente],Tabla19[[#This Row],[Comp3]],TablaMaq4[ID_Pedido],'2.C_Datos'!A19))</f>
        <v/>
      </c>
      <c r="M19" s="99" t="str">
        <f>IF(Tabla19[[#This Row],[Comp4]]="","",COUNTIFS(TablaMaq1[Componente],Tabla19[[#This Row],[Comp4]],TablaMaq1[ID_Pedido],'2.C_Datos'!A19)+
COUNTIFS(TablaMaq2[Componente],Tabla19[[#This Row],[Comp4]],TablaMaq2[ID_Pedido],'2.C_Datos'!A19)+
COUNTIFS(TablaMaq3[Componente],Tabla19[[#This Row],[Comp4]],TablaMaq3[ID_Pedido],'2.C_Datos'!A19)+
COUNTIFS(TablaMaq4[Componente],Tabla19[[#This Row],[Comp4]],TablaMaq4[ID_Pedido],'2.C_Datos'!A19))</f>
        <v/>
      </c>
      <c r="N19" s="99" t="str">
        <f>IF(Tabla19[[#This Row],[Comp5]]="","",COUNTIFS(TablaMaq1[Componente],Tabla19[[#This Row],[Comp5]],TablaMaq1[ID_Pedido],'2.C_Datos'!A19)+
COUNTIFS(TablaMaq1[Componente],Tabla19[[#This Row],[Comp5]],TablaMaq2[ID_Pedido],'2.C_Datos'!A19)+
COUNTIFS(TablaMaq1[Componente],Tabla19[[#This Row],[Comp5]],TablaMaq3[ID_Pedido],'2.C_Datos'!A19)+
COUNTIFS(TablaMaq1[Componente],Tabla19[[#This Row],[Comp5]],TablaMaq4[ID_Pedido],'2.C_Datos'!A19))</f>
        <v/>
      </c>
      <c r="O19" s="85" t="str">
        <f>IF(Tabla19[[#This Row],[Comp1]]="","",
IF(IF(Tabla19[[#This Row],[Comp1]]=0,0,1)*$D19-Tabla19[[#This Row],[Asign1]]=0,0,Tabla19[[#This Row],[Comp1]]))</f>
        <v/>
      </c>
      <c r="P19" s="85" t="str">
        <f>IF(Tabla19[[#This Row],[Comp2]]="","",
IF(IF(Tabla19[[#This Row],[Comp2]]=0,0,1)*$D19-Tabla19[[#This Row],[Asign2]]=0,0,Tabla19[[#This Row],[Comp2]]))</f>
        <v/>
      </c>
      <c r="Q19" s="85" t="str">
        <f>IF(Tabla19[[#This Row],[Comp3]]="","",
IF(IF(Tabla19[[#This Row],[Comp3]]=0,0,1)*$D19-Tabla19[[#This Row],[Asign3]]=0,0,Tabla19[[#This Row],[Comp3]]))</f>
        <v/>
      </c>
      <c r="R19" s="85" t="str">
        <f>IF(Tabla19[[#This Row],[Comp4]]="","",
IF(IF(Tabla19[[#This Row],[Comp4]]=0,0,1)*$D19-Tabla19[[#This Row],[Asign4]]=0,0,Tabla19[[#This Row],[Comp4]]))</f>
        <v/>
      </c>
      <c r="S19" s="85" t="str">
        <f>IF(Tabla19[[#This Row],[Comp5]]="","",
IF(IF(Tabla19[[#This Row],[Comp5]]=0,0,1)*$D19-Tabla19[[#This Row],[Asign5]]=0,0,Tabla19[[#This Row],[Comp5]]))</f>
        <v/>
      </c>
    </row>
    <row r="20" spans="5:19" x14ac:dyDescent="0.3">
      <c r="E20" s="99" t="str">
        <f>IF($A20="","",INDEX(ListadoProductos[],MATCH('2.C_Datos'!$C20,ListadoProductos[Productos],0),MATCH('2.C_Datos'!E$3,ListadoProductos[#Headers],0)))</f>
        <v/>
      </c>
      <c r="F20" s="99" t="str">
        <f>IF($A20="","",INDEX(ListadoProductos[],MATCH('2.C_Datos'!$C20,ListadoProductos[Productos],0),MATCH('2.C_Datos'!F$3,ListadoProductos[#Headers],0)))</f>
        <v/>
      </c>
      <c r="G20" s="99" t="str">
        <f>IF($A20="","",INDEX(ListadoProductos[],MATCH('2.C_Datos'!$C20,ListadoProductos[Productos],0),MATCH('2.C_Datos'!G$3,ListadoProductos[#Headers],0)))</f>
        <v/>
      </c>
      <c r="H20" s="99" t="str">
        <f>IF($A20="","",INDEX(ListadoProductos[],MATCH('2.C_Datos'!$C20,ListadoProductos[Productos],0),MATCH('2.C_Datos'!H$3,ListadoProductos[#Headers],0)))</f>
        <v/>
      </c>
      <c r="I20" s="99" t="str">
        <f>IF($A20="","",INDEX(ListadoProductos[],MATCH('2.C_Datos'!$C20,ListadoProductos[Productos],0),MATCH('2.C_Datos'!I$3,ListadoProductos[#Headers],0)))</f>
        <v/>
      </c>
      <c r="J20" s="99" t="str">
        <f>IF(Tabla19[[#This Row],[Comp1]]="","",COUNTIFS(TablaMaq1[Componente],Tabla19[[#This Row],[Comp1]],TablaMaq1[ID_Pedido],'2.C_Datos'!A20)+
COUNTIFS(TablaMaq2[Componente],Tabla19[[#This Row],[Comp1]],TablaMaq2[ID_Pedido],'2.C_Datos'!A20)+
COUNTIFS(TablaMaq3[Componente],Tabla19[[#This Row],[Comp1]],TablaMaq3[ID_Pedido],'2.C_Datos'!A20)+
COUNTIFS(TablaMaq4[Componente],Tabla19[[#This Row],[Comp1]],TablaMaq4[ID_Pedido],'2.C_Datos'!A20))</f>
        <v/>
      </c>
      <c r="K20" s="99" t="str">
        <f>IF(Tabla19[[#This Row],[Comp2]]="","",COUNTIFS(TablaMaq1[Componente],Tabla19[[#This Row],[Comp2]],TablaMaq1[ID_Pedido],'2.C_Datos'!A20)+
COUNTIFS(TablaMaq2[Componente],Tabla19[[#This Row],[Comp2]],TablaMaq2[ID_Pedido],'2.C_Datos'!A20)+
COUNTIFS(TablaMaq3[Componente],Tabla19[[#This Row],[Comp2]],TablaMaq3[ID_Pedido],'2.C_Datos'!A20)+
COUNTIFS(TablaMaq4[Componente],Tabla19[[#This Row],[Comp2]],TablaMaq4[ID_Pedido],'2.C_Datos'!A20))</f>
        <v/>
      </c>
      <c r="L20" s="99" t="str">
        <f>IF(Tabla19[[#This Row],[Comp3]]="","",COUNTIFS(TablaMaq1[Componente],Tabla19[[#This Row],[Comp3]],TablaMaq1[ID_Pedido],'2.C_Datos'!A20)+
COUNTIFS(TablaMaq2[Componente],Tabla19[[#This Row],[Comp3]],TablaMaq2[ID_Pedido],'2.C_Datos'!A20)+
COUNTIFS(TablaMaq3[Componente],Tabla19[[#This Row],[Comp3]],TablaMaq3[ID_Pedido],'2.C_Datos'!A20)+
COUNTIFS(TablaMaq4[Componente],Tabla19[[#This Row],[Comp3]],TablaMaq4[ID_Pedido],'2.C_Datos'!A20))</f>
        <v/>
      </c>
      <c r="M20" s="99" t="str">
        <f>IF(Tabla19[[#This Row],[Comp4]]="","",COUNTIFS(TablaMaq1[Componente],Tabla19[[#This Row],[Comp4]],TablaMaq1[ID_Pedido],'2.C_Datos'!A20)+
COUNTIFS(TablaMaq2[Componente],Tabla19[[#This Row],[Comp4]],TablaMaq2[ID_Pedido],'2.C_Datos'!A20)+
COUNTIFS(TablaMaq3[Componente],Tabla19[[#This Row],[Comp4]],TablaMaq3[ID_Pedido],'2.C_Datos'!A20)+
COUNTIFS(TablaMaq4[Componente],Tabla19[[#This Row],[Comp4]],TablaMaq4[ID_Pedido],'2.C_Datos'!A20))</f>
        <v/>
      </c>
      <c r="N20" s="99" t="str">
        <f>IF(Tabla19[[#This Row],[Comp5]]="","",COUNTIFS(TablaMaq1[Componente],Tabla19[[#This Row],[Comp5]],TablaMaq1[ID_Pedido],'2.C_Datos'!A20)+
COUNTIFS(TablaMaq1[Componente],Tabla19[[#This Row],[Comp5]],TablaMaq2[ID_Pedido],'2.C_Datos'!A20)+
COUNTIFS(TablaMaq1[Componente],Tabla19[[#This Row],[Comp5]],TablaMaq3[ID_Pedido],'2.C_Datos'!A20)+
COUNTIFS(TablaMaq1[Componente],Tabla19[[#This Row],[Comp5]],TablaMaq4[ID_Pedido],'2.C_Datos'!A20))</f>
        <v/>
      </c>
      <c r="O20" s="85" t="str">
        <f>IF(Tabla19[[#This Row],[Comp1]]="","",
IF(IF(Tabla19[[#This Row],[Comp1]]=0,0,1)*$D20-Tabla19[[#This Row],[Asign1]]=0,0,Tabla19[[#This Row],[Comp1]]))</f>
        <v/>
      </c>
      <c r="P20" s="85" t="str">
        <f>IF(Tabla19[[#This Row],[Comp2]]="","",
IF(IF(Tabla19[[#This Row],[Comp2]]=0,0,1)*$D20-Tabla19[[#This Row],[Asign2]]=0,0,Tabla19[[#This Row],[Comp2]]))</f>
        <v/>
      </c>
      <c r="Q20" s="85" t="str">
        <f>IF(Tabla19[[#This Row],[Comp3]]="","",
IF(IF(Tabla19[[#This Row],[Comp3]]=0,0,1)*$D20-Tabla19[[#This Row],[Asign3]]=0,0,Tabla19[[#This Row],[Comp3]]))</f>
        <v/>
      </c>
      <c r="R20" s="85" t="str">
        <f>IF(Tabla19[[#This Row],[Comp4]]="","",
IF(IF(Tabla19[[#This Row],[Comp4]]=0,0,1)*$D20-Tabla19[[#This Row],[Asign4]]=0,0,Tabla19[[#This Row],[Comp4]]))</f>
        <v/>
      </c>
      <c r="S20" s="85" t="str">
        <f>IF(Tabla19[[#This Row],[Comp5]]="","",
IF(IF(Tabla19[[#This Row],[Comp5]]=0,0,1)*$D20-Tabla19[[#This Row],[Asign5]]=0,0,Tabla19[[#This Row],[Comp5]]))</f>
        <v/>
      </c>
    </row>
    <row r="21" spans="5:19" x14ac:dyDescent="0.3">
      <c r="E21" s="99" t="str">
        <f>IF($A21="","",INDEX(ListadoProductos[],MATCH('2.C_Datos'!$C21,ListadoProductos[Productos],0),MATCH('2.C_Datos'!E$3,ListadoProductos[#Headers],0)))</f>
        <v/>
      </c>
      <c r="F21" s="99" t="str">
        <f>IF($A21="","",INDEX(ListadoProductos[],MATCH('2.C_Datos'!$C21,ListadoProductos[Productos],0),MATCH('2.C_Datos'!F$3,ListadoProductos[#Headers],0)))</f>
        <v/>
      </c>
      <c r="G21" s="99" t="str">
        <f>IF($A21="","",INDEX(ListadoProductos[],MATCH('2.C_Datos'!$C21,ListadoProductos[Productos],0),MATCH('2.C_Datos'!G$3,ListadoProductos[#Headers],0)))</f>
        <v/>
      </c>
      <c r="H21" s="99" t="str">
        <f>IF($A21="","",INDEX(ListadoProductos[],MATCH('2.C_Datos'!$C21,ListadoProductos[Productos],0),MATCH('2.C_Datos'!H$3,ListadoProductos[#Headers],0)))</f>
        <v/>
      </c>
      <c r="I21" s="99" t="str">
        <f>IF($A21="","",INDEX(ListadoProductos[],MATCH('2.C_Datos'!$C21,ListadoProductos[Productos],0),MATCH('2.C_Datos'!I$3,ListadoProductos[#Headers],0)))</f>
        <v/>
      </c>
      <c r="J21" s="99" t="str">
        <f>IF(Tabla19[[#This Row],[Comp1]]="","",COUNTIFS(TablaMaq1[Componente],Tabla19[[#This Row],[Comp1]],TablaMaq1[ID_Pedido],'2.C_Datos'!A21)+
COUNTIFS(TablaMaq2[Componente],Tabla19[[#This Row],[Comp1]],TablaMaq2[ID_Pedido],'2.C_Datos'!A21)+
COUNTIFS(TablaMaq3[Componente],Tabla19[[#This Row],[Comp1]],TablaMaq3[ID_Pedido],'2.C_Datos'!A21)+
COUNTIFS(TablaMaq4[Componente],Tabla19[[#This Row],[Comp1]],TablaMaq4[ID_Pedido],'2.C_Datos'!A21))</f>
        <v/>
      </c>
      <c r="K21" s="99" t="str">
        <f>IF(Tabla19[[#This Row],[Comp2]]="","",COUNTIFS(TablaMaq1[Componente],Tabla19[[#This Row],[Comp2]],TablaMaq1[ID_Pedido],'2.C_Datos'!A21)+
COUNTIFS(TablaMaq2[Componente],Tabla19[[#This Row],[Comp2]],TablaMaq2[ID_Pedido],'2.C_Datos'!A21)+
COUNTIFS(TablaMaq3[Componente],Tabla19[[#This Row],[Comp2]],TablaMaq3[ID_Pedido],'2.C_Datos'!A21)+
COUNTIFS(TablaMaq4[Componente],Tabla19[[#This Row],[Comp2]],TablaMaq4[ID_Pedido],'2.C_Datos'!A21))</f>
        <v/>
      </c>
      <c r="L21" s="99" t="str">
        <f>IF(Tabla19[[#This Row],[Comp3]]="","",COUNTIFS(TablaMaq1[Componente],Tabla19[[#This Row],[Comp3]],TablaMaq1[ID_Pedido],'2.C_Datos'!A21)+
COUNTIFS(TablaMaq2[Componente],Tabla19[[#This Row],[Comp3]],TablaMaq2[ID_Pedido],'2.C_Datos'!A21)+
COUNTIFS(TablaMaq3[Componente],Tabla19[[#This Row],[Comp3]],TablaMaq3[ID_Pedido],'2.C_Datos'!A21)+
COUNTIFS(TablaMaq4[Componente],Tabla19[[#This Row],[Comp3]],TablaMaq4[ID_Pedido],'2.C_Datos'!A21))</f>
        <v/>
      </c>
      <c r="M21" s="99" t="str">
        <f>IF(Tabla19[[#This Row],[Comp4]]="","",COUNTIFS(TablaMaq1[Componente],Tabla19[[#This Row],[Comp4]],TablaMaq1[ID_Pedido],'2.C_Datos'!A21)+
COUNTIFS(TablaMaq2[Componente],Tabla19[[#This Row],[Comp4]],TablaMaq2[ID_Pedido],'2.C_Datos'!A21)+
COUNTIFS(TablaMaq3[Componente],Tabla19[[#This Row],[Comp4]],TablaMaq3[ID_Pedido],'2.C_Datos'!A21)+
COUNTIFS(TablaMaq4[Componente],Tabla19[[#This Row],[Comp4]],TablaMaq4[ID_Pedido],'2.C_Datos'!A21))</f>
        <v/>
      </c>
      <c r="N21" s="99" t="str">
        <f>IF(Tabla19[[#This Row],[Comp5]]="","",COUNTIFS(TablaMaq1[Componente],Tabla19[[#This Row],[Comp5]],TablaMaq1[ID_Pedido],'2.C_Datos'!A21)+
COUNTIFS(TablaMaq1[Componente],Tabla19[[#This Row],[Comp5]],TablaMaq2[ID_Pedido],'2.C_Datos'!A21)+
COUNTIFS(TablaMaq1[Componente],Tabla19[[#This Row],[Comp5]],TablaMaq3[ID_Pedido],'2.C_Datos'!A21)+
COUNTIFS(TablaMaq1[Componente],Tabla19[[#This Row],[Comp5]],TablaMaq4[ID_Pedido],'2.C_Datos'!A21))</f>
        <v/>
      </c>
      <c r="O21" s="85" t="str">
        <f>IF(Tabla19[[#This Row],[Comp1]]="","",
IF(IF(Tabla19[[#This Row],[Comp1]]=0,0,1)*$D21-Tabla19[[#This Row],[Asign1]]=0,0,Tabla19[[#This Row],[Comp1]]))</f>
        <v/>
      </c>
      <c r="P21" s="85" t="str">
        <f>IF(Tabla19[[#This Row],[Comp2]]="","",
IF(IF(Tabla19[[#This Row],[Comp2]]=0,0,1)*$D21-Tabla19[[#This Row],[Asign2]]=0,0,Tabla19[[#This Row],[Comp2]]))</f>
        <v/>
      </c>
      <c r="Q21" s="85" t="str">
        <f>IF(Tabla19[[#This Row],[Comp3]]="","",
IF(IF(Tabla19[[#This Row],[Comp3]]=0,0,1)*$D21-Tabla19[[#This Row],[Asign3]]=0,0,Tabla19[[#This Row],[Comp3]]))</f>
        <v/>
      </c>
      <c r="R21" s="85" t="str">
        <f>IF(Tabla19[[#This Row],[Comp4]]="","",
IF(IF(Tabla19[[#This Row],[Comp4]]=0,0,1)*$D21-Tabla19[[#This Row],[Asign4]]=0,0,Tabla19[[#This Row],[Comp4]]))</f>
        <v/>
      </c>
      <c r="S21" s="85" t="str">
        <f>IF(Tabla19[[#This Row],[Comp5]]="","",
IF(IF(Tabla19[[#This Row],[Comp5]]=0,0,1)*$D21-Tabla19[[#This Row],[Asign5]]=0,0,Tabla19[[#This Row],[Comp5]]))</f>
        <v/>
      </c>
    </row>
    <row r="22" spans="5:19" x14ac:dyDescent="0.3">
      <c r="E22" s="99" t="str">
        <f>IF($A22="","",INDEX(ListadoProductos[],MATCH('2.C_Datos'!$C22,ListadoProductos[Productos],0),MATCH('2.C_Datos'!E$3,ListadoProductos[#Headers],0)))</f>
        <v/>
      </c>
      <c r="F22" s="99" t="str">
        <f>IF($A22="","",INDEX(ListadoProductos[],MATCH('2.C_Datos'!$C22,ListadoProductos[Productos],0),MATCH('2.C_Datos'!F$3,ListadoProductos[#Headers],0)))</f>
        <v/>
      </c>
      <c r="G22" s="99" t="str">
        <f>IF($A22="","",INDEX(ListadoProductos[],MATCH('2.C_Datos'!$C22,ListadoProductos[Productos],0),MATCH('2.C_Datos'!G$3,ListadoProductos[#Headers],0)))</f>
        <v/>
      </c>
      <c r="H22" s="99" t="str">
        <f>IF($A22="","",INDEX(ListadoProductos[],MATCH('2.C_Datos'!$C22,ListadoProductos[Productos],0),MATCH('2.C_Datos'!H$3,ListadoProductos[#Headers],0)))</f>
        <v/>
      </c>
      <c r="I22" s="99" t="str">
        <f>IF($A22="","",INDEX(ListadoProductos[],MATCH('2.C_Datos'!$C22,ListadoProductos[Productos],0),MATCH('2.C_Datos'!I$3,ListadoProductos[#Headers],0)))</f>
        <v/>
      </c>
      <c r="J22" s="99" t="str">
        <f>IF(Tabla19[[#This Row],[Comp1]]="","",COUNTIFS(TablaMaq1[Componente],Tabla19[[#This Row],[Comp1]],TablaMaq1[ID_Pedido],'2.C_Datos'!A22)+
COUNTIFS(TablaMaq2[Componente],Tabla19[[#This Row],[Comp1]],TablaMaq2[ID_Pedido],'2.C_Datos'!A22)+
COUNTIFS(TablaMaq3[Componente],Tabla19[[#This Row],[Comp1]],TablaMaq3[ID_Pedido],'2.C_Datos'!A22)+
COUNTIFS(TablaMaq4[Componente],Tabla19[[#This Row],[Comp1]],TablaMaq4[ID_Pedido],'2.C_Datos'!A22))</f>
        <v/>
      </c>
      <c r="K22" s="99" t="str">
        <f>IF(Tabla19[[#This Row],[Comp2]]="","",COUNTIFS(TablaMaq1[Componente],Tabla19[[#This Row],[Comp2]],TablaMaq1[ID_Pedido],'2.C_Datos'!A22)+
COUNTIFS(TablaMaq2[Componente],Tabla19[[#This Row],[Comp2]],TablaMaq2[ID_Pedido],'2.C_Datos'!A22)+
COUNTIFS(TablaMaq3[Componente],Tabla19[[#This Row],[Comp2]],TablaMaq3[ID_Pedido],'2.C_Datos'!A22)+
COUNTIFS(TablaMaq4[Componente],Tabla19[[#This Row],[Comp2]],TablaMaq4[ID_Pedido],'2.C_Datos'!A22))</f>
        <v/>
      </c>
      <c r="L22" s="99" t="str">
        <f>IF(Tabla19[[#This Row],[Comp3]]="","",COUNTIFS(TablaMaq1[Componente],Tabla19[[#This Row],[Comp3]],TablaMaq1[ID_Pedido],'2.C_Datos'!A22)+
COUNTIFS(TablaMaq2[Componente],Tabla19[[#This Row],[Comp3]],TablaMaq2[ID_Pedido],'2.C_Datos'!A22)+
COUNTIFS(TablaMaq3[Componente],Tabla19[[#This Row],[Comp3]],TablaMaq3[ID_Pedido],'2.C_Datos'!A22)+
COUNTIFS(TablaMaq4[Componente],Tabla19[[#This Row],[Comp3]],TablaMaq4[ID_Pedido],'2.C_Datos'!A22))</f>
        <v/>
      </c>
      <c r="M22" s="99" t="str">
        <f>IF(Tabla19[[#This Row],[Comp4]]="","",COUNTIFS(TablaMaq1[Componente],Tabla19[[#This Row],[Comp4]],TablaMaq1[ID_Pedido],'2.C_Datos'!A22)+
COUNTIFS(TablaMaq2[Componente],Tabla19[[#This Row],[Comp4]],TablaMaq2[ID_Pedido],'2.C_Datos'!A22)+
COUNTIFS(TablaMaq3[Componente],Tabla19[[#This Row],[Comp4]],TablaMaq3[ID_Pedido],'2.C_Datos'!A22)+
COUNTIFS(TablaMaq4[Componente],Tabla19[[#This Row],[Comp4]],TablaMaq4[ID_Pedido],'2.C_Datos'!A22))</f>
        <v/>
      </c>
      <c r="N22" s="99" t="str">
        <f>IF(Tabla19[[#This Row],[Comp5]]="","",COUNTIFS(TablaMaq1[Componente],Tabla19[[#This Row],[Comp5]],TablaMaq1[ID_Pedido],'2.C_Datos'!A22)+
COUNTIFS(TablaMaq1[Componente],Tabla19[[#This Row],[Comp5]],TablaMaq2[ID_Pedido],'2.C_Datos'!A22)+
COUNTIFS(TablaMaq1[Componente],Tabla19[[#This Row],[Comp5]],TablaMaq3[ID_Pedido],'2.C_Datos'!A22)+
COUNTIFS(TablaMaq1[Componente],Tabla19[[#This Row],[Comp5]],TablaMaq4[ID_Pedido],'2.C_Datos'!A22))</f>
        <v/>
      </c>
      <c r="O22" s="85" t="str">
        <f>IF(Tabla19[[#This Row],[Comp1]]="","",
IF(IF(Tabla19[[#This Row],[Comp1]]=0,0,1)*$D22-Tabla19[[#This Row],[Asign1]]=0,0,Tabla19[[#This Row],[Comp1]]))</f>
        <v/>
      </c>
      <c r="P22" s="85" t="str">
        <f>IF(Tabla19[[#This Row],[Comp2]]="","",
IF(IF(Tabla19[[#This Row],[Comp2]]=0,0,1)*$D22-Tabla19[[#This Row],[Asign2]]=0,0,Tabla19[[#This Row],[Comp2]]))</f>
        <v/>
      </c>
      <c r="Q22" s="85" t="str">
        <f>IF(Tabla19[[#This Row],[Comp3]]="","",
IF(IF(Tabla19[[#This Row],[Comp3]]=0,0,1)*$D22-Tabla19[[#This Row],[Asign3]]=0,0,Tabla19[[#This Row],[Comp3]]))</f>
        <v/>
      </c>
      <c r="R22" s="85" t="str">
        <f>IF(Tabla19[[#This Row],[Comp4]]="","",
IF(IF(Tabla19[[#This Row],[Comp4]]=0,0,1)*$D22-Tabla19[[#This Row],[Asign4]]=0,0,Tabla19[[#This Row],[Comp4]]))</f>
        <v/>
      </c>
      <c r="S22" s="85" t="str">
        <f>IF(Tabla19[[#This Row],[Comp5]]="","",
IF(IF(Tabla19[[#This Row],[Comp5]]=0,0,1)*$D22-Tabla19[[#This Row],[Asign5]]=0,0,Tabla19[[#This Row],[Comp5]]))</f>
        <v/>
      </c>
    </row>
    <row r="23" spans="5:19" x14ac:dyDescent="0.3">
      <c r="E23" s="99" t="str">
        <f>IF($A23="","",INDEX(ListadoProductos[],MATCH('2.C_Datos'!$C23,ListadoProductos[Productos],0),MATCH('2.C_Datos'!E$3,ListadoProductos[#Headers],0)))</f>
        <v/>
      </c>
      <c r="F23" s="99" t="str">
        <f>IF($A23="","",INDEX(ListadoProductos[],MATCH('2.C_Datos'!$C23,ListadoProductos[Productos],0),MATCH('2.C_Datos'!F$3,ListadoProductos[#Headers],0)))</f>
        <v/>
      </c>
      <c r="G23" s="99" t="str">
        <f>IF($A23="","",INDEX(ListadoProductos[],MATCH('2.C_Datos'!$C23,ListadoProductos[Productos],0),MATCH('2.C_Datos'!G$3,ListadoProductos[#Headers],0)))</f>
        <v/>
      </c>
      <c r="H23" s="99" t="str">
        <f>IF($A23="","",INDEX(ListadoProductos[],MATCH('2.C_Datos'!$C23,ListadoProductos[Productos],0),MATCH('2.C_Datos'!H$3,ListadoProductos[#Headers],0)))</f>
        <v/>
      </c>
      <c r="I23" s="99" t="str">
        <f>IF($A23="","",INDEX(ListadoProductos[],MATCH('2.C_Datos'!$C23,ListadoProductos[Productos],0),MATCH('2.C_Datos'!I$3,ListadoProductos[#Headers],0)))</f>
        <v/>
      </c>
      <c r="J23" s="99" t="str">
        <f>IF(Tabla19[[#This Row],[Comp1]]="","",COUNTIFS(TablaMaq1[Componente],Tabla19[[#This Row],[Comp1]],TablaMaq1[ID_Pedido],'2.C_Datos'!A23)+
COUNTIFS(TablaMaq2[Componente],Tabla19[[#This Row],[Comp1]],TablaMaq2[ID_Pedido],'2.C_Datos'!A23)+
COUNTIFS(TablaMaq3[Componente],Tabla19[[#This Row],[Comp1]],TablaMaq3[ID_Pedido],'2.C_Datos'!A23)+
COUNTIFS(TablaMaq4[Componente],Tabla19[[#This Row],[Comp1]],TablaMaq4[ID_Pedido],'2.C_Datos'!A23))</f>
        <v/>
      </c>
      <c r="K23" s="99" t="str">
        <f>IF(Tabla19[[#This Row],[Comp2]]="","",COUNTIFS(TablaMaq1[Componente],Tabla19[[#This Row],[Comp2]],TablaMaq1[ID_Pedido],'2.C_Datos'!A23)+
COUNTIFS(TablaMaq2[Componente],Tabla19[[#This Row],[Comp2]],TablaMaq2[ID_Pedido],'2.C_Datos'!A23)+
COUNTIFS(TablaMaq3[Componente],Tabla19[[#This Row],[Comp2]],TablaMaq3[ID_Pedido],'2.C_Datos'!A23)+
COUNTIFS(TablaMaq4[Componente],Tabla19[[#This Row],[Comp2]],TablaMaq4[ID_Pedido],'2.C_Datos'!A23))</f>
        <v/>
      </c>
      <c r="L23" s="99" t="str">
        <f>IF(Tabla19[[#This Row],[Comp3]]="","",COUNTIFS(TablaMaq1[Componente],Tabla19[[#This Row],[Comp3]],TablaMaq1[ID_Pedido],'2.C_Datos'!A23)+
COUNTIFS(TablaMaq2[Componente],Tabla19[[#This Row],[Comp3]],TablaMaq2[ID_Pedido],'2.C_Datos'!A23)+
COUNTIFS(TablaMaq3[Componente],Tabla19[[#This Row],[Comp3]],TablaMaq3[ID_Pedido],'2.C_Datos'!A23)+
COUNTIFS(TablaMaq4[Componente],Tabla19[[#This Row],[Comp3]],TablaMaq4[ID_Pedido],'2.C_Datos'!A23))</f>
        <v/>
      </c>
      <c r="M23" s="99" t="str">
        <f>IF(Tabla19[[#This Row],[Comp4]]="","",COUNTIFS(TablaMaq1[Componente],Tabla19[[#This Row],[Comp4]],TablaMaq1[ID_Pedido],'2.C_Datos'!A23)+
COUNTIFS(TablaMaq2[Componente],Tabla19[[#This Row],[Comp4]],TablaMaq2[ID_Pedido],'2.C_Datos'!A23)+
COUNTIFS(TablaMaq3[Componente],Tabla19[[#This Row],[Comp4]],TablaMaq3[ID_Pedido],'2.C_Datos'!A23)+
COUNTIFS(TablaMaq4[Componente],Tabla19[[#This Row],[Comp4]],TablaMaq4[ID_Pedido],'2.C_Datos'!A23))</f>
        <v/>
      </c>
      <c r="N23" s="99" t="str">
        <f>IF(Tabla19[[#This Row],[Comp5]]="","",COUNTIFS(TablaMaq1[Componente],Tabla19[[#This Row],[Comp5]],TablaMaq1[ID_Pedido],'2.C_Datos'!A23)+
COUNTIFS(TablaMaq1[Componente],Tabla19[[#This Row],[Comp5]],TablaMaq2[ID_Pedido],'2.C_Datos'!A23)+
COUNTIFS(TablaMaq1[Componente],Tabla19[[#This Row],[Comp5]],TablaMaq3[ID_Pedido],'2.C_Datos'!A23)+
COUNTIFS(TablaMaq1[Componente],Tabla19[[#This Row],[Comp5]],TablaMaq4[ID_Pedido],'2.C_Datos'!A23))</f>
        <v/>
      </c>
      <c r="O23" s="85" t="str">
        <f>IF(Tabla19[[#This Row],[Comp1]]="","",
IF(IF(Tabla19[[#This Row],[Comp1]]=0,0,1)*$D23-Tabla19[[#This Row],[Asign1]]=0,0,Tabla19[[#This Row],[Comp1]]))</f>
        <v/>
      </c>
      <c r="P23" s="85" t="str">
        <f>IF(Tabla19[[#This Row],[Comp2]]="","",
IF(IF(Tabla19[[#This Row],[Comp2]]=0,0,1)*$D23-Tabla19[[#This Row],[Asign2]]=0,0,Tabla19[[#This Row],[Comp2]]))</f>
        <v/>
      </c>
      <c r="Q23" s="85" t="str">
        <f>IF(Tabla19[[#This Row],[Comp3]]="","",
IF(IF(Tabla19[[#This Row],[Comp3]]=0,0,1)*$D23-Tabla19[[#This Row],[Asign3]]=0,0,Tabla19[[#This Row],[Comp3]]))</f>
        <v/>
      </c>
      <c r="R23" s="85" t="str">
        <f>IF(Tabla19[[#This Row],[Comp4]]="","",
IF(IF(Tabla19[[#This Row],[Comp4]]=0,0,1)*$D23-Tabla19[[#This Row],[Asign4]]=0,0,Tabla19[[#This Row],[Comp4]]))</f>
        <v/>
      </c>
      <c r="S23" s="85" t="str">
        <f>IF(Tabla19[[#This Row],[Comp5]]="","",
IF(IF(Tabla19[[#This Row],[Comp5]]=0,0,1)*$D23-Tabla19[[#This Row],[Asign5]]=0,0,Tabla19[[#This Row],[Comp5]]))</f>
        <v/>
      </c>
    </row>
    <row r="24" spans="5:19" x14ac:dyDescent="0.3">
      <c r="E24" s="99" t="str">
        <f>IF($A24="","",INDEX(ListadoProductos[],MATCH('2.C_Datos'!$C24,ListadoProductos[Productos],0),MATCH('2.C_Datos'!E$3,ListadoProductos[#Headers],0)))</f>
        <v/>
      </c>
      <c r="F24" s="99" t="str">
        <f>IF($A24="","",INDEX(ListadoProductos[],MATCH('2.C_Datos'!$C24,ListadoProductos[Productos],0),MATCH('2.C_Datos'!F$3,ListadoProductos[#Headers],0)))</f>
        <v/>
      </c>
      <c r="G24" s="99" t="str">
        <f>IF($A24="","",INDEX(ListadoProductos[],MATCH('2.C_Datos'!$C24,ListadoProductos[Productos],0),MATCH('2.C_Datos'!G$3,ListadoProductos[#Headers],0)))</f>
        <v/>
      </c>
      <c r="H24" s="99" t="str">
        <f>IF($A24="","",INDEX(ListadoProductos[],MATCH('2.C_Datos'!$C24,ListadoProductos[Productos],0),MATCH('2.C_Datos'!H$3,ListadoProductos[#Headers],0)))</f>
        <v/>
      </c>
      <c r="I24" s="99" t="str">
        <f>IF($A24="","",INDEX(ListadoProductos[],MATCH('2.C_Datos'!$C24,ListadoProductos[Productos],0),MATCH('2.C_Datos'!I$3,ListadoProductos[#Headers],0)))</f>
        <v/>
      </c>
      <c r="J24" s="99" t="str">
        <f>IF(Tabla19[[#This Row],[Comp1]]="","",COUNTIFS(TablaMaq1[Componente],Tabla19[[#This Row],[Comp1]],TablaMaq1[ID_Pedido],'2.C_Datos'!A24)+
COUNTIFS(TablaMaq2[Componente],Tabla19[[#This Row],[Comp1]],TablaMaq2[ID_Pedido],'2.C_Datos'!A24)+
COUNTIFS(TablaMaq3[Componente],Tabla19[[#This Row],[Comp1]],TablaMaq3[ID_Pedido],'2.C_Datos'!A24)+
COUNTIFS(TablaMaq4[Componente],Tabla19[[#This Row],[Comp1]],TablaMaq4[ID_Pedido],'2.C_Datos'!A24))</f>
        <v/>
      </c>
      <c r="K24" s="99" t="str">
        <f>IF(Tabla19[[#This Row],[Comp2]]="","",COUNTIFS(TablaMaq1[Componente],Tabla19[[#This Row],[Comp2]],TablaMaq1[ID_Pedido],'2.C_Datos'!A24)+
COUNTIFS(TablaMaq2[Componente],Tabla19[[#This Row],[Comp2]],TablaMaq2[ID_Pedido],'2.C_Datos'!A24)+
COUNTIFS(TablaMaq3[Componente],Tabla19[[#This Row],[Comp2]],TablaMaq3[ID_Pedido],'2.C_Datos'!A24)+
COUNTIFS(TablaMaq4[Componente],Tabla19[[#This Row],[Comp2]],TablaMaq4[ID_Pedido],'2.C_Datos'!A24))</f>
        <v/>
      </c>
      <c r="L24" s="99" t="str">
        <f>IF(Tabla19[[#This Row],[Comp3]]="","",COUNTIFS(TablaMaq1[Componente],Tabla19[[#This Row],[Comp3]],TablaMaq1[ID_Pedido],'2.C_Datos'!A24)+
COUNTIFS(TablaMaq2[Componente],Tabla19[[#This Row],[Comp3]],TablaMaq2[ID_Pedido],'2.C_Datos'!A24)+
COUNTIFS(TablaMaq3[Componente],Tabla19[[#This Row],[Comp3]],TablaMaq3[ID_Pedido],'2.C_Datos'!A24)+
COUNTIFS(TablaMaq4[Componente],Tabla19[[#This Row],[Comp3]],TablaMaq4[ID_Pedido],'2.C_Datos'!A24))</f>
        <v/>
      </c>
      <c r="M24" s="99" t="str">
        <f>IF(Tabla19[[#This Row],[Comp4]]="","",COUNTIFS(TablaMaq1[Componente],Tabla19[[#This Row],[Comp4]],TablaMaq1[ID_Pedido],'2.C_Datos'!A24)+
COUNTIFS(TablaMaq2[Componente],Tabla19[[#This Row],[Comp4]],TablaMaq2[ID_Pedido],'2.C_Datos'!A24)+
COUNTIFS(TablaMaq3[Componente],Tabla19[[#This Row],[Comp4]],TablaMaq3[ID_Pedido],'2.C_Datos'!A24)+
COUNTIFS(TablaMaq4[Componente],Tabla19[[#This Row],[Comp4]],TablaMaq4[ID_Pedido],'2.C_Datos'!A24))</f>
        <v/>
      </c>
      <c r="N24" s="99" t="str">
        <f>IF(Tabla19[[#This Row],[Comp5]]="","",COUNTIFS(TablaMaq1[Componente],Tabla19[[#This Row],[Comp5]],TablaMaq1[ID_Pedido],'2.C_Datos'!A24)+
COUNTIFS(TablaMaq1[Componente],Tabla19[[#This Row],[Comp5]],TablaMaq2[ID_Pedido],'2.C_Datos'!A24)+
COUNTIFS(TablaMaq1[Componente],Tabla19[[#This Row],[Comp5]],TablaMaq3[ID_Pedido],'2.C_Datos'!A24)+
COUNTIFS(TablaMaq1[Componente],Tabla19[[#This Row],[Comp5]],TablaMaq4[ID_Pedido],'2.C_Datos'!A24))</f>
        <v/>
      </c>
      <c r="O24" s="85" t="str">
        <f>IF(Tabla19[[#This Row],[Comp1]]="","",
IF(IF(Tabla19[[#This Row],[Comp1]]=0,0,1)*$D24-Tabla19[[#This Row],[Asign1]]=0,0,Tabla19[[#This Row],[Comp1]]))</f>
        <v/>
      </c>
      <c r="P24" s="85" t="str">
        <f>IF(Tabla19[[#This Row],[Comp2]]="","",
IF(IF(Tabla19[[#This Row],[Comp2]]=0,0,1)*$D24-Tabla19[[#This Row],[Asign2]]=0,0,Tabla19[[#This Row],[Comp2]]))</f>
        <v/>
      </c>
      <c r="Q24" s="85" t="str">
        <f>IF(Tabla19[[#This Row],[Comp3]]="","",
IF(IF(Tabla19[[#This Row],[Comp3]]=0,0,1)*$D24-Tabla19[[#This Row],[Asign3]]=0,0,Tabla19[[#This Row],[Comp3]]))</f>
        <v/>
      </c>
      <c r="R24" s="85" t="str">
        <f>IF(Tabla19[[#This Row],[Comp4]]="","",
IF(IF(Tabla19[[#This Row],[Comp4]]=0,0,1)*$D24-Tabla19[[#This Row],[Asign4]]=0,0,Tabla19[[#This Row],[Comp4]]))</f>
        <v/>
      </c>
      <c r="S24" s="85" t="str">
        <f>IF(Tabla19[[#This Row],[Comp5]]="","",
IF(IF(Tabla19[[#This Row],[Comp5]]=0,0,1)*$D24-Tabla19[[#This Row],[Asign5]]=0,0,Tabla19[[#This Row],[Comp5]]))</f>
        <v/>
      </c>
    </row>
    <row r="25" spans="5:19" x14ac:dyDescent="0.3">
      <c r="E25" s="99" t="str">
        <f>IF($A25="","",INDEX(ListadoProductos[],MATCH('2.C_Datos'!$C25,ListadoProductos[Productos],0),MATCH('2.C_Datos'!E$3,ListadoProductos[#Headers],0)))</f>
        <v/>
      </c>
      <c r="F25" s="99" t="str">
        <f>IF($A25="","",INDEX(ListadoProductos[],MATCH('2.C_Datos'!$C25,ListadoProductos[Productos],0),MATCH('2.C_Datos'!F$3,ListadoProductos[#Headers],0)))</f>
        <v/>
      </c>
      <c r="G25" s="99" t="str">
        <f>IF($A25="","",INDEX(ListadoProductos[],MATCH('2.C_Datos'!$C25,ListadoProductos[Productos],0),MATCH('2.C_Datos'!G$3,ListadoProductos[#Headers],0)))</f>
        <v/>
      </c>
      <c r="H25" s="99" t="str">
        <f>IF($A25="","",INDEX(ListadoProductos[],MATCH('2.C_Datos'!$C25,ListadoProductos[Productos],0),MATCH('2.C_Datos'!H$3,ListadoProductos[#Headers],0)))</f>
        <v/>
      </c>
      <c r="I25" s="99" t="str">
        <f>IF($A25="","",INDEX(ListadoProductos[],MATCH('2.C_Datos'!$C25,ListadoProductos[Productos],0),MATCH('2.C_Datos'!I$3,ListadoProductos[#Headers],0)))</f>
        <v/>
      </c>
      <c r="J25" s="99" t="str">
        <f>IF(Tabla19[[#This Row],[Comp1]]="","",COUNTIFS(TablaMaq1[Componente],Tabla19[[#This Row],[Comp1]],TablaMaq1[ID_Pedido],'2.C_Datos'!A25)+
COUNTIFS(TablaMaq2[Componente],Tabla19[[#This Row],[Comp1]],TablaMaq2[ID_Pedido],'2.C_Datos'!A25)+
COUNTIFS(TablaMaq3[Componente],Tabla19[[#This Row],[Comp1]],TablaMaq3[ID_Pedido],'2.C_Datos'!A25)+
COUNTIFS(TablaMaq4[Componente],Tabla19[[#This Row],[Comp1]],TablaMaq4[ID_Pedido],'2.C_Datos'!A25))</f>
        <v/>
      </c>
      <c r="K25" s="99" t="str">
        <f>IF(Tabla19[[#This Row],[Comp2]]="","",COUNTIFS(TablaMaq1[Componente],Tabla19[[#This Row],[Comp2]],TablaMaq1[ID_Pedido],'2.C_Datos'!A25)+
COUNTIFS(TablaMaq2[Componente],Tabla19[[#This Row],[Comp2]],TablaMaq2[ID_Pedido],'2.C_Datos'!A25)+
COUNTIFS(TablaMaq3[Componente],Tabla19[[#This Row],[Comp2]],TablaMaq3[ID_Pedido],'2.C_Datos'!A25)+
COUNTIFS(TablaMaq4[Componente],Tabla19[[#This Row],[Comp2]],TablaMaq4[ID_Pedido],'2.C_Datos'!A25))</f>
        <v/>
      </c>
      <c r="L25" s="99" t="str">
        <f>IF(Tabla19[[#This Row],[Comp3]]="","",COUNTIFS(TablaMaq1[Componente],Tabla19[[#This Row],[Comp3]],TablaMaq1[ID_Pedido],'2.C_Datos'!A25)+
COUNTIFS(TablaMaq2[Componente],Tabla19[[#This Row],[Comp3]],TablaMaq2[ID_Pedido],'2.C_Datos'!A25)+
COUNTIFS(TablaMaq3[Componente],Tabla19[[#This Row],[Comp3]],TablaMaq3[ID_Pedido],'2.C_Datos'!A25)+
COUNTIFS(TablaMaq4[Componente],Tabla19[[#This Row],[Comp3]],TablaMaq4[ID_Pedido],'2.C_Datos'!A25))</f>
        <v/>
      </c>
      <c r="M25" s="99" t="str">
        <f>IF(Tabla19[[#This Row],[Comp4]]="","",COUNTIFS(TablaMaq1[Componente],Tabla19[[#This Row],[Comp4]],TablaMaq1[ID_Pedido],'2.C_Datos'!A25)+
COUNTIFS(TablaMaq2[Componente],Tabla19[[#This Row],[Comp4]],TablaMaq2[ID_Pedido],'2.C_Datos'!A25)+
COUNTIFS(TablaMaq3[Componente],Tabla19[[#This Row],[Comp4]],TablaMaq3[ID_Pedido],'2.C_Datos'!A25)+
COUNTIFS(TablaMaq4[Componente],Tabla19[[#This Row],[Comp4]],TablaMaq4[ID_Pedido],'2.C_Datos'!A25))</f>
        <v/>
      </c>
      <c r="N25" s="99" t="str">
        <f>IF(Tabla19[[#This Row],[Comp5]]="","",COUNTIFS(TablaMaq1[Componente],Tabla19[[#This Row],[Comp5]],TablaMaq1[ID_Pedido],'2.C_Datos'!A25)+
COUNTIFS(TablaMaq1[Componente],Tabla19[[#This Row],[Comp5]],TablaMaq2[ID_Pedido],'2.C_Datos'!A25)+
COUNTIFS(TablaMaq1[Componente],Tabla19[[#This Row],[Comp5]],TablaMaq3[ID_Pedido],'2.C_Datos'!A25)+
COUNTIFS(TablaMaq1[Componente],Tabla19[[#This Row],[Comp5]],TablaMaq4[ID_Pedido],'2.C_Datos'!A25))</f>
        <v/>
      </c>
      <c r="O25" s="85" t="str">
        <f>IF(Tabla19[[#This Row],[Comp1]]="","",
IF(IF(Tabla19[[#This Row],[Comp1]]=0,0,1)*$D25-Tabla19[[#This Row],[Asign1]]=0,0,Tabla19[[#This Row],[Comp1]]))</f>
        <v/>
      </c>
      <c r="P25" s="85" t="str">
        <f>IF(Tabla19[[#This Row],[Comp2]]="","",
IF(IF(Tabla19[[#This Row],[Comp2]]=0,0,1)*$D25-Tabla19[[#This Row],[Asign2]]=0,0,Tabla19[[#This Row],[Comp2]]))</f>
        <v/>
      </c>
      <c r="Q25" s="85" t="str">
        <f>IF(Tabla19[[#This Row],[Comp3]]="","",
IF(IF(Tabla19[[#This Row],[Comp3]]=0,0,1)*$D25-Tabla19[[#This Row],[Asign3]]=0,0,Tabla19[[#This Row],[Comp3]]))</f>
        <v/>
      </c>
      <c r="R25" s="85" t="str">
        <f>IF(Tabla19[[#This Row],[Comp4]]="","",
IF(IF(Tabla19[[#This Row],[Comp4]]=0,0,1)*$D25-Tabla19[[#This Row],[Asign4]]=0,0,Tabla19[[#This Row],[Comp4]]))</f>
        <v/>
      </c>
      <c r="S25" s="85" t="str">
        <f>IF(Tabla19[[#This Row],[Comp5]]="","",
IF(IF(Tabla19[[#This Row],[Comp5]]=0,0,1)*$D25-Tabla19[[#This Row],[Asign5]]=0,0,Tabla19[[#This Row],[Comp5]]))</f>
        <v/>
      </c>
    </row>
    <row r="26" spans="5:19" x14ac:dyDescent="0.3">
      <c r="E26" s="99" t="str">
        <f>IF($A26="","",INDEX(ListadoProductos[],MATCH('2.C_Datos'!$C26,ListadoProductos[Productos],0),MATCH('2.C_Datos'!E$3,ListadoProductos[#Headers],0)))</f>
        <v/>
      </c>
      <c r="F26" s="99" t="str">
        <f>IF($A26="","",INDEX(ListadoProductos[],MATCH('2.C_Datos'!$C26,ListadoProductos[Productos],0),MATCH('2.C_Datos'!F$3,ListadoProductos[#Headers],0)))</f>
        <v/>
      </c>
      <c r="G26" s="99" t="str">
        <f>IF($A26="","",INDEX(ListadoProductos[],MATCH('2.C_Datos'!$C26,ListadoProductos[Productos],0),MATCH('2.C_Datos'!G$3,ListadoProductos[#Headers],0)))</f>
        <v/>
      </c>
      <c r="H26" s="99" t="str">
        <f>IF($A26="","",INDEX(ListadoProductos[],MATCH('2.C_Datos'!$C26,ListadoProductos[Productos],0),MATCH('2.C_Datos'!H$3,ListadoProductos[#Headers],0)))</f>
        <v/>
      </c>
      <c r="I26" s="99" t="str">
        <f>IF($A26="","",INDEX(ListadoProductos[],MATCH('2.C_Datos'!$C26,ListadoProductos[Productos],0),MATCH('2.C_Datos'!I$3,ListadoProductos[#Headers],0)))</f>
        <v/>
      </c>
      <c r="J26" s="99" t="str">
        <f>IF(Tabla19[[#This Row],[Comp1]]="","",COUNTIFS(TablaMaq1[Componente],Tabla19[[#This Row],[Comp1]],TablaMaq1[ID_Pedido],'2.C_Datos'!A26)+
COUNTIFS(TablaMaq2[Componente],Tabla19[[#This Row],[Comp1]],TablaMaq2[ID_Pedido],'2.C_Datos'!A26)+
COUNTIFS(TablaMaq3[Componente],Tabla19[[#This Row],[Comp1]],TablaMaq3[ID_Pedido],'2.C_Datos'!A26)+
COUNTIFS(TablaMaq4[Componente],Tabla19[[#This Row],[Comp1]],TablaMaq4[ID_Pedido],'2.C_Datos'!A26))</f>
        <v/>
      </c>
      <c r="K26" s="99" t="str">
        <f>IF(Tabla19[[#This Row],[Comp2]]="","",COUNTIFS(TablaMaq1[Componente],Tabla19[[#This Row],[Comp2]],TablaMaq1[ID_Pedido],'2.C_Datos'!A26)+
COUNTIFS(TablaMaq2[Componente],Tabla19[[#This Row],[Comp2]],TablaMaq2[ID_Pedido],'2.C_Datos'!A26)+
COUNTIFS(TablaMaq3[Componente],Tabla19[[#This Row],[Comp2]],TablaMaq3[ID_Pedido],'2.C_Datos'!A26)+
COUNTIFS(TablaMaq4[Componente],Tabla19[[#This Row],[Comp2]],TablaMaq4[ID_Pedido],'2.C_Datos'!A26))</f>
        <v/>
      </c>
      <c r="L26" s="99" t="str">
        <f>IF(Tabla19[[#This Row],[Comp3]]="","",COUNTIFS(TablaMaq1[Componente],Tabla19[[#This Row],[Comp3]],TablaMaq1[ID_Pedido],'2.C_Datos'!A26)+
COUNTIFS(TablaMaq2[Componente],Tabla19[[#This Row],[Comp3]],TablaMaq2[ID_Pedido],'2.C_Datos'!A26)+
COUNTIFS(TablaMaq3[Componente],Tabla19[[#This Row],[Comp3]],TablaMaq3[ID_Pedido],'2.C_Datos'!A26)+
COUNTIFS(TablaMaq4[Componente],Tabla19[[#This Row],[Comp3]],TablaMaq4[ID_Pedido],'2.C_Datos'!A26))</f>
        <v/>
      </c>
      <c r="M26" s="99" t="str">
        <f>IF(Tabla19[[#This Row],[Comp4]]="","",COUNTIFS(TablaMaq1[Componente],Tabla19[[#This Row],[Comp4]],TablaMaq1[ID_Pedido],'2.C_Datos'!A26)+
COUNTIFS(TablaMaq2[Componente],Tabla19[[#This Row],[Comp4]],TablaMaq2[ID_Pedido],'2.C_Datos'!A26)+
COUNTIFS(TablaMaq3[Componente],Tabla19[[#This Row],[Comp4]],TablaMaq3[ID_Pedido],'2.C_Datos'!A26)+
COUNTIFS(TablaMaq4[Componente],Tabla19[[#This Row],[Comp4]],TablaMaq4[ID_Pedido],'2.C_Datos'!A26))</f>
        <v/>
      </c>
      <c r="N26" s="99" t="str">
        <f>IF(Tabla19[[#This Row],[Comp5]]="","",COUNTIFS(TablaMaq1[Componente],Tabla19[[#This Row],[Comp5]],TablaMaq1[ID_Pedido],'2.C_Datos'!A26)+
COUNTIFS(TablaMaq1[Componente],Tabla19[[#This Row],[Comp5]],TablaMaq2[ID_Pedido],'2.C_Datos'!A26)+
COUNTIFS(TablaMaq1[Componente],Tabla19[[#This Row],[Comp5]],TablaMaq3[ID_Pedido],'2.C_Datos'!A26)+
COUNTIFS(TablaMaq1[Componente],Tabla19[[#This Row],[Comp5]],TablaMaq4[ID_Pedido],'2.C_Datos'!A26))</f>
        <v/>
      </c>
      <c r="O26" s="85" t="str">
        <f>IF(Tabla19[[#This Row],[Comp1]]="","",
IF(IF(Tabla19[[#This Row],[Comp1]]=0,0,1)*$D26-Tabla19[[#This Row],[Asign1]]=0,0,Tabla19[[#This Row],[Comp1]]))</f>
        <v/>
      </c>
      <c r="P26" s="85" t="str">
        <f>IF(Tabla19[[#This Row],[Comp2]]="","",
IF(IF(Tabla19[[#This Row],[Comp2]]=0,0,1)*$D26-Tabla19[[#This Row],[Asign2]]=0,0,Tabla19[[#This Row],[Comp2]]))</f>
        <v/>
      </c>
      <c r="Q26" s="85" t="str">
        <f>IF(Tabla19[[#This Row],[Comp3]]="","",
IF(IF(Tabla19[[#This Row],[Comp3]]=0,0,1)*$D26-Tabla19[[#This Row],[Asign3]]=0,0,Tabla19[[#This Row],[Comp3]]))</f>
        <v/>
      </c>
      <c r="R26" s="85" t="str">
        <f>IF(Tabla19[[#This Row],[Comp4]]="","",
IF(IF(Tabla19[[#This Row],[Comp4]]=0,0,1)*$D26-Tabla19[[#This Row],[Asign4]]=0,0,Tabla19[[#This Row],[Comp4]]))</f>
        <v/>
      </c>
      <c r="S26" s="85" t="str">
        <f>IF(Tabla19[[#This Row],[Comp5]]="","",
IF(IF(Tabla19[[#This Row],[Comp5]]=0,0,1)*$D26-Tabla19[[#This Row],[Asign5]]=0,0,Tabla19[[#This Row],[Comp5]]))</f>
        <v/>
      </c>
    </row>
    <row r="27" spans="5:19" x14ac:dyDescent="0.3">
      <c r="E27" s="99" t="str">
        <f>IF($A27="","",INDEX(ListadoProductos[],MATCH('2.C_Datos'!$C27,ListadoProductos[Productos],0),MATCH('2.C_Datos'!E$3,ListadoProductos[#Headers],0)))</f>
        <v/>
      </c>
      <c r="F27" s="99" t="str">
        <f>IF($A27="","",INDEX(ListadoProductos[],MATCH('2.C_Datos'!$C27,ListadoProductos[Productos],0),MATCH('2.C_Datos'!F$3,ListadoProductos[#Headers],0)))</f>
        <v/>
      </c>
      <c r="G27" s="99" t="str">
        <f>IF($A27="","",INDEX(ListadoProductos[],MATCH('2.C_Datos'!$C27,ListadoProductos[Productos],0),MATCH('2.C_Datos'!G$3,ListadoProductos[#Headers],0)))</f>
        <v/>
      </c>
      <c r="H27" s="99" t="str">
        <f>IF($A27="","",INDEX(ListadoProductos[],MATCH('2.C_Datos'!$C27,ListadoProductos[Productos],0),MATCH('2.C_Datos'!H$3,ListadoProductos[#Headers],0)))</f>
        <v/>
      </c>
      <c r="I27" s="99" t="str">
        <f>IF($A27="","",INDEX(ListadoProductos[],MATCH('2.C_Datos'!$C27,ListadoProductos[Productos],0),MATCH('2.C_Datos'!I$3,ListadoProductos[#Headers],0)))</f>
        <v/>
      </c>
      <c r="J27" s="99" t="str">
        <f>IF(Tabla19[[#This Row],[Comp1]]="","",COUNTIFS(TablaMaq1[Componente],Tabla19[[#This Row],[Comp1]],TablaMaq1[ID_Pedido],'2.C_Datos'!A27)+
COUNTIFS(TablaMaq2[Componente],Tabla19[[#This Row],[Comp1]],TablaMaq2[ID_Pedido],'2.C_Datos'!A27)+
COUNTIFS(TablaMaq3[Componente],Tabla19[[#This Row],[Comp1]],TablaMaq3[ID_Pedido],'2.C_Datos'!A27)+
COUNTIFS(TablaMaq4[Componente],Tabla19[[#This Row],[Comp1]],TablaMaq4[ID_Pedido],'2.C_Datos'!A27))</f>
        <v/>
      </c>
      <c r="K27" s="99" t="str">
        <f>IF(Tabla19[[#This Row],[Comp2]]="","",COUNTIFS(TablaMaq1[Componente],Tabla19[[#This Row],[Comp2]],TablaMaq1[ID_Pedido],'2.C_Datos'!A27)+
COUNTIFS(TablaMaq2[Componente],Tabla19[[#This Row],[Comp2]],TablaMaq2[ID_Pedido],'2.C_Datos'!A27)+
COUNTIFS(TablaMaq3[Componente],Tabla19[[#This Row],[Comp2]],TablaMaq3[ID_Pedido],'2.C_Datos'!A27)+
COUNTIFS(TablaMaq4[Componente],Tabla19[[#This Row],[Comp2]],TablaMaq4[ID_Pedido],'2.C_Datos'!A27))</f>
        <v/>
      </c>
      <c r="L27" s="99" t="str">
        <f>IF(Tabla19[[#This Row],[Comp3]]="","",COUNTIFS(TablaMaq1[Componente],Tabla19[[#This Row],[Comp3]],TablaMaq1[ID_Pedido],'2.C_Datos'!A27)+
COUNTIFS(TablaMaq2[Componente],Tabla19[[#This Row],[Comp3]],TablaMaq2[ID_Pedido],'2.C_Datos'!A27)+
COUNTIFS(TablaMaq3[Componente],Tabla19[[#This Row],[Comp3]],TablaMaq3[ID_Pedido],'2.C_Datos'!A27)+
COUNTIFS(TablaMaq4[Componente],Tabla19[[#This Row],[Comp3]],TablaMaq4[ID_Pedido],'2.C_Datos'!A27))</f>
        <v/>
      </c>
      <c r="M27" s="99" t="str">
        <f>IF(Tabla19[[#This Row],[Comp4]]="","",COUNTIFS(TablaMaq1[Componente],Tabla19[[#This Row],[Comp4]],TablaMaq1[ID_Pedido],'2.C_Datos'!A27)+
COUNTIFS(TablaMaq2[Componente],Tabla19[[#This Row],[Comp4]],TablaMaq2[ID_Pedido],'2.C_Datos'!A27)+
COUNTIFS(TablaMaq3[Componente],Tabla19[[#This Row],[Comp4]],TablaMaq3[ID_Pedido],'2.C_Datos'!A27)+
COUNTIFS(TablaMaq4[Componente],Tabla19[[#This Row],[Comp4]],TablaMaq4[ID_Pedido],'2.C_Datos'!A27))</f>
        <v/>
      </c>
      <c r="N27" s="99" t="str">
        <f>IF(Tabla19[[#This Row],[Comp5]]="","",COUNTIFS(TablaMaq1[Componente],Tabla19[[#This Row],[Comp5]],TablaMaq1[ID_Pedido],'2.C_Datos'!A27)+
COUNTIFS(TablaMaq1[Componente],Tabla19[[#This Row],[Comp5]],TablaMaq2[ID_Pedido],'2.C_Datos'!A27)+
COUNTIFS(TablaMaq1[Componente],Tabla19[[#This Row],[Comp5]],TablaMaq3[ID_Pedido],'2.C_Datos'!A27)+
COUNTIFS(TablaMaq1[Componente],Tabla19[[#This Row],[Comp5]],TablaMaq4[ID_Pedido],'2.C_Datos'!A27))</f>
        <v/>
      </c>
      <c r="O27" s="85" t="str">
        <f>IF(Tabla19[[#This Row],[Comp1]]="","",
IF(IF(Tabla19[[#This Row],[Comp1]]=0,0,1)*$D27-Tabla19[[#This Row],[Asign1]]=0,0,Tabla19[[#This Row],[Comp1]]))</f>
        <v/>
      </c>
      <c r="P27" s="85" t="str">
        <f>IF(Tabla19[[#This Row],[Comp2]]="","",
IF(IF(Tabla19[[#This Row],[Comp2]]=0,0,1)*$D27-Tabla19[[#This Row],[Asign2]]=0,0,Tabla19[[#This Row],[Comp2]]))</f>
        <v/>
      </c>
      <c r="Q27" s="85" t="str">
        <f>IF(Tabla19[[#This Row],[Comp3]]="","",
IF(IF(Tabla19[[#This Row],[Comp3]]=0,0,1)*$D27-Tabla19[[#This Row],[Asign3]]=0,0,Tabla19[[#This Row],[Comp3]]))</f>
        <v/>
      </c>
      <c r="R27" s="85" t="str">
        <f>IF(Tabla19[[#This Row],[Comp4]]="","",
IF(IF(Tabla19[[#This Row],[Comp4]]=0,0,1)*$D27-Tabla19[[#This Row],[Asign4]]=0,0,Tabla19[[#This Row],[Comp4]]))</f>
        <v/>
      </c>
      <c r="S27" s="85" t="str">
        <f>IF(Tabla19[[#This Row],[Comp5]]="","",
IF(IF(Tabla19[[#This Row],[Comp5]]=0,0,1)*$D27-Tabla19[[#This Row],[Asign5]]=0,0,Tabla19[[#This Row],[Comp5]]))</f>
        <v/>
      </c>
    </row>
    <row r="28" spans="5:19" x14ac:dyDescent="0.3">
      <c r="E28" s="99" t="str">
        <f>IF($A28="","",INDEX(ListadoProductos[],MATCH('2.C_Datos'!$C28,ListadoProductos[Productos],0),MATCH('2.C_Datos'!E$3,ListadoProductos[#Headers],0)))</f>
        <v/>
      </c>
      <c r="F28" s="99" t="str">
        <f>IF($A28="","",INDEX(ListadoProductos[],MATCH('2.C_Datos'!$C28,ListadoProductos[Productos],0),MATCH('2.C_Datos'!F$3,ListadoProductos[#Headers],0)))</f>
        <v/>
      </c>
      <c r="G28" s="99" t="str">
        <f>IF($A28="","",INDEX(ListadoProductos[],MATCH('2.C_Datos'!$C28,ListadoProductos[Productos],0),MATCH('2.C_Datos'!G$3,ListadoProductos[#Headers],0)))</f>
        <v/>
      </c>
      <c r="H28" s="99" t="str">
        <f>IF($A28="","",INDEX(ListadoProductos[],MATCH('2.C_Datos'!$C28,ListadoProductos[Productos],0),MATCH('2.C_Datos'!H$3,ListadoProductos[#Headers],0)))</f>
        <v/>
      </c>
      <c r="I28" s="99" t="str">
        <f>IF($A28="","",INDEX(ListadoProductos[],MATCH('2.C_Datos'!$C28,ListadoProductos[Productos],0),MATCH('2.C_Datos'!I$3,ListadoProductos[#Headers],0)))</f>
        <v/>
      </c>
      <c r="J28" s="99" t="str">
        <f>IF(Tabla19[[#This Row],[Comp1]]="","",COUNTIFS(TablaMaq1[Componente],Tabla19[[#This Row],[Comp1]],TablaMaq1[ID_Pedido],'2.C_Datos'!A28)+
COUNTIFS(TablaMaq2[Componente],Tabla19[[#This Row],[Comp1]],TablaMaq2[ID_Pedido],'2.C_Datos'!A28)+
COUNTIFS(TablaMaq3[Componente],Tabla19[[#This Row],[Comp1]],TablaMaq3[ID_Pedido],'2.C_Datos'!A28)+
COUNTIFS(TablaMaq4[Componente],Tabla19[[#This Row],[Comp1]],TablaMaq4[ID_Pedido],'2.C_Datos'!A28))</f>
        <v/>
      </c>
      <c r="K28" s="99" t="str">
        <f>IF(Tabla19[[#This Row],[Comp2]]="","",COUNTIFS(TablaMaq1[Componente],Tabla19[[#This Row],[Comp2]],TablaMaq1[ID_Pedido],'2.C_Datos'!A28)+
COUNTIFS(TablaMaq2[Componente],Tabla19[[#This Row],[Comp2]],TablaMaq2[ID_Pedido],'2.C_Datos'!A28)+
COUNTIFS(TablaMaq3[Componente],Tabla19[[#This Row],[Comp2]],TablaMaq3[ID_Pedido],'2.C_Datos'!A28)+
COUNTIFS(TablaMaq4[Componente],Tabla19[[#This Row],[Comp2]],TablaMaq4[ID_Pedido],'2.C_Datos'!A28))</f>
        <v/>
      </c>
      <c r="L28" s="99" t="str">
        <f>IF(Tabla19[[#This Row],[Comp3]]="","",COUNTIFS(TablaMaq1[Componente],Tabla19[[#This Row],[Comp3]],TablaMaq1[ID_Pedido],'2.C_Datos'!A28)+
COUNTIFS(TablaMaq2[Componente],Tabla19[[#This Row],[Comp3]],TablaMaq2[ID_Pedido],'2.C_Datos'!A28)+
COUNTIFS(TablaMaq3[Componente],Tabla19[[#This Row],[Comp3]],TablaMaq3[ID_Pedido],'2.C_Datos'!A28)+
COUNTIFS(TablaMaq4[Componente],Tabla19[[#This Row],[Comp3]],TablaMaq4[ID_Pedido],'2.C_Datos'!A28))</f>
        <v/>
      </c>
      <c r="M28" s="99" t="str">
        <f>IF(Tabla19[[#This Row],[Comp4]]="","",COUNTIFS(TablaMaq1[Componente],Tabla19[[#This Row],[Comp4]],TablaMaq1[ID_Pedido],'2.C_Datos'!A28)+
COUNTIFS(TablaMaq2[Componente],Tabla19[[#This Row],[Comp4]],TablaMaq2[ID_Pedido],'2.C_Datos'!A28)+
COUNTIFS(TablaMaq3[Componente],Tabla19[[#This Row],[Comp4]],TablaMaq3[ID_Pedido],'2.C_Datos'!A28)+
COUNTIFS(TablaMaq4[Componente],Tabla19[[#This Row],[Comp4]],TablaMaq4[ID_Pedido],'2.C_Datos'!A28))</f>
        <v/>
      </c>
      <c r="N28" s="99" t="str">
        <f>IF(Tabla19[[#This Row],[Comp5]]="","",COUNTIFS(TablaMaq1[Componente],Tabla19[[#This Row],[Comp5]],TablaMaq1[ID_Pedido],'2.C_Datos'!A28)+
COUNTIFS(TablaMaq1[Componente],Tabla19[[#This Row],[Comp5]],TablaMaq2[ID_Pedido],'2.C_Datos'!A28)+
COUNTIFS(TablaMaq1[Componente],Tabla19[[#This Row],[Comp5]],TablaMaq3[ID_Pedido],'2.C_Datos'!A28)+
COUNTIFS(TablaMaq1[Componente],Tabla19[[#This Row],[Comp5]],TablaMaq4[ID_Pedido],'2.C_Datos'!A28))</f>
        <v/>
      </c>
      <c r="O28" s="85" t="str">
        <f>IF(Tabla19[[#This Row],[Comp1]]="","",
IF(IF(Tabla19[[#This Row],[Comp1]]=0,0,1)*$D28-Tabla19[[#This Row],[Asign1]]=0,0,Tabla19[[#This Row],[Comp1]]))</f>
        <v/>
      </c>
      <c r="P28" s="85" t="str">
        <f>IF(Tabla19[[#This Row],[Comp2]]="","",
IF(IF(Tabla19[[#This Row],[Comp2]]=0,0,1)*$D28-Tabla19[[#This Row],[Asign2]]=0,0,Tabla19[[#This Row],[Comp2]]))</f>
        <v/>
      </c>
      <c r="Q28" s="85" t="str">
        <f>IF(Tabla19[[#This Row],[Comp3]]="","",
IF(IF(Tabla19[[#This Row],[Comp3]]=0,0,1)*$D28-Tabla19[[#This Row],[Asign3]]=0,0,Tabla19[[#This Row],[Comp3]]))</f>
        <v/>
      </c>
      <c r="R28" s="85" t="str">
        <f>IF(Tabla19[[#This Row],[Comp4]]="","",
IF(IF(Tabla19[[#This Row],[Comp4]]=0,0,1)*$D28-Tabla19[[#This Row],[Asign4]]=0,0,Tabla19[[#This Row],[Comp4]]))</f>
        <v/>
      </c>
      <c r="S28" s="85" t="str">
        <f>IF(Tabla19[[#This Row],[Comp5]]="","",
IF(IF(Tabla19[[#This Row],[Comp5]]=0,0,1)*$D28-Tabla19[[#This Row],[Asign5]]=0,0,Tabla19[[#This Row],[Comp5]]))</f>
        <v/>
      </c>
    </row>
    <row r="29" spans="5:19" x14ac:dyDescent="0.3">
      <c r="E29" s="99" t="str">
        <f>IF($A29="","",INDEX(ListadoProductos[],MATCH('2.C_Datos'!$C29,ListadoProductos[Productos],0),MATCH('2.C_Datos'!E$3,ListadoProductos[#Headers],0)))</f>
        <v/>
      </c>
      <c r="F29" s="99" t="str">
        <f>IF($A29="","",INDEX(ListadoProductos[],MATCH('2.C_Datos'!$C29,ListadoProductos[Productos],0),MATCH('2.C_Datos'!F$3,ListadoProductos[#Headers],0)))</f>
        <v/>
      </c>
      <c r="G29" s="99" t="str">
        <f>IF($A29="","",INDEX(ListadoProductos[],MATCH('2.C_Datos'!$C29,ListadoProductos[Productos],0),MATCH('2.C_Datos'!G$3,ListadoProductos[#Headers],0)))</f>
        <v/>
      </c>
      <c r="H29" s="99" t="str">
        <f>IF($A29="","",INDEX(ListadoProductos[],MATCH('2.C_Datos'!$C29,ListadoProductos[Productos],0),MATCH('2.C_Datos'!H$3,ListadoProductos[#Headers],0)))</f>
        <v/>
      </c>
      <c r="I29" s="99" t="str">
        <f>IF($A29="","",INDEX(ListadoProductos[],MATCH('2.C_Datos'!$C29,ListadoProductos[Productos],0),MATCH('2.C_Datos'!I$3,ListadoProductos[#Headers],0)))</f>
        <v/>
      </c>
      <c r="J29" s="99" t="str">
        <f>IF(Tabla19[[#This Row],[Comp1]]="","",COUNTIFS(TablaMaq1[Componente],Tabla19[[#This Row],[Comp1]],TablaMaq1[ID_Pedido],'2.C_Datos'!A29)+
COUNTIFS(TablaMaq2[Componente],Tabla19[[#This Row],[Comp1]],TablaMaq2[ID_Pedido],'2.C_Datos'!A29)+
COUNTIFS(TablaMaq3[Componente],Tabla19[[#This Row],[Comp1]],TablaMaq3[ID_Pedido],'2.C_Datos'!A29)+
COUNTIFS(TablaMaq4[Componente],Tabla19[[#This Row],[Comp1]],TablaMaq4[ID_Pedido],'2.C_Datos'!A29))</f>
        <v/>
      </c>
      <c r="K29" s="99" t="str">
        <f>IF(Tabla19[[#This Row],[Comp2]]="","",COUNTIFS(TablaMaq1[Componente],Tabla19[[#This Row],[Comp2]],TablaMaq1[ID_Pedido],'2.C_Datos'!A29)+
COUNTIFS(TablaMaq2[Componente],Tabla19[[#This Row],[Comp2]],TablaMaq2[ID_Pedido],'2.C_Datos'!A29)+
COUNTIFS(TablaMaq3[Componente],Tabla19[[#This Row],[Comp2]],TablaMaq3[ID_Pedido],'2.C_Datos'!A29)+
COUNTIFS(TablaMaq4[Componente],Tabla19[[#This Row],[Comp2]],TablaMaq4[ID_Pedido],'2.C_Datos'!A29))</f>
        <v/>
      </c>
      <c r="L29" s="99" t="str">
        <f>IF(Tabla19[[#This Row],[Comp3]]="","",COUNTIFS(TablaMaq1[Componente],Tabla19[[#This Row],[Comp3]],TablaMaq1[ID_Pedido],'2.C_Datos'!A29)+
COUNTIFS(TablaMaq2[Componente],Tabla19[[#This Row],[Comp3]],TablaMaq2[ID_Pedido],'2.C_Datos'!A29)+
COUNTIFS(TablaMaq3[Componente],Tabla19[[#This Row],[Comp3]],TablaMaq3[ID_Pedido],'2.C_Datos'!A29)+
COUNTIFS(TablaMaq4[Componente],Tabla19[[#This Row],[Comp3]],TablaMaq4[ID_Pedido],'2.C_Datos'!A29))</f>
        <v/>
      </c>
      <c r="M29" s="99" t="str">
        <f>IF(Tabla19[[#This Row],[Comp4]]="","",COUNTIFS(TablaMaq1[Componente],Tabla19[[#This Row],[Comp4]],TablaMaq1[ID_Pedido],'2.C_Datos'!A29)+
COUNTIFS(TablaMaq2[Componente],Tabla19[[#This Row],[Comp4]],TablaMaq2[ID_Pedido],'2.C_Datos'!A29)+
COUNTIFS(TablaMaq3[Componente],Tabla19[[#This Row],[Comp4]],TablaMaq3[ID_Pedido],'2.C_Datos'!A29)+
COUNTIFS(TablaMaq4[Componente],Tabla19[[#This Row],[Comp4]],TablaMaq4[ID_Pedido],'2.C_Datos'!A29))</f>
        <v/>
      </c>
      <c r="N29" s="99" t="str">
        <f>IF(Tabla19[[#This Row],[Comp5]]="","",COUNTIFS(TablaMaq1[Componente],Tabla19[[#This Row],[Comp5]],TablaMaq1[ID_Pedido],'2.C_Datos'!A29)+
COUNTIFS(TablaMaq1[Componente],Tabla19[[#This Row],[Comp5]],TablaMaq2[ID_Pedido],'2.C_Datos'!A29)+
COUNTIFS(TablaMaq1[Componente],Tabla19[[#This Row],[Comp5]],TablaMaq3[ID_Pedido],'2.C_Datos'!A29)+
COUNTIFS(TablaMaq1[Componente],Tabla19[[#This Row],[Comp5]],TablaMaq4[ID_Pedido],'2.C_Datos'!A29))</f>
        <v/>
      </c>
      <c r="O29" s="85" t="str">
        <f>IF(Tabla19[[#This Row],[Comp1]]="","",
IF(IF(Tabla19[[#This Row],[Comp1]]=0,0,1)*$D29-Tabla19[[#This Row],[Asign1]]=0,0,Tabla19[[#This Row],[Comp1]]))</f>
        <v/>
      </c>
      <c r="P29" s="85" t="str">
        <f>IF(Tabla19[[#This Row],[Comp2]]="","",
IF(IF(Tabla19[[#This Row],[Comp2]]=0,0,1)*$D29-Tabla19[[#This Row],[Asign2]]=0,0,Tabla19[[#This Row],[Comp2]]))</f>
        <v/>
      </c>
      <c r="Q29" s="85" t="str">
        <f>IF(Tabla19[[#This Row],[Comp3]]="","",
IF(IF(Tabla19[[#This Row],[Comp3]]=0,0,1)*$D29-Tabla19[[#This Row],[Asign3]]=0,0,Tabla19[[#This Row],[Comp3]]))</f>
        <v/>
      </c>
      <c r="R29" s="85" t="str">
        <f>IF(Tabla19[[#This Row],[Comp4]]="","",
IF(IF(Tabla19[[#This Row],[Comp4]]=0,0,1)*$D29-Tabla19[[#This Row],[Asign4]]=0,0,Tabla19[[#This Row],[Comp4]]))</f>
        <v/>
      </c>
      <c r="S29" s="85" t="str">
        <f>IF(Tabla19[[#This Row],[Comp5]]="","",
IF(IF(Tabla19[[#This Row],[Comp5]]=0,0,1)*$D29-Tabla19[[#This Row],[Asign5]]=0,0,Tabla19[[#This Row],[Comp5]]))</f>
        <v/>
      </c>
    </row>
    <row r="30" spans="5:19" x14ac:dyDescent="0.3">
      <c r="E30" s="102" t="str">
        <f>IF($A30="","",INDEX(ListadoProductos[],MATCH('2.C_Datos'!$C30,ListadoProductos[Productos],0),MATCH('2.C_Datos'!E$3,ListadoProductos[#Headers],0)))</f>
        <v/>
      </c>
      <c r="F30" s="102" t="str">
        <f>IF($A30="","",INDEX(ListadoProductos[],MATCH('2.C_Datos'!$C30,ListadoProductos[Productos],0),MATCH('2.C_Datos'!F$3,ListadoProductos[#Headers],0)))</f>
        <v/>
      </c>
      <c r="G30" s="102" t="str">
        <f>IF($A30="","",INDEX(ListadoProductos[],MATCH('2.C_Datos'!$C30,ListadoProductos[Productos],0),MATCH('2.C_Datos'!G$3,ListadoProductos[#Headers],0)))</f>
        <v/>
      </c>
      <c r="H30" s="102" t="str">
        <f>IF($A30="","",INDEX(ListadoProductos[],MATCH('2.C_Datos'!$C30,ListadoProductos[Productos],0),MATCH('2.C_Datos'!H$3,ListadoProductos[#Headers],0)))</f>
        <v/>
      </c>
      <c r="I30" s="102" t="str">
        <f>IF($A30="","",INDEX(ListadoProductos[],MATCH('2.C_Datos'!$C30,ListadoProductos[Productos],0),MATCH('2.C_Datos'!I$3,ListadoProductos[#Headers],0)))</f>
        <v/>
      </c>
      <c r="J30" s="99" t="str">
        <f>IF(Tabla19[[#This Row],[Comp1]]="","",COUNTIFS(TablaMaq1[Componente],Tabla19[[#This Row],[Comp1]],TablaMaq1[ID_Pedido],'2.C_Datos'!A30)+
COUNTIFS(TablaMaq2[Componente],Tabla19[[#This Row],[Comp1]],TablaMaq2[ID_Pedido],'2.C_Datos'!A30)+
COUNTIFS(TablaMaq3[Componente],Tabla19[[#This Row],[Comp1]],TablaMaq3[ID_Pedido],'2.C_Datos'!A30)+
COUNTIFS(TablaMaq4[Componente],Tabla19[[#This Row],[Comp1]],TablaMaq4[ID_Pedido],'2.C_Datos'!A30))</f>
        <v/>
      </c>
      <c r="K30" s="99" t="str">
        <f>IF(Tabla19[[#This Row],[Comp2]]="","",COUNTIFS(TablaMaq1[Componente],Tabla19[[#This Row],[Comp2]],TablaMaq1[ID_Pedido],'2.C_Datos'!A30)+
COUNTIFS(TablaMaq2[Componente],Tabla19[[#This Row],[Comp2]],TablaMaq2[ID_Pedido],'2.C_Datos'!A30)+
COUNTIFS(TablaMaq3[Componente],Tabla19[[#This Row],[Comp2]],TablaMaq3[ID_Pedido],'2.C_Datos'!A30)+
COUNTIFS(TablaMaq4[Componente],Tabla19[[#This Row],[Comp2]],TablaMaq4[ID_Pedido],'2.C_Datos'!A30))</f>
        <v/>
      </c>
      <c r="L30" s="99" t="str">
        <f>IF(Tabla19[[#This Row],[Comp3]]="","",COUNTIFS(TablaMaq1[Componente],Tabla19[[#This Row],[Comp3]],TablaMaq1[ID_Pedido],'2.C_Datos'!A30)+
COUNTIFS(TablaMaq2[Componente],Tabla19[[#This Row],[Comp3]],TablaMaq2[ID_Pedido],'2.C_Datos'!A30)+
COUNTIFS(TablaMaq3[Componente],Tabla19[[#This Row],[Comp3]],TablaMaq3[ID_Pedido],'2.C_Datos'!A30)+
COUNTIFS(TablaMaq4[Componente],Tabla19[[#This Row],[Comp3]],TablaMaq4[ID_Pedido],'2.C_Datos'!A30))</f>
        <v/>
      </c>
      <c r="M30" s="99" t="str">
        <f>IF(Tabla19[[#This Row],[Comp4]]="","",COUNTIFS(TablaMaq1[Componente],Tabla19[[#This Row],[Comp4]],TablaMaq1[ID_Pedido],'2.C_Datos'!A30)+
COUNTIFS(TablaMaq2[Componente],Tabla19[[#This Row],[Comp4]],TablaMaq2[ID_Pedido],'2.C_Datos'!A30)+
COUNTIFS(TablaMaq3[Componente],Tabla19[[#This Row],[Comp4]],TablaMaq3[ID_Pedido],'2.C_Datos'!A30)+
COUNTIFS(TablaMaq4[Componente],Tabla19[[#This Row],[Comp4]],TablaMaq4[ID_Pedido],'2.C_Datos'!A30))</f>
        <v/>
      </c>
      <c r="N30" s="99" t="str">
        <f>IF(Tabla19[[#This Row],[Comp5]]="","",COUNTIFS(TablaMaq1[Componente],Tabla19[[#This Row],[Comp5]],TablaMaq1[ID_Pedido],'2.C_Datos'!A30)+
COUNTIFS(TablaMaq1[Componente],Tabla19[[#This Row],[Comp5]],TablaMaq2[ID_Pedido],'2.C_Datos'!A30)+
COUNTIFS(TablaMaq1[Componente],Tabla19[[#This Row],[Comp5]],TablaMaq3[ID_Pedido],'2.C_Datos'!A30)+
COUNTIFS(TablaMaq1[Componente],Tabla19[[#This Row],[Comp5]],TablaMaq4[ID_Pedido],'2.C_Datos'!A30))</f>
        <v/>
      </c>
      <c r="O30" s="85" t="str">
        <f>IF(Tabla19[[#This Row],[Comp1]]="","",
IF(IF(Tabla19[[#This Row],[Comp1]]=0,0,1)*$D30-Tabla19[[#This Row],[Asign1]]=0,0,Tabla19[[#This Row],[Comp1]]))</f>
        <v/>
      </c>
      <c r="P30" s="85" t="str">
        <f>IF(Tabla19[[#This Row],[Comp2]]="","",
IF(IF(Tabla19[[#This Row],[Comp2]]=0,0,1)*$D30-Tabla19[[#This Row],[Asign2]]=0,0,Tabla19[[#This Row],[Comp2]]))</f>
        <v/>
      </c>
      <c r="Q30" s="85" t="str">
        <f>IF(Tabla19[[#This Row],[Comp3]]="","",
IF(IF(Tabla19[[#This Row],[Comp3]]=0,0,1)*$D30-Tabla19[[#This Row],[Asign3]]=0,0,Tabla19[[#This Row],[Comp3]]))</f>
        <v/>
      </c>
      <c r="R30" s="85" t="str">
        <f>IF(Tabla19[[#This Row],[Comp4]]="","",
IF(IF(Tabla19[[#This Row],[Comp4]]=0,0,1)*$D30-Tabla19[[#This Row],[Asign4]]=0,0,Tabla19[[#This Row],[Comp4]]))</f>
        <v/>
      </c>
      <c r="S30" s="85" t="str">
        <f>IF(Tabla19[[#This Row],[Comp5]]="","",
IF(IF(Tabla19[[#This Row],[Comp5]]=0,0,1)*$D30-Tabla19[[#This Row],[Asign5]]=0,0,Tabla19[[#This Row],[Comp5]]))</f>
        <v/>
      </c>
    </row>
    <row r="31" spans="5:19" x14ac:dyDescent="0.3">
      <c r="E31" s="99" t="str">
        <f>IF($A31="","",INDEX(ListadoProductos[],MATCH('2.C_Datos'!$C31,ListadoProductos[Productos],0),MATCH('2.C_Datos'!E$3,ListadoProductos[#Headers],0)))</f>
        <v/>
      </c>
      <c r="F31" s="99" t="str">
        <f>IF($A31="","",INDEX(ListadoProductos[],MATCH('2.C_Datos'!$C31,ListadoProductos[Productos],0),MATCH('2.C_Datos'!F$3,ListadoProductos[#Headers],0)))</f>
        <v/>
      </c>
      <c r="G31" s="99" t="str">
        <f>IF($A31="","",INDEX(ListadoProductos[],MATCH('2.C_Datos'!$C31,ListadoProductos[Productos],0),MATCH('2.C_Datos'!G$3,ListadoProductos[#Headers],0)))</f>
        <v/>
      </c>
      <c r="H31" s="99" t="str">
        <f>IF($A31="","",INDEX(ListadoProductos[],MATCH('2.C_Datos'!$C31,ListadoProductos[Productos],0),MATCH('2.C_Datos'!H$3,ListadoProductos[#Headers],0)))</f>
        <v/>
      </c>
      <c r="I31" s="99" t="str">
        <f>IF($A31="","",INDEX(ListadoProductos[],MATCH('2.C_Datos'!$C31,ListadoProductos[Productos],0),MATCH('2.C_Datos'!I$3,ListadoProductos[#Headers],0)))</f>
        <v/>
      </c>
      <c r="J31" s="99" t="str">
        <f>IF(Tabla19[[#This Row],[Comp1]]="","",COUNTIFS(TablaMaq1[Componente],Tabla19[[#This Row],[Comp1]],TablaMaq1[ID_Pedido],'2.C_Datos'!A31)+
COUNTIFS(TablaMaq2[Componente],Tabla19[[#This Row],[Comp1]],TablaMaq2[ID_Pedido],'2.C_Datos'!A31)+
COUNTIFS(TablaMaq3[Componente],Tabla19[[#This Row],[Comp1]],TablaMaq3[ID_Pedido],'2.C_Datos'!A31)+
COUNTIFS(TablaMaq4[Componente],Tabla19[[#This Row],[Comp1]],TablaMaq4[ID_Pedido],'2.C_Datos'!A31))</f>
        <v/>
      </c>
      <c r="K31" s="99" t="str">
        <f>IF(Tabla19[[#This Row],[Comp2]]="","",COUNTIFS(TablaMaq1[Componente],Tabla19[[#This Row],[Comp2]],TablaMaq1[ID_Pedido],'2.C_Datos'!A31)+
COUNTIFS(TablaMaq2[Componente],Tabla19[[#This Row],[Comp2]],TablaMaq2[ID_Pedido],'2.C_Datos'!A31)+
COUNTIFS(TablaMaq3[Componente],Tabla19[[#This Row],[Comp2]],TablaMaq3[ID_Pedido],'2.C_Datos'!A31)+
COUNTIFS(TablaMaq4[Componente],Tabla19[[#This Row],[Comp2]],TablaMaq4[ID_Pedido],'2.C_Datos'!A31))</f>
        <v/>
      </c>
      <c r="L31" s="99" t="str">
        <f>IF(Tabla19[[#This Row],[Comp3]]="","",COUNTIFS(TablaMaq1[Componente],Tabla19[[#This Row],[Comp3]],TablaMaq1[ID_Pedido],'2.C_Datos'!A31)+
COUNTIFS(TablaMaq2[Componente],Tabla19[[#This Row],[Comp3]],TablaMaq2[ID_Pedido],'2.C_Datos'!A31)+
COUNTIFS(TablaMaq3[Componente],Tabla19[[#This Row],[Comp3]],TablaMaq3[ID_Pedido],'2.C_Datos'!A31)+
COUNTIFS(TablaMaq4[Componente],Tabla19[[#This Row],[Comp3]],TablaMaq4[ID_Pedido],'2.C_Datos'!A31))</f>
        <v/>
      </c>
      <c r="M31" s="99" t="str">
        <f>IF(Tabla19[[#This Row],[Comp4]]="","",COUNTIFS(TablaMaq1[Componente],Tabla19[[#This Row],[Comp4]],TablaMaq1[ID_Pedido],'2.C_Datos'!A31)+
COUNTIFS(TablaMaq2[Componente],Tabla19[[#This Row],[Comp4]],TablaMaq2[ID_Pedido],'2.C_Datos'!A31)+
COUNTIFS(TablaMaq3[Componente],Tabla19[[#This Row],[Comp4]],TablaMaq3[ID_Pedido],'2.C_Datos'!A31)+
COUNTIFS(TablaMaq4[Componente],Tabla19[[#This Row],[Comp4]],TablaMaq4[ID_Pedido],'2.C_Datos'!A31))</f>
        <v/>
      </c>
      <c r="N31" s="99" t="str">
        <f>IF(Tabla19[[#This Row],[Comp5]]="","",COUNTIFS(TablaMaq1[Componente],Tabla19[[#This Row],[Comp5]],TablaMaq1[ID_Pedido],'2.C_Datos'!A31)+
COUNTIFS(TablaMaq1[Componente],Tabla19[[#This Row],[Comp5]],TablaMaq2[ID_Pedido],'2.C_Datos'!A31)+
COUNTIFS(TablaMaq1[Componente],Tabla19[[#This Row],[Comp5]],TablaMaq3[ID_Pedido],'2.C_Datos'!A31)+
COUNTIFS(TablaMaq1[Componente],Tabla19[[#This Row],[Comp5]],TablaMaq4[ID_Pedido],'2.C_Datos'!A31))</f>
        <v/>
      </c>
      <c r="O31" s="85" t="str">
        <f>IF(Tabla19[[#This Row],[Comp1]]="","",
IF(IF(Tabla19[[#This Row],[Comp1]]=0,0,1)*$D31-Tabla19[[#This Row],[Asign1]]=0,0,Tabla19[[#This Row],[Comp1]]))</f>
        <v/>
      </c>
      <c r="P31" s="85" t="str">
        <f>IF(Tabla19[[#This Row],[Comp2]]="","",
IF(IF(Tabla19[[#This Row],[Comp2]]=0,0,1)*$D31-Tabla19[[#This Row],[Asign2]]=0,0,Tabla19[[#This Row],[Comp2]]))</f>
        <v/>
      </c>
      <c r="Q31" s="85" t="str">
        <f>IF(Tabla19[[#This Row],[Comp3]]="","",
IF(IF(Tabla19[[#This Row],[Comp3]]=0,0,1)*$D31-Tabla19[[#This Row],[Asign3]]=0,0,Tabla19[[#This Row],[Comp3]]))</f>
        <v/>
      </c>
      <c r="R31" s="85" t="str">
        <f>IF(Tabla19[[#This Row],[Comp4]]="","",
IF(IF(Tabla19[[#This Row],[Comp4]]=0,0,1)*$D31-Tabla19[[#This Row],[Asign4]]=0,0,Tabla19[[#This Row],[Comp4]]))</f>
        <v/>
      </c>
      <c r="S31" s="85" t="str">
        <f>IF(Tabla19[[#This Row],[Comp5]]="","",
IF(IF(Tabla19[[#This Row],[Comp5]]=0,0,1)*$D31-Tabla19[[#This Row],[Asign5]]=0,0,Tabla19[[#This Row],[Comp5]]))</f>
        <v/>
      </c>
    </row>
    <row r="32" spans="5:19" x14ac:dyDescent="0.3">
      <c r="E32" s="99" t="str">
        <f>IF($A32="","",INDEX(ListadoProductos[],MATCH('2.C_Datos'!$C32,ListadoProductos[Productos],0),MATCH('2.C_Datos'!E$3,ListadoProductos[#Headers],0)))</f>
        <v/>
      </c>
      <c r="F32" s="99" t="str">
        <f>IF($A32="","",INDEX(ListadoProductos[],MATCH('2.C_Datos'!$C32,ListadoProductos[Productos],0),MATCH('2.C_Datos'!F$3,ListadoProductos[#Headers],0)))</f>
        <v/>
      </c>
      <c r="G32" s="99" t="str">
        <f>IF($A32="","",INDEX(ListadoProductos[],MATCH('2.C_Datos'!$C32,ListadoProductos[Productos],0),MATCH('2.C_Datos'!G$3,ListadoProductos[#Headers],0)))</f>
        <v/>
      </c>
      <c r="H32" s="99" t="str">
        <f>IF($A32="","",INDEX(ListadoProductos[],MATCH('2.C_Datos'!$C32,ListadoProductos[Productos],0),MATCH('2.C_Datos'!H$3,ListadoProductos[#Headers],0)))</f>
        <v/>
      </c>
      <c r="I32" s="99" t="str">
        <f>IF($A32="","",INDEX(ListadoProductos[],MATCH('2.C_Datos'!$C32,ListadoProductos[Productos],0),MATCH('2.C_Datos'!I$3,ListadoProductos[#Headers],0)))</f>
        <v/>
      </c>
      <c r="J32" s="99" t="str">
        <f>IF(Tabla19[[#This Row],[Comp1]]="","",COUNTIFS(TablaMaq1[Componente],Tabla19[[#This Row],[Comp1]],TablaMaq1[ID_Pedido],'2.C_Datos'!A32)+
COUNTIFS(TablaMaq2[Componente],Tabla19[[#This Row],[Comp1]],TablaMaq2[ID_Pedido],'2.C_Datos'!A32)+
COUNTIFS(TablaMaq3[Componente],Tabla19[[#This Row],[Comp1]],TablaMaq3[ID_Pedido],'2.C_Datos'!A32)+
COUNTIFS(TablaMaq4[Componente],Tabla19[[#This Row],[Comp1]],TablaMaq4[ID_Pedido],'2.C_Datos'!A32))</f>
        <v/>
      </c>
      <c r="K32" s="99" t="str">
        <f>IF(Tabla19[[#This Row],[Comp2]]="","",COUNTIFS(TablaMaq1[Componente],Tabla19[[#This Row],[Comp2]],TablaMaq1[ID_Pedido],'2.C_Datos'!A32)+
COUNTIFS(TablaMaq2[Componente],Tabla19[[#This Row],[Comp2]],TablaMaq2[ID_Pedido],'2.C_Datos'!A32)+
COUNTIFS(TablaMaq3[Componente],Tabla19[[#This Row],[Comp2]],TablaMaq3[ID_Pedido],'2.C_Datos'!A32)+
COUNTIFS(TablaMaq4[Componente],Tabla19[[#This Row],[Comp2]],TablaMaq4[ID_Pedido],'2.C_Datos'!A32))</f>
        <v/>
      </c>
      <c r="L32" s="99" t="str">
        <f>IF(Tabla19[[#This Row],[Comp3]]="","",COUNTIFS(TablaMaq1[Componente],Tabla19[[#This Row],[Comp3]],TablaMaq1[ID_Pedido],'2.C_Datos'!A32)+
COUNTIFS(TablaMaq2[Componente],Tabla19[[#This Row],[Comp3]],TablaMaq2[ID_Pedido],'2.C_Datos'!A32)+
COUNTIFS(TablaMaq3[Componente],Tabla19[[#This Row],[Comp3]],TablaMaq3[ID_Pedido],'2.C_Datos'!A32)+
COUNTIFS(TablaMaq4[Componente],Tabla19[[#This Row],[Comp3]],TablaMaq4[ID_Pedido],'2.C_Datos'!A32))</f>
        <v/>
      </c>
      <c r="M32" s="99" t="str">
        <f>IF(Tabla19[[#This Row],[Comp4]]="","",COUNTIFS(TablaMaq1[Componente],Tabla19[[#This Row],[Comp4]],TablaMaq1[ID_Pedido],'2.C_Datos'!A32)+
COUNTIFS(TablaMaq2[Componente],Tabla19[[#This Row],[Comp4]],TablaMaq2[ID_Pedido],'2.C_Datos'!A32)+
COUNTIFS(TablaMaq3[Componente],Tabla19[[#This Row],[Comp4]],TablaMaq3[ID_Pedido],'2.C_Datos'!A32)+
COUNTIFS(TablaMaq4[Componente],Tabla19[[#This Row],[Comp4]],TablaMaq4[ID_Pedido],'2.C_Datos'!A32))</f>
        <v/>
      </c>
      <c r="N32" s="99" t="str">
        <f>IF(Tabla19[[#This Row],[Comp5]]="","",COUNTIFS(TablaMaq1[Componente],Tabla19[[#This Row],[Comp5]],TablaMaq1[ID_Pedido],'2.C_Datos'!A32)+
COUNTIFS(TablaMaq1[Componente],Tabla19[[#This Row],[Comp5]],TablaMaq2[ID_Pedido],'2.C_Datos'!A32)+
COUNTIFS(TablaMaq1[Componente],Tabla19[[#This Row],[Comp5]],TablaMaq3[ID_Pedido],'2.C_Datos'!A32)+
COUNTIFS(TablaMaq1[Componente],Tabla19[[#This Row],[Comp5]],TablaMaq4[ID_Pedido],'2.C_Datos'!A32))</f>
        <v/>
      </c>
      <c r="O32" s="85" t="str">
        <f>IF(Tabla19[[#This Row],[Comp1]]="","",
IF(IF(Tabla19[[#This Row],[Comp1]]=0,0,1)*$D32-Tabla19[[#This Row],[Asign1]]=0,0,Tabla19[[#This Row],[Comp1]]))</f>
        <v/>
      </c>
      <c r="P32" s="85" t="str">
        <f>IF(Tabla19[[#This Row],[Comp2]]="","",
IF(IF(Tabla19[[#This Row],[Comp2]]=0,0,1)*$D32-Tabla19[[#This Row],[Asign2]]=0,0,Tabla19[[#This Row],[Comp2]]))</f>
        <v/>
      </c>
      <c r="Q32" s="85" t="str">
        <f>IF(Tabla19[[#This Row],[Comp3]]="","",
IF(IF(Tabla19[[#This Row],[Comp3]]=0,0,1)*$D32-Tabla19[[#This Row],[Asign3]]=0,0,Tabla19[[#This Row],[Comp3]]))</f>
        <v/>
      </c>
      <c r="R32" s="85" t="str">
        <f>IF(Tabla19[[#This Row],[Comp4]]="","",
IF(IF(Tabla19[[#This Row],[Comp4]]=0,0,1)*$D32-Tabla19[[#This Row],[Asign4]]=0,0,Tabla19[[#This Row],[Comp4]]))</f>
        <v/>
      </c>
      <c r="S32" s="85" t="str">
        <f>IF(Tabla19[[#This Row],[Comp5]]="","",
IF(IF(Tabla19[[#This Row],[Comp5]]=0,0,1)*$D32-Tabla19[[#This Row],[Asign5]]=0,0,Tabla19[[#This Row],[Comp5]]))</f>
        <v/>
      </c>
    </row>
    <row r="33" spans="5:19" x14ac:dyDescent="0.3">
      <c r="E33" s="99" t="str">
        <f>IF($A33="","",INDEX(ListadoProductos[],MATCH('2.C_Datos'!$C33,ListadoProductos[Productos],0),MATCH('2.C_Datos'!E$3,ListadoProductos[#Headers],0)))</f>
        <v/>
      </c>
      <c r="F33" s="99" t="str">
        <f>IF($A33="","",INDEX(ListadoProductos[],MATCH('2.C_Datos'!$C33,ListadoProductos[Productos],0),MATCH('2.C_Datos'!F$3,ListadoProductos[#Headers],0)))</f>
        <v/>
      </c>
      <c r="G33" s="99" t="str">
        <f>IF($A33="","",INDEX(ListadoProductos[],MATCH('2.C_Datos'!$C33,ListadoProductos[Productos],0),MATCH('2.C_Datos'!G$3,ListadoProductos[#Headers],0)))</f>
        <v/>
      </c>
      <c r="H33" s="99" t="str">
        <f>IF($A33="","",INDEX(ListadoProductos[],MATCH('2.C_Datos'!$C33,ListadoProductos[Productos],0),MATCH('2.C_Datos'!H$3,ListadoProductos[#Headers],0)))</f>
        <v/>
      </c>
      <c r="I33" s="99" t="str">
        <f>IF($A33="","",INDEX(ListadoProductos[],MATCH('2.C_Datos'!$C33,ListadoProductos[Productos],0),MATCH('2.C_Datos'!I$3,ListadoProductos[#Headers],0)))</f>
        <v/>
      </c>
      <c r="J33" s="99" t="str">
        <f>IF(Tabla19[[#This Row],[Comp1]]="","",COUNTIFS(TablaMaq1[Componente],Tabla19[[#This Row],[Comp1]],TablaMaq1[ID_Pedido],'2.C_Datos'!A33)+
COUNTIFS(TablaMaq2[Componente],Tabla19[[#This Row],[Comp1]],TablaMaq2[ID_Pedido],'2.C_Datos'!A33)+
COUNTIFS(TablaMaq3[Componente],Tabla19[[#This Row],[Comp1]],TablaMaq3[ID_Pedido],'2.C_Datos'!A33)+
COUNTIFS(TablaMaq4[Componente],Tabla19[[#This Row],[Comp1]],TablaMaq4[ID_Pedido],'2.C_Datos'!A33))</f>
        <v/>
      </c>
      <c r="K33" s="99" t="str">
        <f>IF(Tabla19[[#This Row],[Comp2]]="","",COUNTIFS(TablaMaq1[Componente],Tabla19[[#This Row],[Comp2]],TablaMaq1[ID_Pedido],'2.C_Datos'!A33)+
COUNTIFS(TablaMaq2[Componente],Tabla19[[#This Row],[Comp2]],TablaMaq2[ID_Pedido],'2.C_Datos'!A33)+
COUNTIFS(TablaMaq3[Componente],Tabla19[[#This Row],[Comp2]],TablaMaq3[ID_Pedido],'2.C_Datos'!A33)+
COUNTIFS(TablaMaq4[Componente],Tabla19[[#This Row],[Comp2]],TablaMaq4[ID_Pedido],'2.C_Datos'!A33))</f>
        <v/>
      </c>
      <c r="L33" s="99" t="str">
        <f>IF(Tabla19[[#This Row],[Comp3]]="","",COUNTIFS(TablaMaq1[Componente],Tabla19[[#This Row],[Comp3]],TablaMaq1[ID_Pedido],'2.C_Datos'!A33)+
COUNTIFS(TablaMaq2[Componente],Tabla19[[#This Row],[Comp3]],TablaMaq2[ID_Pedido],'2.C_Datos'!A33)+
COUNTIFS(TablaMaq3[Componente],Tabla19[[#This Row],[Comp3]],TablaMaq3[ID_Pedido],'2.C_Datos'!A33)+
COUNTIFS(TablaMaq4[Componente],Tabla19[[#This Row],[Comp3]],TablaMaq4[ID_Pedido],'2.C_Datos'!A33))</f>
        <v/>
      </c>
      <c r="M33" s="99" t="str">
        <f>IF(Tabla19[[#This Row],[Comp4]]="","",COUNTIFS(TablaMaq1[Componente],Tabla19[[#This Row],[Comp4]],TablaMaq1[ID_Pedido],'2.C_Datos'!A33)+
COUNTIFS(TablaMaq2[Componente],Tabla19[[#This Row],[Comp4]],TablaMaq2[ID_Pedido],'2.C_Datos'!A33)+
COUNTIFS(TablaMaq3[Componente],Tabla19[[#This Row],[Comp4]],TablaMaq3[ID_Pedido],'2.C_Datos'!A33)+
COUNTIFS(TablaMaq4[Componente],Tabla19[[#This Row],[Comp4]],TablaMaq4[ID_Pedido],'2.C_Datos'!A33))</f>
        <v/>
      </c>
      <c r="N33" s="99" t="str">
        <f>IF(Tabla19[[#This Row],[Comp5]]="","",COUNTIFS(TablaMaq1[Componente],Tabla19[[#This Row],[Comp5]],TablaMaq1[ID_Pedido],'2.C_Datos'!A33)+
COUNTIFS(TablaMaq1[Componente],Tabla19[[#This Row],[Comp5]],TablaMaq2[ID_Pedido],'2.C_Datos'!A33)+
COUNTIFS(TablaMaq1[Componente],Tabla19[[#This Row],[Comp5]],TablaMaq3[ID_Pedido],'2.C_Datos'!A33)+
COUNTIFS(TablaMaq1[Componente],Tabla19[[#This Row],[Comp5]],TablaMaq4[ID_Pedido],'2.C_Datos'!A33))</f>
        <v/>
      </c>
      <c r="O33" s="85" t="str">
        <f>IF(Tabla19[[#This Row],[Comp1]]="","",
IF(IF(Tabla19[[#This Row],[Comp1]]=0,0,1)*$D33-Tabla19[[#This Row],[Asign1]]=0,0,Tabla19[[#This Row],[Comp1]]))</f>
        <v/>
      </c>
      <c r="P33" s="85" t="str">
        <f>IF(Tabla19[[#This Row],[Comp2]]="","",
IF(IF(Tabla19[[#This Row],[Comp2]]=0,0,1)*$D33-Tabla19[[#This Row],[Asign2]]=0,0,Tabla19[[#This Row],[Comp2]]))</f>
        <v/>
      </c>
      <c r="Q33" s="85" t="str">
        <f>IF(Tabla19[[#This Row],[Comp3]]="","",
IF(IF(Tabla19[[#This Row],[Comp3]]=0,0,1)*$D33-Tabla19[[#This Row],[Asign3]]=0,0,Tabla19[[#This Row],[Comp3]]))</f>
        <v/>
      </c>
      <c r="R33" s="85" t="str">
        <f>IF(Tabla19[[#This Row],[Comp4]]="","",
IF(IF(Tabla19[[#This Row],[Comp4]]=0,0,1)*$D33-Tabla19[[#This Row],[Asign4]]=0,0,Tabla19[[#This Row],[Comp4]]))</f>
        <v/>
      </c>
      <c r="S33" s="85" t="str">
        <f>IF(Tabla19[[#This Row],[Comp5]]="","",
IF(IF(Tabla19[[#This Row],[Comp5]]=0,0,1)*$D33-Tabla19[[#This Row],[Asign5]]=0,0,Tabla19[[#This Row],[Comp5]]))</f>
        <v/>
      </c>
    </row>
    <row r="34" spans="5:19" x14ac:dyDescent="0.3">
      <c r="E34" s="99" t="str">
        <f>IF($A34="","",INDEX(ListadoProductos[],MATCH('2.C_Datos'!$C34,ListadoProductos[Productos],0),MATCH('2.C_Datos'!E$3,ListadoProductos[#Headers],0)))</f>
        <v/>
      </c>
      <c r="F34" s="99" t="str">
        <f>IF($A34="","",INDEX(ListadoProductos[],MATCH('2.C_Datos'!$C34,ListadoProductos[Productos],0),MATCH('2.C_Datos'!F$3,ListadoProductos[#Headers],0)))</f>
        <v/>
      </c>
      <c r="G34" s="99" t="str">
        <f>IF($A34="","",INDEX(ListadoProductos[],MATCH('2.C_Datos'!$C34,ListadoProductos[Productos],0),MATCH('2.C_Datos'!G$3,ListadoProductos[#Headers],0)))</f>
        <v/>
      </c>
      <c r="H34" s="99" t="str">
        <f>IF($A34="","",INDEX(ListadoProductos[],MATCH('2.C_Datos'!$C34,ListadoProductos[Productos],0),MATCH('2.C_Datos'!H$3,ListadoProductos[#Headers],0)))</f>
        <v/>
      </c>
      <c r="I34" s="99" t="str">
        <f>IF($A34="","",INDEX(ListadoProductos[],MATCH('2.C_Datos'!$C34,ListadoProductos[Productos],0),MATCH('2.C_Datos'!I$3,ListadoProductos[#Headers],0)))</f>
        <v/>
      </c>
      <c r="J34" s="99" t="str">
        <f>IF(Tabla19[[#This Row],[Comp1]]="","",COUNTIFS(TablaMaq1[Componente],Tabla19[[#This Row],[Comp1]],TablaMaq1[ID_Pedido],'2.C_Datos'!A34)+
COUNTIFS(TablaMaq2[Componente],Tabla19[[#This Row],[Comp1]],TablaMaq2[ID_Pedido],'2.C_Datos'!A34)+
COUNTIFS(TablaMaq3[Componente],Tabla19[[#This Row],[Comp1]],TablaMaq3[ID_Pedido],'2.C_Datos'!A34)+
COUNTIFS(TablaMaq4[Componente],Tabla19[[#This Row],[Comp1]],TablaMaq4[ID_Pedido],'2.C_Datos'!A34))</f>
        <v/>
      </c>
      <c r="K34" s="99" t="str">
        <f>IF(Tabla19[[#This Row],[Comp2]]="","",COUNTIFS(TablaMaq1[Componente],Tabla19[[#This Row],[Comp2]],TablaMaq1[ID_Pedido],'2.C_Datos'!A34)+
COUNTIFS(TablaMaq2[Componente],Tabla19[[#This Row],[Comp2]],TablaMaq2[ID_Pedido],'2.C_Datos'!A34)+
COUNTIFS(TablaMaq3[Componente],Tabla19[[#This Row],[Comp2]],TablaMaq3[ID_Pedido],'2.C_Datos'!A34)+
COUNTIFS(TablaMaq4[Componente],Tabla19[[#This Row],[Comp2]],TablaMaq4[ID_Pedido],'2.C_Datos'!A34))</f>
        <v/>
      </c>
      <c r="L34" s="99" t="str">
        <f>IF(Tabla19[[#This Row],[Comp3]]="","",COUNTIFS(TablaMaq1[Componente],Tabla19[[#This Row],[Comp3]],TablaMaq1[ID_Pedido],'2.C_Datos'!A34)+
COUNTIFS(TablaMaq2[Componente],Tabla19[[#This Row],[Comp3]],TablaMaq2[ID_Pedido],'2.C_Datos'!A34)+
COUNTIFS(TablaMaq3[Componente],Tabla19[[#This Row],[Comp3]],TablaMaq3[ID_Pedido],'2.C_Datos'!A34)+
COUNTIFS(TablaMaq4[Componente],Tabla19[[#This Row],[Comp3]],TablaMaq4[ID_Pedido],'2.C_Datos'!A34))</f>
        <v/>
      </c>
      <c r="M34" s="99" t="str">
        <f>IF(Tabla19[[#This Row],[Comp4]]="","",COUNTIFS(TablaMaq1[Componente],Tabla19[[#This Row],[Comp4]],TablaMaq1[ID_Pedido],'2.C_Datos'!A34)+
COUNTIFS(TablaMaq2[Componente],Tabla19[[#This Row],[Comp4]],TablaMaq2[ID_Pedido],'2.C_Datos'!A34)+
COUNTIFS(TablaMaq3[Componente],Tabla19[[#This Row],[Comp4]],TablaMaq3[ID_Pedido],'2.C_Datos'!A34)+
COUNTIFS(TablaMaq4[Componente],Tabla19[[#This Row],[Comp4]],TablaMaq4[ID_Pedido],'2.C_Datos'!A34))</f>
        <v/>
      </c>
      <c r="N34" s="99" t="str">
        <f>IF(Tabla19[[#This Row],[Comp5]]="","",COUNTIFS(TablaMaq1[Componente],Tabla19[[#This Row],[Comp5]],TablaMaq1[ID_Pedido],'2.C_Datos'!A34)+
COUNTIFS(TablaMaq1[Componente],Tabla19[[#This Row],[Comp5]],TablaMaq2[ID_Pedido],'2.C_Datos'!A34)+
COUNTIFS(TablaMaq1[Componente],Tabla19[[#This Row],[Comp5]],TablaMaq3[ID_Pedido],'2.C_Datos'!A34)+
COUNTIFS(TablaMaq1[Componente],Tabla19[[#This Row],[Comp5]],TablaMaq4[ID_Pedido],'2.C_Datos'!A34))</f>
        <v/>
      </c>
      <c r="O34" s="85" t="str">
        <f>IF(Tabla19[[#This Row],[Comp1]]="","",
IF(IF(Tabla19[[#This Row],[Comp1]]=0,0,1)*$D34-Tabla19[[#This Row],[Asign1]]=0,0,Tabla19[[#This Row],[Comp1]]))</f>
        <v/>
      </c>
      <c r="P34" s="85" t="str">
        <f>IF(Tabla19[[#This Row],[Comp2]]="","",
IF(IF(Tabla19[[#This Row],[Comp2]]=0,0,1)*$D34-Tabla19[[#This Row],[Asign2]]=0,0,Tabla19[[#This Row],[Comp2]]))</f>
        <v/>
      </c>
      <c r="Q34" s="85" t="str">
        <f>IF(Tabla19[[#This Row],[Comp3]]="","",
IF(IF(Tabla19[[#This Row],[Comp3]]=0,0,1)*$D34-Tabla19[[#This Row],[Asign3]]=0,0,Tabla19[[#This Row],[Comp3]]))</f>
        <v/>
      </c>
      <c r="R34" s="85" t="str">
        <f>IF(Tabla19[[#This Row],[Comp4]]="","",
IF(IF(Tabla19[[#This Row],[Comp4]]=0,0,1)*$D34-Tabla19[[#This Row],[Asign4]]=0,0,Tabla19[[#This Row],[Comp4]]))</f>
        <v/>
      </c>
      <c r="S34" s="85" t="str">
        <f>IF(Tabla19[[#This Row],[Comp5]]="","",
IF(IF(Tabla19[[#This Row],[Comp5]]=0,0,1)*$D34-Tabla19[[#This Row],[Asign5]]=0,0,Tabla19[[#This Row],[Comp5]]))</f>
        <v/>
      </c>
    </row>
    <row r="35" spans="5:19" x14ac:dyDescent="0.3">
      <c r="E35" s="99" t="str">
        <f>IF($A35="","",INDEX(ListadoProductos[],MATCH('2.C_Datos'!$C35,ListadoProductos[Productos],0),MATCH('2.C_Datos'!E$3,ListadoProductos[#Headers],0)))</f>
        <v/>
      </c>
      <c r="F35" s="99" t="str">
        <f>IF($A35="","",INDEX(ListadoProductos[],MATCH('2.C_Datos'!$C35,ListadoProductos[Productos],0),MATCH('2.C_Datos'!F$3,ListadoProductos[#Headers],0)))</f>
        <v/>
      </c>
      <c r="G35" s="99" t="str">
        <f>IF($A35="","",INDEX(ListadoProductos[],MATCH('2.C_Datos'!$C35,ListadoProductos[Productos],0),MATCH('2.C_Datos'!G$3,ListadoProductos[#Headers],0)))</f>
        <v/>
      </c>
      <c r="H35" s="99" t="str">
        <f>IF($A35="","",INDEX(ListadoProductos[],MATCH('2.C_Datos'!$C35,ListadoProductos[Productos],0),MATCH('2.C_Datos'!H$3,ListadoProductos[#Headers],0)))</f>
        <v/>
      </c>
      <c r="I35" s="99" t="str">
        <f>IF($A35="","",INDEX(ListadoProductos[],MATCH('2.C_Datos'!$C35,ListadoProductos[Productos],0),MATCH('2.C_Datos'!I$3,ListadoProductos[#Headers],0)))</f>
        <v/>
      </c>
      <c r="J35" s="99" t="str">
        <f>IF(Tabla19[[#This Row],[Comp1]]="","",COUNTIFS(TablaMaq1[Componente],Tabla19[[#This Row],[Comp1]],TablaMaq1[ID_Pedido],'2.C_Datos'!A35)+
COUNTIFS(TablaMaq2[Componente],Tabla19[[#This Row],[Comp1]],TablaMaq2[ID_Pedido],'2.C_Datos'!A35)+
COUNTIFS(TablaMaq3[Componente],Tabla19[[#This Row],[Comp1]],TablaMaq3[ID_Pedido],'2.C_Datos'!A35)+
COUNTIFS(TablaMaq4[Componente],Tabla19[[#This Row],[Comp1]],TablaMaq4[ID_Pedido],'2.C_Datos'!A35))</f>
        <v/>
      </c>
      <c r="K35" s="99" t="str">
        <f>IF(Tabla19[[#This Row],[Comp2]]="","",COUNTIFS(TablaMaq1[Componente],Tabla19[[#This Row],[Comp2]],TablaMaq1[ID_Pedido],'2.C_Datos'!A35)+
COUNTIFS(TablaMaq2[Componente],Tabla19[[#This Row],[Comp2]],TablaMaq2[ID_Pedido],'2.C_Datos'!A35)+
COUNTIFS(TablaMaq3[Componente],Tabla19[[#This Row],[Comp2]],TablaMaq3[ID_Pedido],'2.C_Datos'!A35)+
COUNTIFS(TablaMaq4[Componente],Tabla19[[#This Row],[Comp2]],TablaMaq4[ID_Pedido],'2.C_Datos'!A35))</f>
        <v/>
      </c>
      <c r="L35" s="99" t="str">
        <f>IF(Tabla19[[#This Row],[Comp3]]="","",COUNTIFS(TablaMaq1[Componente],Tabla19[[#This Row],[Comp3]],TablaMaq1[ID_Pedido],'2.C_Datos'!A35)+
COUNTIFS(TablaMaq2[Componente],Tabla19[[#This Row],[Comp3]],TablaMaq2[ID_Pedido],'2.C_Datos'!A35)+
COUNTIFS(TablaMaq3[Componente],Tabla19[[#This Row],[Comp3]],TablaMaq3[ID_Pedido],'2.C_Datos'!A35)+
COUNTIFS(TablaMaq4[Componente],Tabla19[[#This Row],[Comp3]],TablaMaq4[ID_Pedido],'2.C_Datos'!A35))</f>
        <v/>
      </c>
      <c r="M35" s="99" t="str">
        <f>IF(Tabla19[[#This Row],[Comp4]]="","",COUNTIFS(TablaMaq1[Componente],Tabla19[[#This Row],[Comp4]],TablaMaq1[ID_Pedido],'2.C_Datos'!A35)+
COUNTIFS(TablaMaq2[Componente],Tabla19[[#This Row],[Comp4]],TablaMaq2[ID_Pedido],'2.C_Datos'!A35)+
COUNTIFS(TablaMaq3[Componente],Tabla19[[#This Row],[Comp4]],TablaMaq3[ID_Pedido],'2.C_Datos'!A35)+
COUNTIFS(TablaMaq4[Componente],Tabla19[[#This Row],[Comp4]],TablaMaq4[ID_Pedido],'2.C_Datos'!A35))</f>
        <v/>
      </c>
      <c r="N35" s="99" t="str">
        <f>IF(Tabla19[[#This Row],[Comp5]]="","",COUNTIFS(TablaMaq1[Componente],Tabla19[[#This Row],[Comp5]],TablaMaq1[ID_Pedido],'2.C_Datos'!A35)+
COUNTIFS(TablaMaq1[Componente],Tabla19[[#This Row],[Comp5]],TablaMaq2[ID_Pedido],'2.C_Datos'!A35)+
COUNTIFS(TablaMaq1[Componente],Tabla19[[#This Row],[Comp5]],TablaMaq3[ID_Pedido],'2.C_Datos'!A35)+
COUNTIFS(TablaMaq1[Componente],Tabla19[[#This Row],[Comp5]],TablaMaq4[ID_Pedido],'2.C_Datos'!A35))</f>
        <v/>
      </c>
      <c r="O35" s="85" t="str">
        <f>IF(Tabla19[[#This Row],[Comp1]]="","",
IF(IF(Tabla19[[#This Row],[Comp1]]=0,0,1)*$D35-Tabla19[[#This Row],[Asign1]]=0,0,Tabla19[[#This Row],[Comp1]]))</f>
        <v/>
      </c>
      <c r="P35" s="85" t="str">
        <f>IF(Tabla19[[#This Row],[Comp2]]="","",
IF(IF(Tabla19[[#This Row],[Comp2]]=0,0,1)*$D35-Tabla19[[#This Row],[Asign2]]=0,0,Tabla19[[#This Row],[Comp2]]))</f>
        <v/>
      </c>
      <c r="Q35" s="85" t="str">
        <f>IF(Tabla19[[#This Row],[Comp3]]="","",
IF(IF(Tabla19[[#This Row],[Comp3]]=0,0,1)*$D35-Tabla19[[#This Row],[Asign3]]=0,0,Tabla19[[#This Row],[Comp3]]))</f>
        <v/>
      </c>
      <c r="R35" s="85" t="str">
        <f>IF(Tabla19[[#This Row],[Comp4]]="","",
IF(IF(Tabla19[[#This Row],[Comp4]]=0,0,1)*$D35-Tabla19[[#This Row],[Asign4]]=0,0,Tabla19[[#This Row],[Comp4]]))</f>
        <v/>
      </c>
      <c r="S35" s="85" t="str">
        <f>IF(Tabla19[[#This Row],[Comp5]]="","",
IF(IF(Tabla19[[#This Row],[Comp5]]=0,0,1)*$D35-Tabla19[[#This Row],[Asign5]]=0,0,Tabla19[[#This Row],[Comp5]]))</f>
        <v/>
      </c>
    </row>
    <row r="36" spans="5:19" x14ac:dyDescent="0.3">
      <c r="E36" s="99" t="str">
        <f>IF($A36="","",INDEX(ListadoProductos[],MATCH('2.C_Datos'!$C36,ListadoProductos[Productos],0),MATCH('2.C_Datos'!E$3,ListadoProductos[#Headers],0)))</f>
        <v/>
      </c>
      <c r="F36" s="99" t="str">
        <f>IF($A36="","",INDEX(ListadoProductos[],MATCH('2.C_Datos'!$C36,ListadoProductos[Productos],0),MATCH('2.C_Datos'!F$3,ListadoProductos[#Headers],0)))</f>
        <v/>
      </c>
      <c r="G36" s="99" t="str">
        <f>IF($A36="","",INDEX(ListadoProductos[],MATCH('2.C_Datos'!$C36,ListadoProductos[Productos],0),MATCH('2.C_Datos'!G$3,ListadoProductos[#Headers],0)))</f>
        <v/>
      </c>
      <c r="H36" s="99" t="str">
        <f>IF($A36="","",INDEX(ListadoProductos[],MATCH('2.C_Datos'!$C36,ListadoProductos[Productos],0),MATCH('2.C_Datos'!H$3,ListadoProductos[#Headers],0)))</f>
        <v/>
      </c>
      <c r="I36" s="99" t="str">
        <f>IF($A36="","",INDEX(ListadoProductos[],MATCH('2.C_Datos'!$C36,ListadoProductos[Productos],0),MATCH('2.C_Datos'!I$3,ListadoProductos[#Headers],0)))</f>
        <v/>
      </c>
      <c r="J36" s="99" t="str">
        <f>IF(Tabla19[[#This Row],[Comp1]]="","",COUNTIFS(TablaMaq1[Componente],Tabla19[[#This Row],[Comp1]],TablaMaq1[ID_Pedido],'2.C_Datos'!A36)+
COUNTIFS(TablaMaq2[Componente],Tabla19[[#This Row],[Comp1]],TablaMaq2[ID_Pedido],'2.C_Datos'!A36)+
COUNTIFS(TablaMaq3[Componente],Tabla19[[#This Row],[Comp1]],TablaMaq3[ID_Pedido],'2.C_Datos'!A36)+
COUNTIFS(TablaMaq4[Componente],Tabla19[[#This Row],[Comp1]],TablaMaq4[ID_Pedido],'2.C_Datos'!A36))</f>
        <v/>
      </c>
      <c r="K36" s="99" t="str">
        <f>IF(Tabla19[[#This Row],[Comp2]]="","",COUNTIFS(TablaMaq1[Componente],Tabla19[[#This Row],[Comp2]],TablaMaq1[ID_Pedido],'2.C_Datos'!A36)+
COUNTIFS(TablaMaq2[Componente],Tabla19[[#This Row],[Comp2]],TablaMaq2[ID_Pedido],'2.C_Datos'!A36)+
COUNTIFS(TablaMaq3[Componente],Tabla19[[#This Row],[Comp2]],TablaMaq3[ID_Pedido],'2.C_Datos'!A36)+
COUNTIFS(TablaMaq4[Componente],Tabla19[[#This Row],[Comp2]],TablaMaq4[ID_Pedido],'2.C_Datos'!A36))</f>
        <v/>
      </c>
      <c r="L36" s="99" t="str">
        <f>IF(Tabla19[[#This Row],[Comp3]]="","",COUNTIFS(TablaMaq1[Componente],Tabla19[[#This Row],[Comp3]],TablaMaq1[ID_Pedido],'2.C_Datos'!A36)+
COUNTIFS(TablaMaq2[Componente],Tabla19[[#This Row],[Comp3]],TablaMaq2[ID_Pedido],'2.C_Datos'!A36)+
COUNTIFS(TablaMaq3[Componente],Tabla19[[#This Row],[Comp3]],TablaMaq3[ID_Pedido],'2.C_Datos'!A36)+
COUNTIFS(TablaMaq4[Componente],Tabla19[[#This Row],[Comp3]],TablaMaq4[ID_Pedido],'2.C_Datos'!A36))</f>
        <v/>
      </c>
      <c r="M36" s="99" t="str">
        <f>IF(Tabla19[[#This Row],[Comp4]]="","",COUNTIFS(TablaMaq1[Componente],Tabla19[[#This Row],[Comp4]],TablaMaq1[ID_Pedido],'2.C_Datos'!A36)+
COUNTIFS(TablaMaq2[Componente],Tabla19[[#This Row],[Comp4]],TablaMaq2[ID_Pedido],'2.C_Datos'!A36)+
COUNTIFS(TablaMaq3[Componente],Tabla19[[#This Row],[Comp4]],TablaMaq3[ID_Pedido],'2.C_Datos'!A36)+
COUNTIFS(TablaMaq4[Componente],Tabla19[[#This Row],[Comp4]],TablaMaq4[ID_Pedido],'2.C_Datos'!A36))</f>
        <v/>
      </c>
      <c r="N36" s="99" t="str">
        <f>IF(Tabla19[[#This Row],[Comp5]]="","",COUNTIFS(TablaMaq1[Componente],Tabla19[[#This Row],[Comp5]],TablaMaq1[ID_Pedido],'2.C_Datos'!A36)+
COUNTIFS(TablaMaq1[Componente],Tabla19[[#This Row],[Comp5]],TablaMaq2[ID_Pedido],'2.C_Datos'!A36)+
COUNTIFS(TablaMaq1[Componente],Tabla19[[#This Row],[Comp5]],TablaMaq3[ID_Pedido],'2.C_Datos'!A36)+
COUNTIFS(TablaMaq1[Componente],Tabla19[[#This Row],[Comp5]],TablaMaq4[ID_Pedido],'2.C_Datos'!A36))</f>
        <v/>
      </c>
      <c r="O36" s="85" t="str">
        <f>IF(Tabla19[[#This Row],[Comp1]]="","",
IF(IF(Tabla19[[#This Row],[Comp1]]=0,0,1)*$D36-Tabla19[[#This Row],[Asign1]]=0,0,Tabla19[[#This Row],[Comp1]]))</f>
        <v/>
      </c>
      <c r="P36" s="85" t="str">
        <f>IF(Tabla19[[#This Row],[Comp2]]="","",
IF(IF(Tabla19[[#This Row],[Comp2]]=0,0,1)*$D36-Tabla19[[#This Row],[Asign2]]=0,0,Tabla19[[#This Row],[Comp2]]))</f>
        <v/>
      </c>
      <c r="Q36" s="85" t="str">
        <f>IF(Tabla19[[#This Row],[Comp3]]="","",
IF(IF(Tabla19[[#This Row],[Comp3]]=0,0,1)*$D36-Tabla19[[#This Row],[Asign3]]=0,0,Tabla19[[#This Row],[Comp3]]))</f>
        <v/>
      </c>
      <c r="R36" s="85" t="str">
        <f>IF(Tabla19[[#This Row],[Comp4]]="","",
IF(IF(Tabla19[[#This Row],[Comp4]]=0,0,1)*$D36-Tabla19[[#This Row],[Asign4]]=0,0,Tabla19[[#This Row],[Comp4]]))</f>
        <v/>
      </c>
      <c r="S36" s="85" t="str">
        <f>IF(Tabla19[[#This Row],[Comp5]]="","",
IF(IF(Tabla19[[#This Row],[Comp5]]=0,0,1)*$D36-Tabla19[[#This Row],[Asign5]]=0,0,Tabla19[[#This Row],[Comp5]]))</f>
        <v/>
      </c>
    </row>
    <row r="37" spans="5:19" x14ac:dyDescent="0.3">
      <c r="E37" s="99" t="str">
        <f>IF($A37="","",INDEX(ListadoProductos[],MATCH('2.C_Datos'!$C37,ListadoProductos[Productos],0),MATCH('2.C_Datos'!E$3,ListadoProductos[#Headers],0)))</f>
        <v/>
      </c>
      <c r="F37" s="99" t="str">
        <f>IF($A37="","",INDEX(ListadoProductos[],MATCH('2.C_Datos'!$C37,ListadoProductos[Productos],0),MATCH('2.C_Datos'!F$3,ListadoProductos[#Headers],0)))</f>
        <v/>
      </c>
      <c r="G37" s="99" t="str">
        <f>IF($A37="","",INDEX(ListadoProductos[],MATCH('2.C_Datos'!$C37,ListadoProductos[Productos],0),MATCH('2.C_Datos'!G$3,ListadoProductos[#Headers],0)))</f>
        <v/>
      </c>
      <c r="H37" s="99" t="str">
        <f>IF($A37="","",INDEX(ListadoProductos[],MATCH('2.C_Datos'!$C37,ListadoProductos[Productos],0),MATCH('2.C_Datos'!H$3,ListadoProductos[#Headers],0)))</f>
        <v/>
      </c>
      <c r="I37" s="99" t="str">
        <f>IF($A37="","",INDEX(ListadoProductos[],MATCH('2.C_Datos'!$C37,ListadoProductos[Productos],0),MATCH('2.C_Datos'!I$3,ListadoProductos[#Headers],0)))</f>
        <v/>
      </c>
      <c r="J37" s="99" t="str">
        <f>IF(Tabla19[[#This Row],[Comp1]]="","",COUNTIFS(TablaMaq1[Componente],Tabla19[[#This Row],[Comp1]],TablaMaq1[ID_Pedido],'2.C_Datos'!A37)+
COUNTIFS(TablaMaq2[Componente],Tabla19[[#This Row],[Comp1]],TablaMaq2[ID_Pedido],'2.C_Datos'!A37)+
COUNTIFS(TablaMaq3[Componente],Tabla19[[#This Row],[Comp1]],TablaMaq3[ID_Pedido],'2.C_Datos'!A37)+
COUNTIFS(TablaMaq4[Componente],Tabla19[[#This Row],[Comp1]],TablaMaq4[ID_Pedido],'2.C_Datos'!A37))</f>
        <v/>
      </c>
      <c r="K37" s="99" t="str">
        <f>IF(Tabla19[[#This Row],[Comp2]]="","",COUNTIFS(TablaMaq1[Componente],Tabla19[[#This Row],[Comp2]],TablaMaq1[ID_Pedido],'2.C_Datos'!A37)+
COUNTIFS(TablaMaq2[Componente],Tabla19[[#This Row],[Comp2]],TablaMaq2[ID_Pedido],'2.C_Datos'!A37)+
COUNTIFS(TablaMaq3[Componente],Tabla19[[#This Row],[Comp2]],TablaMaq3[ID_Pedido],'2.C_Datos'!A37)+
COUNTIFS(TablaMaq4[Componente],Tabla19[[#This Row],[Comp2]],TablaMaq4[ID_Pedido],'2.C_Datos'!A37))</f>
        <v/>
      </c>
      <c r="L37" s="99" t="str">
        <f>IF(Tabla19[[#This Row],[Comp3]]="","",COUNTIFS(TablaMaq1[Componente],Tabla19[[#This Row],[Comp3]],TablaMaq1[ID_Pedido],'2.C_Datos'!A37)+
COUNTIFS(TablaMaq2[Componente],Tabla19[[#This Row],[Comp3]],TablaMaq2[ID_Pedido],'2.C_Datos'!A37)+
COUNTIFS(TablaMaq3[Componente],Tabla19[[#This Row],[Comp3]],TablaMaq3[ID_Pedido],'2.C_Datos'!A37)+
COUNTIFS(TablaMaq4[Componente],Tabla19[[#This Row],[Comp3]],TablaMaq4[ID_Pedido],'2.C_Datos'!A37))</f>
        <v/>
      </c>
      <c r="M37" s="99" t="str">
        <f>IF(Tabla19[[#This Row],[Comp4]]="","",COUNTIFS(TablaMaq1[Componente],Tabla19[[#This Row],[Comp4]],TablaMaq1[ID_Pedido],'2.C_Datos'!A37)+
COUNTIFS(TablaMaq2[Componente],Tabla19[[#This Row],[Comp4]],TablaMaq2[ID_Pedido],'2.C_Datos'!A37)+
COUNTIFS(TablaMaq3[Componente],Tabla19[[#This Row],[Comp4]],TablaMaq3[ID_Pedido],'2.C_Datos'!A37)+
COUNTIFS(TablaMaq4[Componente],Tabla19[[#This Row],[Comp4]],TablaMaq4[ID_Pedido],'2.C_Datos'!A37))</f>
        <v/>
      </c>
      <c r="N37" s="99" t="str">
        <f>IF(Tabla19[[#This Row],[Comp5]]="","",COUNTIFS(TablaMaq1[Componente],Tabla19[[#This Row],[Comp5]],TablaMaq1[ID_Pedido],'2.C_Datos'!A37)+
COUNTIFS(TablaMaq1[Componente],Tabla19[[#This Row],[Comp5]],TablaMaq2[ID_Pedido],'2.C_Datos'!A37)+
COUNTIFS(TablaMaq1[Componente],Tabla19[[#This Row],[Comp5]],TablaMaq3[ID_Pedido],'2.C_Datos'!A37)+
COUNTIFS(TablaMaq1[Componente],Tabla19[[#This Row],[Comp5]],TablaMaq4[ID_Pedido],'2.C_Datos'!A37))</f>
        <v/>
      </c>
      <c r="O37" s="85" t="str">
        <f>IF(Tabla19[[#This Row],[Comp1]]="","",
IF(IF(Tabla19[[#This Row],[Comp1]]=0,0,1)*$D37-Tabla19[[#This Row],[Asign1]]=0,0,Tabla19[[#This Row],[Comp1]]))</f>
        <v/>
      </c>
      <c r="P37" s="85" t="str">
        <f>IF(Tabla19[[#This Row],[Comp2]]="","",
IF(IF(Tabla19[[#This Row],[Comp2]]=0,0,1)*$D37-Tabla19[[#This Row],[Asign2]]=0,0,Tabla19[[#This Row],[Comp2]]))</f>
        <v/>
      </c>
      <c r="Q37" s="85" t="str">
        <f>IF(Tabla19[[#This Row],[Comp3]]="","",
IF(IF(Tabla19[[#This Row],[Comp3]]=0,0,1)*$D37-Tabla19[[#This Row],[Asign3]]=0,0,Tabla19[[#This Row],[Comp3]]))</f>
        <v/>
      </c>
      <c r="R37" s="85" t="str">
        <f>IF(Tabla19[[#This Row],[Comp4]]="","",
IF(IF(Tabla19[[#This Row],[Comp4]]=0,0,1)*$D37-Tabla19[[#This Row],[Asign4]]=0,0,Tabla19[[#This Row],[Comp4]]))</f>
        <v/>
      </c>
      <c r="S37" s="85" t="str">
        <f>IF(Tabla19[[#This Row],[Comp5]]="","",
IF(IF(Tabla19[[#This Row],[Comp5]]=0,0,1)*$D37-Tabla19[[#This Row],[Asign5]]=0,0,Tabla19[[#This Row],[Comp5]]))</f>
        <v/>
      </c>
    </row>
    <row r="38" spans="5:19" x14ac:dyDescent="0.3">
      <c r="E38" s="99" t="str">
        <f>IF($A38="","",INDEX(ListadoProductos[],MATCH('2.C_Datos'!$C38,ListadoProductos[Productos],0),MATCH('2.C_Datos'!E$3,ListadoProductos[#Headers],0)))</f>
        <v/>
      </c>
      <c r="F38" s="99" t="str">
        <f>IF($A38="","",INDEX(ListadoProductos[],MATCH('2.C_Datos'!$C38,ListadoProductos[Productos],0),MATCH('2.C_Datos'!F$3,ListadoProductos[#Headers],0)))</f>
        <v/>
      </c>
      <c r="G38" s="99" t="str">
        <f>IF($A38="","",INDEX(ListadoProductos[],MATCH('2.C_Datos'!$C38,ListadoProductos[Productos],0),MATCH('2.C_Datos'!G$3,ListadoProductos[#Headers],0)))</f>
        <v/>
      </c>
      <c r="H38" s="99" t="str">
        <f>IF($A38="","",INDEX(ListadoProductos[],MATCH('2.C_Datos'!$C38,ListadoProductos[Productos],0),MATCH('2.C_Datos'!H$3,ListadoProductos[#Headers],0)))</f>
        <v/>
      </c>
      <c r="I38" s="99" t="str">
        <f>IF($A38="","",INDEX(ListadoProductos[],MATCH('2.C_Datos'!$C38,ListadoProductos[Productos],0),MATCH('2.C_Datos'!I$3,ListadoProductos[#Headers],0)))</f>
        <v/>
      </c>
      <c r="J38" s="99" t="str">
        <f>IF(Tabla19[[#This Row],[Comp1]]="","",COUNTIFS(TablaMaq1[Componente],Tabla19[[#This Row],[Comp1]],TablaMaq1[ID_Pedido],'2.C_Datos'!A38)+
COUNTIFS(TablaMaq2[Componente],Tabla19[[#This Row],[Comp1]],TablaMaq2[ID_Pedido],'2.C_Datos'!A38)+
COUNTIFS(TablaMaq3[Componente],Tabla19[[#This Row],[Comp1]],TablaMaq3[ID_Pedido],'2.C_Datos'!A38)+
COUNTIFS(TablaMaq4[Componente],Tabla19[[#This Row],[Comp1]],TablaMaq4[ID_Pedido],'2.C_Datos'!A38))</f>
        <v/>
      </c>
      <c r="K38" s="99" t="str">
        <f>IF(Tabla19[[#This Row],[Comp2]]="","",COUNTIFS(TablaMaq1[Componente],Tabla19[[#This Row],[Comp2]],TablaMaq1[ID_Pedido],'2.C_Datos'!A38)+
COUNTIFS(TablaMaq2[Componente],Tabla19[[#This Row],[Comp2]],TablaMaq2[ID_Pedido],'2.C_Datos'!A38)+
COUNTIFS(TablaMaq3[Componente],Tabla19[[#This Row],[Comp2]],TablaMaq3[ID_Pedido],'2.C_Datos'!A38)+
COUNTIFS(TablaMaq4[Componente],Tabla19[[#This Row],[Comp2]],TablaMaq4[ID_Pedido],'2.C_Datos'!A38))</f>
        <v/>
      </c>
      <c r="L38" s="99" t="str">
        <f>IF(Tabla19[[#This Row],[Comp3]]="","",COUNTIFS(TablaMaq1[Componente],Tabla19[[#This Row],[Comp3]],TablaMaq1[ID_Pedido],'2.C_Datos'!A38)+
COUNTIFS(TablaMaq2[Componente],Tabla19[[#This Row],[Comp3]],TablaMaq2[ID_Pedido],'2.C_Datos'!A38)+
COUNTIFS(TablaMaq3[Componente],Tabla19[[#This Row],[Comp3]],TablaMaq3[ID_Pedido],'2.C_Datos'!A38)+
COUNTIFS(TablaMaq4[Componente],Tabla19[[#This Row],[Comp3]],TablaMaq4[ID_Pedido],'2.C_Datos'!A38))</f>
        <v/>
      </c>
      <c r="M38" s="99" t="str">
        <f>IF(Tabla19[[#This Row],[Comp4]]="","",COUNTIFS(TablaMaq1[Componente],Tabla19[[#This Row],[Comp4]],TablaMaq1[ID_Pedido],'2.C_Datos'!A38)+
COUNTIFS(TablaMaq2[Componente],Tabla19[[#This Row],[Comp4]],TablaMaq2[ID_Pedido],'2.C_Datos'!A38)+
COUNTIFS(TablaMaq3[Componente],Tabla19[[#This Row],[Comp4]],TablaMaq3[ID_Pedido],'2.C_Datos'!A38)+
COUNTIFS(TablaMaq4[Componente],Tabla19[[#This Row],[Comp4]],TablaMaq4[ID_Pedido],'2.C_Datos'!A38))</f>
        <v/>
      </c>
      <c r="N38" s="99" t="str">
        <f>IF(Tabla19[[#This Row],[Comp5]]="","",COUNTIFS(TablaMaq1[Componente],Tabla19[[#This Row],[Comp5]],TablaMaq1[ID_Pedido],'2.C_Datos'!A38)+
COUNTIFS(TablaMaq1[Componente],Tabla19[[#This Row],[Comp5]],TablaMaq2[ID_Pedido],'2.C_Datos'!A38)+
COUNTIFS(TablaMaq1[Componente],Tabla19[[#This Row],[Comp5]],TablaMaq3[ID_Pedido],'2.C_Datos'!A38)+
COUNTIFS(TablaMaq1[Componente],Tabla19[[#This Row],[Comp5]],TablaMaq4[ID_Pedido],'2.C_Datos'!A38))</f>
        <v/>
      </c>
      <c r="O38" s="85" t="str">
        <f>IF(Tabla19[[#This Row],[Comp1]]="","",
IF(IF(Tabla19[[#This Row],[Comp1]]=0,0,1)*$D38-Tabla19[[#This Row],[Asign1]]=0,0,Tabla19[[#This Row],[Comp1]]))</f>
        <v/>
      </c>
      <c r="P38" s="85" t="str">
        <f>IF(Tabla19[[#This Row],[Comp2]]="","",
IF(IF(Tabla19[[#This Row],[Comp2]]=0,0,1)*$D38-Tabla19[[#This Row],[Asign2]]=0,0,Tabla19[[#This Row],[Comp2]]))</f>
        <v/>
      </c>
      <c r="Q38" s="85" t="str">
        <f>IF(Tabla19[[#This Row],[Comp3]]="","",
IF(IF(Tabla19[[#This Row],[Comp3]]=0,0,1)*$D38-Tabla19[[#This Row],[Asign3]]=0,0,Tabla19[[#This Row],[Comp3]]))</f>
        <v/>
      </c>
      <c r="R38" s="85" t="str">
        <f>IF(Tabla19[[#This Row],[Comp4]]="","",
IF(IF(Tabla19[[#This Row],[Comp4]]=0,0,1)*$D38-Tabla19[[#This Row],[Asign4]]=0,0,Tabla19[[#This Row],[Comp4]]))</f>
        <v/>
      </c>
      <c r="S38" s="85" t="str">
        <f>IF(Tabla19[[#This Row],[Comp5]]="","",
IF(IF(Tabla19[[#This Row],[Comp5]]=0,0,1)*$D38-Tabla19[[#This Row],[Asign5]]=0,0,Tabla19[[#This Row],[Comp5]]))</f>
        <v/>
      </c>
    </row>
    <row r="39" spans="5:19" x14ac:dyDescent="0.3">
      <c r="E39" s="99" t="str">
        <f>IF($A39="","",INDEX(ListadoProductos[],MATCH('2.C_Datos'!$C39,ListadoProductos[Productos],0),MATCH('2.C_Datos'!E$3,ListadoProductos[#Headers],0)))</f>
        <v/>
      </c>
      <c r="F39" s="99" t="str">
        <f>IF($A39="","",INDEX(ListadoProductos[],MATCH('2.C_Datos'!$C39,ListadoProductos[Productos],0),MATCH('2.C_Datos'!F$3,ListadoProductos[#Headers],0)))</f>
        <v/>
      </c>
      <c r="G39" s="99" t="str">
        <f>IF($A39="","",INDEX(ListadoProductos[],MATCH('2.C_Datos'!$C39,ListadoProductos[Productos],0),MATCH('2.C_Datos'!G$3,ListadoProductos[#Headers],0)))</f>
        <v/>
      </c>
      <c r="H39" s="99" t="str">
        <f>IF($A39="","",INDEX(ListadoProductos[],MATCH('2.C_Datos'!$C39,ListadoProductos[Productos],0),MATCH('2.C_Datos'!H$3,ListadoProductos[#Headers],0)))</f>
        <v/>
      </c>
      <c r="I39" s="99" t="str">
        <f>IF($A39="","",INDEX(ListadoProductos[],MATCH('2.C_Datos'!$C39,ListadoProductos[Productos],0),MATCH('2.C_Datos'!I$3,ListadoProductos[#Headers],0)))</f>
        <v/>
      </c>
      <c r="J39" s="99" t="str">
        <f>IF(Tabla19[[#This Row],[Comp1]]="","",COUNTIFS(TablaMaq1[Componente],Tabla19[[#This Row],[Comp1]],TablaMaq1[ID_Pedido],'2.C_Datos'!A39)+
COUNTIFS(TablaMaq2[Componente],Tabla19[[#This Row],[Comp1]],TablaMaq2[ID_Pedido],'2.C_Datos'!A39)+
COUNTIFS(TablaMaq3[Componente],Tabla19[[#This Row],[Comp1]],TablaMaq3[ID_Pedido],'2.C_Datos'!A39)+
COUNTIFS(TablaMaq4[Componente],Tabla19[[#This Row],[Comp1]],TablaMaq4[ID_Pedido],'2.C_Datos'!A39))</f>
        <v/>
      </c>
      <c r="K39" s="99" t="str">
        <f>IF(Tabla19[[#This Row],[Comp2]]="","",COUNTIFS(TablaMaq1[Componente],Tabla19[[#This Row],[Comp2]],TablaMaq1[ID_Pedido],'2.C_Datos'!A39)+
COUNTIFS(TablaMaq2[Componente],Tabla19[[#This Row],[Comp2]],TablaMaq2[ID_Pedido],'2.C_Datos'!A39)+
COUNTIFS(TablaMaq3[Componente],Tabla19[[#This Row],[Comp2]],TablaMaq3[ID_Pedido],'2.C_Datos'!A39)+
COUNTIFS(TablaMaq4[Componente],Tabla19[[#This Row],[Comp2]],TablaMaq4[ID_Pedido],'2.C_Datos'!A39))</f>
        <v/>
      </c>
      <c r="L39" s="99" t="str">
        <f>IF(Tabla19[[#This Row],[Comp3]]="","",COUNTIFS(TablaMaq1[Componente],Tabla19[[#This Row],[Comp3]],TablaMaq1[ID_Pedido],'2.C_Datos'!A39)+
COUNTIFS(TablaMaq2[Componente],Tabla19[[#This Row],[Comp3]],TablaMaq2[ID_Pedido],'2.C_Datos'!A39)+
COUNTIFS(TablaMaq3[Componente],Tabla19[[#This Row],[Comp3]],TablaMaq3[ID_Pedido],'2.C_Datos'!A39)+
COUNTIFS(TablaMaq4[Componente],Tabla19[[#This Row],[Comp3]],TablaMaq4[ID_Pedido],'2.C_Datos'!A39))</f>
        <v/>
      </c>
      <c r="M39" s="99" t="str">
        <f>IF(Tabla19[[#This Row],[Comp4]]="","",COUNTIFS(TablaMaq1[Componente],Tabla19[[#This Row],[Comp4]],TablaMaq1[ID_Pedido],'2.C_Datos'!A39)+
COUNTIFS(TablaMaq2[Componente],Tabla19[[#This Row],[Comp4]],TablaMaq2[ID_Pedido],'2.C_Datos'!A39)+
COUNTIFS(TablaMaq3[Componente],Tabla19[[#This Row],[Comp4]],TablaMaq3[ID_Pedido],'2.C_Datos'!A39)+
COUNTIFS(TablaMaq4[Componente],Tabla19[[#This Row],[Comp4]],TablaMaq4[ID_Pedido],'2.C_Datos'!A39))</f>
        <v/>
      </c>
      <c r="N39" s="99" t="str">
        <f>IF(Tabla19[[#This Row],[Comp5]]="","",COUNTIFS(TablaMaq1[Componente],Tabla19[[#This Row],[Comp5]],TablaMaq1[ID_Pedido],'2.C_Datos'!A39)+
COUNTIFS(TablaMaq1[Componente],Tabla19[[#This Row],[Comp5]],TablaMaq2[ID_Pedido],'2.C_Datos'!A39)+
COUNTIFS(TablaMaq1[Componente],Tabla19[[#This Row],[Comp5]],TablaMaq3[ID_Pedido],'2.C_Datos'!A39)+
COUNTIFS(TablaMaq1[Componente],Tabla19[[#This Row],[Comp5]],TablaMaq4[ID_Pedido],'2.C_Datos'!A39))</f>
        <v/>
      </c>
      <c r="O39" s="85" t="str">
        <f>IF(Tabla19[[#This Row],[Comp1]]="","",
IF(IF(Tabla19[[#This Row],[Comp1]]=0,0,1)*$D39-Tabla19[[#This Row],[Asign1]]=0,0,Tabla19[[#This Row],[Comp1]]))</f>
        <v/>
      </c>
      <c r="P39" s="85" t="str">
        <f>IF(Tabla19[[#This Row],[Comp2]]="","",
IF(IF(Tabla19[[#This Row],[Comp2]]=0,0,1)*$D39-Tabla19[[#This Row],[Asign2]]=0,0,Tabla19[[#This Row],[Comp2]]))</f>
        <v/>
      </c>
      <c r="Q39" s="85" t="str">
        <f>IF(Tabla19[[#This Row],[Comp3]]="","",
IF(IF(Tabla19[[#This Row],[Comp3]]=0,0,1)*$D39-Tabla19[[#This Row],[Asign3]]=0,0,Tabla19[[#This Row],[Comp3]]))</f>
        <v/>
      </c>
      <c r="R39" s="85" t="str">
        <f>IF(Tabla19[[#This Row],[Comp4]]="","",
IF(IF(Tabla19[[#This Row],[Comp4]]=0,0,1)*$D39-Tabla19[[#This Row],[Asign4]]=0,0,Tabla19[[#This Row],[Comp4]]))</f>
        <v/>
      </c>
      <c r="S39" s="85" t="str">
        <f>IF(Tabla19[[#This Row],[Comp5]]="","",
IF(IF(Tabla19[[#This Row],[Comp5]]=0,0,1)*$D39-Tabla19[[#This Row],[Asign5]]=0,0,Tabla19[[#This Row],[Comp5]]))</f>
        <v/>
      </c>
    </row>
    <row r="40" spans="5:19" x14ac:dyDescent="0.3">
      <c r="E40" s="99" t="str">
        <f>IF($A40="","",INDEX(ListadoProductos[],MATCH('2.C_Datos'!$C40,ListadoProductos[Productos],0),MATCH('2.C_Datos'!E$3,ListadoProductos[#Headers],0)))</f>
        <v/>
      </c>
      <c r="F40" s="99" t="str">
        <f>IF($A40="","",INDEX(ListadoProductos[],MATCH('2.C_Datos'!$C40,ListadoProductos[Productos],0),MATCH('2.C_Datos'!F$3,ListadoProductos[#Headers],0)))</f>
        <v/>
      </c>
      <c r="G40" s="99" t="str">
        <f>IF($A40="","",INDEX(ListadoProductos[],MATCH('2.C_Datos'!$C40,ListadoProductos[Productos],0),MATCH('2.C_Datos'!G$3,ListadoProductos[#Headers],0)))</f>
        <v/>
      </c>
      <c r="H40" s="99" t="str">
        <f>IF($A40="","",INDEX(ListadoProductos[],MATCH('2.C_Datos'!$C40,ListadoProductos[Productos],0),MATCH('2.C_Datos'!H$3,ListadoProductos[#Headers],0)))</f>
        <v/>
      </c>
      <c r="I40" s="99" t="str">
        <f>IF($A40="","",INDEX(ListadoProductos[],MATCH('2.C_Datos'!$C40,ListadoProductos[Productos],0),MATCH('2.C_Datos'!I$3,ListadoProductos[#Headers],0)))</f>
        <v/>
      </c>
      <c r="J40" s="99" t="str">
        <f>IF(Tabla19[[#This Row],[Comp1]]="","",COUNTIFS(TablaMaq1[Componente],Tabla19[[#This Row],[Comp1]],TablaMaq1[ID_Pedido],'2.C_Datos'!A40)+
COUNTIFS(TablaMaq2[Componente],Tabla19[[#This Row],[Comp1]],TablaMaq2[ID_Pedido],'2.C_Datos'!A40)+
COUNTIFS(TablaMaq3[Componente],Tabla19[[#This Row],[Comp1]],TablaMaq3[ID_Pedido],'2.C_Datos'!A40)+
COUNTIFS(TablaMaq4[Componente],Tabla19[[#This Row],[Comp1]],TablaMaq4[ID_Pedido],'2.C_Datos'!A40))</f>
        <v/>
      </c>
      <c r="K40" s="99" t="str">
        <f>IF(Tabla19[[#This Row],[Comp2]]="","",COUNTIFS(TablaMaq1[Componente],Tabla19[[#This Row],[Comp2]],TablaMaq1[ID_Pedido],'2.C_Datos'!A40)+
COUNTIFS(TablaMaq2[Componente],Tabla19[[#This Row],[Comp2]],TablaMaq2[ID_Pedido],'2.C_Datos'!A40)+
COUNTIFS(TablaMaq3[Componente],Tabla19[[#This Row],[Comp2]],TablaMaq3[ID_Pedido],'2.C_Datos'!A40)+
COUNTIFS(TablaMaq4[Componente],Tabla19[[#This Row],[Comp2]],TablaMaq4[ID_Pedido],'2.C_Datos'!A40))</f>
        <v/>
      </c>
      <c r="L40" s="99" t="str">
        <f>IF(Tabla19[[#This Row],[Comp3]]="","",COUNTIFS(TablaMaq1[Componente],Tabla19[[#This Row],[Comp3]],TablaMaq1[ID_Pedido],'2.C_Datos'!A40)+
COUNTIFS(TablaMaq2[Componente],Tabla19[[#This Row],[Comp3]],TablaMaq2[ID_Pedido],'2.C_Datos'!A40)+
COUNTIFS(TablaMaq3[Componente],Tabla19[[#This Row],[Comp3]],TablaMaq3[ID_Pedido],'2.C_Datos'!A40)+
COUNTIFS(TablaMaq4[Componente],Tabla19[[#This Row],[Comp3]],TablaMaq4[ID_Pedido],'2.C_Datos'!A40))</f>
        <v/>
      </c>
      <c r="M40" s="99" t="str">
        <f>IF(Tabla19[[#This Row],[Comp4]]="","",COUNTIFS(TablaMaq1[Componente],Tabla19[[#This Row],[Comp4]],TablaMaq1[ID_Pedido],'2.C_Datos'!A40)+
COUNTIFS(TablaMaq2[Componente],Tabla19[[#This Row],[Comp4]],TablaMaq2[ID_Pedido],'2.C_Datos'!A40)+
COUNTIFS(TablaMaq3[Componente],Tabla19[[#This Row],[Comp4]],TablaMaq3[ID_Pedido],'2.C_Datos'!A40)+
COUNTIFS(TablaMaq4[Componente],Tabla19[[#This Row],[Comp4]],TablaMaq4[ID_Pedido],'2.C_Datos'!A40))</f>
        <v/>
      </c>
      <c r="N40" s="99" t="str">
        <f>IF(Tabla19[[#This Row],[Comp5]]="","",COUNTIFS(TablaMaq1[Componente],Tabla19[[#This Row],[Comp5]],TablaMaq1[ID_Pedido],'2.C_Datos'!A40)+
COUNTIFS(TablaMaq1[Componente],Tabla19[[#This Row],[Comp5]],TablaMaq2[ID_Pedido],'2.C_Datos'!A40)+
COUNTIFS(TablaMaq1[Componente],Tabla19[[#This Row],[Comp5]],TablaMaq3[ID_Pedido],'2.C_Datos'!A40)+
COUNTIFS(TablaMaq1[Componente],Tabla19[[#This Row],[Comp5]],TablaMaq4[ID_Pedido],'2.C_Datos'!A40))</f>
        <v/>
      </c>
      <c r="O40" s="85" t="str">
        <f>IF(Tabla19[[#This Row],[Comp1]]="","",
IF(IF(Tabla19[[#This Row],[Comp1]]=0,0,1)*$D40-Tabla19[[#This Row],[Asign1]]=0,0,Tabla19[[#This Row],[Comp1]]))</f>
        <v/>
      </c>
      <c r="P40" s="85" t="str">
        <f>IF(Tabla19[[#This Row],[Comp2]]="","",
IF(IF(Tabla19[[#This Row],[Comp2]]=0,0,1)*$D40-Tabla19[[#This Row],[Asign2]]=0,0,Tabla19[[#This Row],[Comp2]]))</f>
        <v/>
      </c>
      <c r="Q40" s="85" t="str">
        <f>IF(Tabla19[[#This Row],[Comp3]]="","",
IF(IF(Tabla19[[#This Row],[Comp3]]=0,0,1)*$D40-Tabla19[[#This Row],[Asign3]]=0,0,Tabla19[[#This Row],[Comp3]]))</f>
        <v/>
      </c>
      <c r="R40" s="85" t="str">
        <f>IF(Tabla19[[#This Row],[Comp4]]="","",
IF(IF(Tabla19[[#This Row],[Comp4]]=0,0,1)*$D40-Tabla19[[#This Row],[Asign4]]=0,0,Tabla19[[#This Row],[Comp4]]))</f>
        <v/>
      </c>
      <c r="S40" s="85" t="str">
        <f>IF(Tabla19[[#This Row],[Comp5]]="","",
IF(IF(Tabla19[[#This Row],[Comp5]]=0,0,1)*$D40-Tabla19[[#This Row],[Asign5]]=0,0,Tabla19[[#This Row],[Comp5]]))</f>
        <v/>
      </c>
    </row>
    <row r="41" spans="5:19" x14ac:dyDescent="0.3">
      <c r="E41" s="99" t="str">
        <f>IF($A41="","",INDEX(ListadoProductos[],MATCH('2.C_Datos'!$C41,ListadoProductos[Productos],0),MATCH('2.C_Datos'!E$3,ListadoProductos[#Headers],0)))</f>
        <v/>
      </c>
      <c r="F41" s="99" t="str">
        <f>IF($A41="","",INDEX(ListadoProductos[],MATCH('2.C_Datos'!$C41,ListadoProductos[Productos],0),MATCH('2.C_Datos'!F$3,ListadoProductos[#Headers],0)))</f>
        <v/>
      </c>
      <c r="G41" s="99" t="str">
        <f>IF($A41="","",INDEX(ListadoProductos[],MATCH('2.C_Datos'!$C41,ListadoProductos[Productos],0),MATCH('2.C_Datos'!G$3,ListadoProductos[#Headers],0)))</f>
        <v/>
      </c>
      <c r="H41" s="99" t="str">
        <f>IF($A41="","",INDEX(ListadoProductos[],MATCH('2.C_Datos'!$C41,ListadoProductos[Productos],0),MATCH('2.C_Datos'!H$3,ListadoProductos[#Headers],0)))</f>
        <v/>
      </c>
      <c r="I41" s="99" t="str">
        <f>IF($A41="","",INDEX(ListadoProductos[],MATCH('2.C_Datos'!$C41,ListadoProductos[Productos],0),MATCH('2.C_Datos'!I$3,ListadoProductos[#Headers],0)))</f>
        <v/>
      </c>
      <c r="J41" s="99" t="str">
        <f>IF(Tabla19[[#This Row],[Comp1]]="","",COUNTIFS(TablaMaq1[Componente],Tabla19[[#This Row],[Comp1]],TablaMaq1[ID_Pedido],'2.C_Datos'!A41)+
COUNTIFS(TablaMaq2[Componente],Tabla19[[#This Row],[Comp1]],TablaMaq2[ID_Pedido],'2.C_Datos'!A41)+
COUNTIFS(TablaMaq3[Componente],Tabla19[[#This Row],[Comp1]],TablaMaq3[ID_Pedido],'2.C_Datos'!A41)+
COUNTIFS(TablaMaq4[Componente],Tabla19[[#This Row],[Comp1]],TablaMaq4[ID_Pedido],'2.C_Datos'!A41))</f>
        <v/>
      </c>
      <c r="K41" s="99" t="str">
        <f>IF(Tabla19[[#This Row],[Comp2]]="","",COUNTIFS(TablaMaq1[Componente],Tabla19[[#This Row],[Comp2]],TablaMaq1[ID_Pedido],'2.C_Datos'!A41)+
COUNTIFS(TablaMaq2[Componente],Tabla19[[#This Row],[Comp2]],TablaMaq2[ID_Pedido],'2.C_Datos'!A41)+
COUNTIFS(TablaMaq3[Componente],Tabla19[[#This Row],[Comp2]],TablaMaq3[ID_Pedido],'2.C_Datos'!A41)+
COUNTIFS(TablaMaq4[Componente],Tabla19[[#This Row],[Comp2]],TablaMaq4[ID_Pedido],'2.C_Datos'!A41))</f>
        <v/>
      </c>
      <c r="L41" s="99" t="str">
        <f>IF(Tabla19[[#This Row],[Comp3]]="","",COUNTIFS(TablaMaq1[Componente],Tabla19[[#This Row],[Comp3]],TablaMaq1[ID_Pedido],'2.C_Datos'!A41)+
COUNTIFS(TablaMaq2[Componente],Tabla19[[#This Row],[Comp3]],TablaMaq2[ID_Pedido],'2.C_Datos'!A41)+
COUNTIFS(TablaMaq3[Componente],Tabla19[[#This Row],[Comp3]],TablaMaq3[ID_Pedido],'2.C_Datos'!A41)+
COUNTIFS(TablaMaq4[Componente],Tabla19[[#This Row],[Comp3]],TablaMaq4[ID_Pedido],'2.C_Datos'!A41))</f>
        <v/>
      </c>
      <c r="M41" s="99" t="str">
        <f>IF(Tabla19[[#This Row],[Comp4]]="","",COUNTIFS(TablaMaq1[Componente],Tabla19[[#This Row],[Comp4]],TablaMaq1[ID_Pedido],'2.C_Datos'!A41)+
COUNTIFS(TablaMaq2[Componente],Tabla19[[#This Row],[Comp4]],TablaMaq2[ID_Pedido],'2.C_Datos'!A41)+
COUNTIFS(TablaMaq3[Componente],Tabla19[[#This Row],[Comp4]],TablaMaq3[ID_Pedido],'2.C_Datos'!A41)+
COUNTIFS(TablaMaq4[Componente],Tabla19[[#This Row],[Comp4]],TablaMaq4[ID_Pedido],'2.C_Datos'!A41))</f>
        <v/>
      </c>
      <c r="N41" s="99" t="str">
        <f>IF(Tabla19[[#This Row],[Comp5]]="","",COUNTIFS(TablaMaq1[Componente],Tabla19[[#This Row],[Comp5]],TablaMaq1[ID_Pedido],'2.C_Datos'!A41)+
COUNTIFS(TablaMaq1[Componente],Tabla19[[#This Row],[Comp5]],TablaMaq2[ID_Pedido],'2.C_Datos'!A41)+
COUNTIFS(TablaMaq1[Componente],Tabla19[[#This Row],[Comp5]],TablaMaq3[ID_Pedido],'2.C_Datos'!A41)+
COUNTIFS(TablaMaq1[Componente],Tabla19[[#This Row],[Comp5]],TablaMaq4[ID_Pedido],'2.C_Datos'!A41))</f>
        <v/>
      </c>
      <c r="O41" s="85" t="str">
        <f>IF(Tabla19[[#This Row],[Comp1]]="","",
IF(IF(Tabla19[[#This Row],[Comp1]]=0,0,1)*$D41-Tabla19[[#This Row],[Asign1]]=0,0,Tabla19[[#This Row],[Comp1]]))</f>
        <v/>
      </c>
      <c r="P41" s="85" t="str">
        <f>IF(Tabla19[[#This Row],[Comp2]]="","",
IF(IF(Tabla19[[#This Row],[Comp2]]=0,0,1)*$D41-Tabla19[[#This Row],[Asign2]]=0,0,Tabla19[[#This Row],[Comp2]]))</f>
        <v/>
      </c>
      <c r="Q41" s="85" t="str">
        <f>IF(Tabla19[[#This Row],[Comp3]]="","",
IF(IF(Tabla19[[#This Row],[Comp3]]=0,0,1)*$D41-Tabla19[[#This Row],[Asign3]]=0,0,Tabla19[[#This Row],[Comp3]]))</f>
        <v/>
      </c>
      <c r="R41" s="85" t="str">
        <f>IF(Tabla19[[#This Row],[Comp4]]="","",
IF(IF(Tabla19[[#This Row],[Comp4]]=0,0,1)*$D41-Tabla19[[#This Row],[Asign4]]=0,0,Tabla19[[#This Row],[Comp4]]))</f>
        <v/>
      </c>
      <c r="S41" s="85" t="str">
        <f>IF(Tabla19[[#This Row],[Comp5]]="","",
IF(IF(Tabla19[[#This Row],[Comp5]]=0,0,1)*$D41-Tabla19[[#This Row],[Asign5]]=0,0,Tabla19[[#This Row],[Comp5]]))</f>
        <v/>
      </c>
    </row>
    <row r="42" spans="5:19" x14ac:dyDescent="0.3">
      <c r="E42" s="99" t="str">
        <f>IF($A42="","",INDEX(ListadoProductos[],MATCH('2.C_Datos'!$C42,ListadoProductos[Productos],0),MATCH('2.C_Datos'!E$3,ListadoProductos[#Headers],0)))</f>
        <v/>
      </c>
      <c r="F42" s="99" t="str">
        <f>IF($A42="","",INDEX(ListadoProductos[],MATCH('2.C_Datos'!$C42,ListadoProductos[Productos],0),MATCH('2.C_Datos'!F$3,ListadoProductos[#Headers],0)))</f>
        <v/>
      </c>
      <c r="G42" s="99" t="str">
        <f>IF($A42="","",INDEX(ListadoProductos[],MATCH('2.C_Datos'!$C42,ListadoProductos[Productos],0),MATCH('2.C_Datos'!G$3,ListadoProductos[#Headers],0)))</f>
        <v/>
      </c>
      <c r="H42" s="99" t="str">
        <f>IF($A42="","",INDEX(ListadoProductos[],MATCH('2.C_Datos'!$C42,ListadoProductos[Productos],0),MATCH('2.C_Datos'!H$3,ListadoProductos[#Headers],0)))</f>
        <v/>
      </c>
      <c r="I42" s="99" t="str">
        <f>IF($A42="","",INDEX(ListadoProductos[],MATCH('2.C_Datos'!$C42,ListadoProductos[Productos],0),MATCH('2.C_Datos'!I$3,ListadoProductos[#Headers],0)))</f>
        <v/>
      </c>
      <c r="J42" s="99" t="str">
        <f>IF(Tabla19[[#This Row],[Comp1]]="","",COUNTIFS(TablaMaq1[Componente],Tabla19[[#This Row],[Comp1]],TablaMaq1[ID_Pedido],'2.C_Datos'!A42)+
COUNTIFS(TablaMaq2[Componente],Tabla19[[#This Row],[Comp1]],TablaMaq2[ID_Pedido],'2.C_Datos'!A42)+
COUNTIFS(TablaMaq3[Componente],Tabla19[[#This Row],[Comp1]],TablaMaq3[ID_Pedido],'2.C_Datos'!A42)+
COUNTIFS(TablaMaq4[Componente],Tabla19[[#This Row],[Comp1]],TablaMaq4[ID_Pedido],'2.C_Datos'!A42))</f>
        <v/>
      </c>
      <c r="K42" s="99" t="str">
        <f>IF(Tabla19[[#This Row],[Comp2]]="","",COUNTIFS(TablaMaq1[Componente],Tabla19[[#This Row],[Comp2]],TablaMaq1[ID_Pedido],'2.C_Datos'!A42)+
COUNTIFS(TablaMaq2[Componente],Tabla19[[#This Row],[Comp2]],TablaMaq2[ID_Pedido],'2.C_Datos'!A42)+
COUNTIFS(TablaMaq3[Componente],Tabla19[[#This Row],[Comp2]],TablaMaq3[ID_Pedido],'2.C_Datos'!A42)+
COUNTIFS(TablaMaq4[Componente],Tabla19[[#This Row],[Comp2]],TablaMaq4[ID_Pedido],'2.C_Datos'!A42))</f>
        <v/>
      </c>
      <c r="L42" s="99" t="str">
        <f>IF(Tabla19[[#This Row],[Comp3]]="","",COUNTIFS(TablaMaq1[Componente],Tabla19[[#This Row],[Comp3]],TablaMaq1[ID_Pedido],'2.C_Datos'!A42)+
COUNTIFS(TablaMaq2[Componente],Tabla19[[#This Row],[Comp3]],TablaMaq2[ID_Pedido],'2.C_Datos'!A42)+
COUNTIFS(TablaMaq3[Componente],Tabla19[[#This Row],[Comp3]],TablaMaq3[ID_Pedido],'2.C_Datos'!A42)+
COUNTIFS(TablaMaq4[Componente],Tabla19[[#This Row],[Comp3]],TablaMaq4[ID_Pedido],'2.C_Datos'!A42))</f>
        <v/>
      </c>
      <c r="M42" s="99" t="str">
        <f>IF(Tabla19[[#This Row],[Comp4]]="","",COUNTIFS(TablaMaq1[Componente],Tabla19[[#This Row],[Comp4]],TablaMaq1[ID_Pedido],'2.C_Datos'!A42)+
COUNTIFS(TablaMaq2[Componente],Tabla19[[#This Row],[Comp4]],TablaMaq2[ID_Pedido],'2.C_Datos'!A42)+
COUNTIFS(TablaMaq3[Componente],Tabla19[[#This Row],[Comp4]],TablaMaq3[ID_Pedido],'2.C_Datos'!A42)+
COUNTIFS(TablaMaq4[Componente],Tabla19[[#This Row],[Comp4]],TablaMaq4[ID_Pedido],'2.C_Datos'!A42))</f>
        <v/>
      </c>
      <c r="N42" s="99" t="str">
        <f>IF(Tabla19[[#This Row],[Comp5]]="","",COUNTIFS(TablaMaq1[Componente],Tabla19[[#This Row],[Comp5]],TablaMaq1[ID_Pedido],'2.C_Datos'!A42)+
COUNTIFS(TablaMaq1[Componente],Tabla19[[#This Row],[Comp5]],TablaMaq2[ID_Pedido],'2.C_Datos'!A42)+
COUNTIFS(TablaMaq1[Componente],Tabla19[[#This Row],[Comp5]],TablaMaq3[ID_Pedido],'2.C_Datos'!A42)+
COUNTIFS(TablaMaq1[Componente],Tabla19[[#This Row],[Comp5]],TablaMaq4[ID_Pedido],'2.C_Datos'!A42))</f>
        <v/>
      </c>
      <c r="O42" s="85" t="str">
        <f>IF(Tabla19[[#This Row],[Comp1]]="","",
IF(IF(Tabla19[[#This Row],[Comp1]]=0,0,1)*$D42-Tabla19[[#This Row],[Asign1]]=0,0,Tabla19[[#This Row],[Comp1]]))</f>
        <v/>
      </c>
      <c r="P42" s="85" t="str">
        <f>IF(Tabla19[[#This Row],[Comp2]]="","",
IF(IF(Tabla19[[#This Row],[Comp2]]=0,0,1)*$D42-Tabla19[[#This Row],[Asign2]]=0,0,Tabla19[[#This Row],[Comp2]]))</f>
        <v/>
      </c>
      <c r="Q42" s="85" t="str">
        <f>IF(Tabla19[[#This Row],[Comp3]]="","",
IF(IF(Tabla19[[#This Row],[Comp3]]=0,0,1)*$D42-Tabla19[[#This Row],[Asign3]]=0,0,Tabla19[[#This Row],[Comp3]]))</f>
        <v/>
      </c>
      <c r="R42" s="85" t="str">
        <f>IF(Tabla19[[#This Row],[Comp4]]="","",
IF(IF(Tabla19[[#This Row],[Comp4]]=0,0,1)*$D42-Tabla19[[#This Row],[Asign4]]=0,0,Tabla19[[#This Row],[Comp4]]))</f>
        <v/>
      </c>
      <c r="S42" s="85" t="str">
        <f>IF(Tabla19[[#This Row],[Comp5]]="","",
IF(IF(Tabla19[[#This Row],[Comp5]]=0,0,1)*$D42-Tabla19[[#This Row],[Asign5]]=0,0,Tabla19[[#This Row],[Comp5]]))</f>
        <v/>
      </c>
    </row>
    <row r="43" spans="5:19" x14ac:dyDescent="0.3">
      <c r="E43" s="99" t="str">
        <f>IF($A43="","",INDEX(ListadoProductos[],MATCH('2.C_Datos'!$C43,ListadoProductos[Productos],0),MATCH('2.C_Datos'!E$3,ListadoProductos[#Headers],0)))</f>
        <v/>
      </c>
      <c r="F43" s="99" t="str">
        <f>IF($A43="","",INDEX(ListadoProductos[],MATCH('2.C_Datos'!$C43,ListadoProductos[Productos],0),MATCH('2.C_Datos'!F$3,ListadoProductos[#Headers],0)))</f>
        <v/>
      </c>
      <c r="G43" s="99" t="str">
        <f>IF($A43="","",INDEX(ListadoProductos[],MATCH('2.C_Datos'!$C43,ListadoProductos[Productos],0),MATCH('2.C_Datos'!G$3,ListadoProductos[#Headers],0)))</f>
        <v/>
      </c>
      <c r="H43" s="99" t="str">
        <f>IF($A43="","",INDEX(ListadoProductos[],MATCH('2.C_Datos'!$C43,ListadoProductos[Productos],0),MATCH('2.C_Datos'!H$3,ListadoProductos[#Headers],0)))</f>
        <v/>
      </c>
      <c r="I43" s="99" t="str">
        <f>IF($A43="","",INDEX(ListadoProductos[],MATCH('2.C_Datos'!$C43,ListadoProductos[Productos],0),MATCH('2.C_Datos'!I$3,ListadoProductos[#Headers],0)))</f>
        <v/>
      </c>
      <c r="J43" s="99" t="str">
        <f>IF(Tabla19[[#This Row],[Comp1]]="","",COUNTIFS(TablaMaq1[Componente],Tabla19[[#This Row],[Comp1]],TablaMaq1[ID_Pedido],'2.C_Datos'!A43)+
COUNTIFS(TablaMaq2[Componente],Tabla19[[#This Row],[Comp1]],TablaMaq2[ID_Pedido],'2.C_Datos'!A43)+
COUNTIFS(TablaMaq3[Componente],Tabla19[[#This Row],[Comp1]],TablaMaq3[ID_Pedido],'2.C_Datos'!A43)+
COUNTIFS(TablaMaq4[Componente],Tabla19[[#This Row],[Comp1]],TablaMaq4[ID_Pedido],'2.C_Datos'!A43))</f>
        <v/>
      </c>
      <c r="K43" s="99" t="str">
        <f>IF(Tabla19[[#This Row],[Comp2]]="","",COUNTIFS(TablaMaq1[Componente],Tabla19[[#This Row],[Comp2]],TablaMaq1[ID_Pedido],'2.C_Datos'!A43)+
COUNTIFS(TablaMaq2[Componente],Tabla19[[#This Row],[Comp2]],TablaMaq2[ID_Pedido],'2.C_Datos'!A43)+
COUNTIFS(TablaMaq3[Componente],Tabla19[[#This Row],[Comp2]],TablaMaq3[ID_Pedido],'2.C_Datos'!A43)+
COUNTIFS(TablaMaq4[Componente],Tabla19[[#This Row],[Comp2]],TablaMaq4[ID_Pedido],'2.C_Datos'!A43))</f>
        <v/>
      </c>
      <c r="L43" s="99" t="str">
        <f>IF(Tabla19[[#This Row],[Comp3]]="","",COUNTIFS(TablaMaq1[Componente],Tabla19[[#This Row],[Comp3]],TablaMaq1[ID_Pedido],'2.C_Datos'!A43)+
COUNTIFS(TablaMaq2[Componente],Tabla19[[#This Row],[Comp3]],TablaMaq2[ID_Pedido],'2.C_Datos'!A43)+
COUNTIFS(TablaMaq3[Componente],Tabla19[[#This Row],[Comp3]],TablaMaq3[ID_Pedido],'2.C_Datos'!A43)+
COUNTIFS(TablaMaq4[Componente],Tabla19[[#This Row],[Comp3]],TablaMaq4[ID_Pedido],'2.C_Datos'!A43))</f>
        <v/>
      </c>
      <c r="M43" s="99" t="str">
        <f>IF(Tabla19[[#This Row],[Comp4]]="","",COUNTIFS(TablaMaq1[Componente],Tabla19[[#This Row],[Comp4]],TablaMaq1[ID_Pedido],'2.C_Datos'!A43)+
COUNTIFS(TablaMaq2[Componente],Tabla19[[#This Row],[Comp4]],TablaMaq2[ID_Pedido],'2.C_Datos'!A43)+
COUNTIFS(TablaMaq3[Componente],Tabla19[[#This Row],[Comp4]],TablaMaq3[ID_Pedido],'2.C_Datos'!A43)+
COUNTIFS(TablaMaq4[Componente],Tabla19[[#This Row],[Comp4]],TablaMaq4[ID_Pedido],'2.C_Datos'!A43))</f>
        <v/>
      </c>
      <c r="N43" s="99" t="str">
        <f>IF(Tabla19[[#This Row],[Comp5]]="","",COUNTIFS(TablaMaq1[Componente],Tabla19[[#This Row],[Comp5]],TablaMaq1[ID_Pedido],'2.C_Datos'!A43)+
COUNTIFS(TablaMaq1[Componente],Tabla19[[#This Row],[Comp5]],TablaMaq2[ID_Pedido],'2.C_Datos'!A43)+
COUNTIFS(TablaMaq1[Componente],Tabla19[[#This Row],[Comp5]],TablaMaq3[ID_Pedido],'2.C_Datos'!A43)+
COUNTIFS(TablaMaq1[Componente],Tabla19[[#This Row],[Comp5]],TablaMaq4[ID_Pedido],'2.C_Datos'!A43))</f>
        <v/>
      </c>
      <c r="O43" s="85" t="str">
        <f>IF(Tabla19[[#This Row],[Comp1]]="","",
IF(IF(Tabla19[[#This Row],[Comp1]]=0,0,1)*$D43-Tabla19[[#This Row],[Asign1]]=0,0,Tabla19[[#This Row],[Comp1]]))</f>
        <v/>
      </c>
      <c r="P43" s="85" t="str">
        <f>IF(Tabla19[[#This Row],[Comp2]]="","",
IF(IF(Tabla19[[#This Row],[Comp2]]=0,0,1)*$D43-Tabla19[[#This Row],[Asign2]]=0,0,Tabla19[[#This Row],[Comp2]]))</f>
        <v/>
      </c>
      <c r="Q43" s="85" t="str">
        <f>IF(Tabla19[[#This Row],[Comp3]]="","",
IF(IF(Tabla19[[#This Row],[Comp3]]=0,0,1)*$D43-Tabla19[[#This Row],[Asign3]]=0,0,Tabla19[[#This Row],[Comp3]]))</f>
        <v/>
      </c>
      <c r="R43" s="85" t="str">
        <f>IF(Tabla19[[#This Row],[Comp4]]="","",
IF(IF(Tabla19[[#This Row],[Comp4]]=0,0,1)*$D43-Tabla19[[#This Row],[Asign4]]=0,0,Tabla19[[#This Row],[Comp4]]))</f>
        <v/>
      </c>
      <c r="S43" s="85" t="str">
        <f>IF(Tabla19[[#This Row],[Comp5]]="","",
IF(IF(Tabla19[[#This Row],[Comp5]]=0,0,1)*$D43-Tabla19[[#This Row],[Asign5]]=0,0,Tabla19[[#This Row],[Comp5]]))</f>
        <v/>
      </c>
    </row>
    <row r="44" spans="5:19" x14ac:dyDescent="0.3">
      <c r="E44" s="99" t="str">
        <f>IF($A44="","",INDEX(ListadoProductos[],MATCH('2.C_Datos'!$C44,ListadoProductos[Productos],0),MATCH('2.C_Datos'!E$3,ListadoProductos[#Headers],0)))</f>
        <v/>
      </c>
      <c r="F44" s="99" t="str">
        <f>IF($A44="","",INDEX(ListadoProductos[],MATCH('2.C_Datos'!$C44,ListadoProductos[Productos],0),MATCH('2.C_Datos'!F$3,ListadoProductos[#Headers],0)))</f>
        <v/>
      </c>
      <c r="G44" s="99" t="str">
        <f>IF($A44="","",INDEX(ListadoProductos[],MATCH('2.C_Datos'!$C44,ListadoProductos[Productos],0),MATCH('2.C_Datos'!G$3,ListadoProductos[#Headers],0)))</f>
        <v/>
      </c>
      <c r="H44" s="99" t="str">
        <f>IF($A44="","",INDEX(ListadoProductos[],MATCH('2.C_Datos'!$C44,ListadoProductos[Productos],0),MATCH('2.C_Datos'!H$3,ListadoProductos[#Headers],0)))</f>
        <v/>
      </c>
      <c r="I44" s="99" t="str">
        <f>IF($A44="","",INDEX(ListadoProductos[],MATCH('2.C_Datos'!$C44,ListadoProductos[Productos],0),MATCH('2.C_Datos'!I$3,ListadoProductos[#Headers],0)))</f>
        <v/>
      </c>
      <c r="J44" s="99" t="str">
        <f>IF(Tabla19[[#This Row],[Comp1]]="","",COUNTIFS(TablaMaq1[Componente],Tabla19[[#This Row],[Comp1]],TablaMaq1[ID_Pedido],'2.C_Datos'!A44)+
COUNTIFS(TablaMaq2[Componente],Tabla19[[#This Row],[Comp1]],TablaMaq2[ID_Pedido],'2.C_Datos'!A44)+
COUNTIFS(TablaMaq3[Componente],Tabla19[[#This Row],[Comp1]],TablaMaq3[ID_Pedido],'2.C_Datos'!A44)+
COUNTIFS(TablaMaq4[Componente],Tabla19[[#This Row],[Comp1]],TablaMaq4[ID_Pedido],'2.C_Datos'!A44))</f>
        <v/>
      </c>
      <c r="K44" s="99" t="str">
        <f>IF(Tabla19[[#This Row],[Comp2]]="","",COUNTIFS(TablaMaq1[Componente],Tabla19[[#This Row],[Comp2]],TablaMaq1[ID_Pedido],'2.C_Datos'!A44)+
COUNTIFS(TablaMaq2[Componente],Tabla19[[#This Row],[Comp2]],TablaMaq2[ID_Pedido],'2.C_Datos'!A44)+
COUNTIFS(TablaMaq3[Componente],Tabla19[[#This Row],[Comp2]],TablaMaq3[ID_Pedido],'2.C_Datos'!A44)+
COUNTIFS(TablaMaq4[Componente],Tabla19[[#This Row],[Comp2]],TablaMaq4[ID_Pedido],'2.C_Datos'!A44))</f>
        <v/>
      </c>
      <c r="L44" s="99" t="str">
        <f>IF(Tabla19[[#This Row],[Comp3]]="","",COUNTIFS(TablaMaq1[Componente],Tabla19[[#This Row],[Comp3]],TablaMaq1[ID_Pedido],'2.C_Datos'!A44)+
COUNTIFS(TablaMaq2[Componente],Tabla19[[#This Row],[Comp3]],TablaMaq2[ID_Pedido],'2.C_Datos'!A44)+
COUNTIFS(TablaMaq3[Componente],Tabla19[[#This Row],[Comp3]],TablaMaq3[ID_Pedido],'2.C_Datos'!A44)+
COUNTIFS(TablaMaq4[Componente],Tabla19[[#This Row],[Comp3]],TablaMaq4[ID_Pedido],'2.C_Datos'!A44))</f>
        <v/>
      </c>
      <c r="M44" s="99" t="str">
        <f>IF(Tabla19[[#This Row],[Comp4]]="","",COUNTIFS(TablaMaq1[Componente],Tabla19[[#This Row],[Comp4]],TablaMaq1[ID_Pedido],'2.C_Datos'!A44)+
COUNTIFS(TablaMaq2[Componente],Tabla19[[#This Row],[Comp4]],TablaMaq2[ID_Pedido],'2.C_Datos'!A44)+
COUNTIFS(TablaMaq3[Componente],Tabla19[[#This Row],[Comp4]],TablaMaq3[ID_Pedido],'2.C_Datos'!A44)+
COUNTIFS(TablaMaq4[Componente],Tabla19[[#This Row],[Comp4]],TablaMaq4[ID_Pedido],'2.C_Datos'!A44))</f>
        <v/>
      </c>
      <c r="N44" s="99" t="str">
        <f>IF(Tabla19[[#This Row],[Comp5]]="","",COUNTIFS(TablaMaq1[Componente],Tabla19[[#This Row],[Comp5]],TablaMaq1[ID_Pedido],'2.C_Datos'!A44)+
COUNTIFS(TablaMaq1[Componente],Tabla19[[#This Row],[Comp5]],TablaMaq2[ID_Pedido],'2.C_Datos'!A44)+
COUNTIFS(TablaMaq1[Componente],Tabla19[[#This Row],[Comp5]],TablaMaq3[ID_Pedido],'2.C_Datos'!A44)+
COUNTIFS(TablaMaq1[Componente],Tabla19[[#This Row],[Comp5]],TablaMaq4[ID_Pedido],'2.C_Datos'!A44))</f>
        <v/>
      </c>
      <c r="O44" s="85" t="str">
        <f>IF(Tabla19[[#This Row],[Comp1]]="","",
IF(IF(Tabla19[[#This Row],[Comp1]]=0,0,1)*$D44-Tabla19[[#This Row],[Asign1]]=0,0,Tabla19[[#This Row],[Comp1]]))</f>
        <v/>
      </c>
      <c r="P44" s="85" t="str">
        <f>IF(Tabla19[[#This Row],[Comp2]]="","",
IF(IF(Tabla19[[#This Row],[Comp2]]=0,0,1)*$D44-Tabla19[[#This Row],[Asign2]]=0,0,Tabla19[[#This Row],[Comp2]]))</f>
        <v/>
      </c>
      <c r="Q44" s="85" t="str">
        <f>IF(Tabla19[[#This Row],[Comp3]]="","",
IF(IF(Tabla19[[#This Row],[Comp3]]=0,0,1)*$D44-Tabla19[[#This Row],[Asign3]]=0,0,Tabla19[[#This Row],[Comp3]]))</f>
        <v/>
      </c>
      <c r="R44" s="85" t="str">
        <f>IF(Tabla19[[#This Row],[Comp4]]="","",
IF(IF(Tabla19[[#This Row],[Comp4]]=0,0,1)*$D44-Tabla19[[#This Row],[Asign4]]=0,0,Tabla19[[#This Row],[Comp4]]))</f>
        <v/>
      </c>
      <c r="S44" s="85" t="str">
        <f>IF(Tabla19[[#This Row],[Comp5]]="","",
IF(IF(Tabla19[[#This Row],[Comp5]]=0,0,1)*$D44-Tabla19[[#This Row],[Asign5]]=0,0,Tabla19[[#This Row],[Comp5]]))</f>
        <v/>
      </c>
    </row>
    <row r="45" spans="5:19" x14ac:dyDescent="0.3">
      <c r="E45" s="99" t="str">
        <f>IF($A45="","",INDEX(ListadoProductos[],MATCH('2.C_Datos'!$C45,ListadoProductos[Productos],0),MATCH('2.C_Datos'!E$3,ListadoProductos[#Headers],0)))</f>
        <v/>
      </c>
      <c r="F45" s="99" t="str">
        <f>IF($A45="","",INDEX(ListadoProductos[],MATCH('2.C_Datos'!$C45,ListadoProductos[Productos],0),MATCH('2.C_Datos'!F$3,ListadoProductos[#Headers],0)))</f>
        <v/>
      </c>
      <c r="G45" s="99" t="str">
        <f>IF($A45="","",INDEX(ListadoProductos[],MATCH('2.C_Datos'!$C45,ListadoProductos[Productos],0),MATCH('2.C_Datos'!G$3,ListadoProductos[#Headers],0)))</f>
        <v/>
      </c>
      <c r="H45" s="99" t="str">
        <f>IF($A45="","",INDEX(ListadoProductos[],MATCH('2.C_Datos'!$C45,ListadoProductos[Productos],0),MATCH('2.C_Datos'!H$3,ListadoProductos[#Headers],0)))</f>
        <v/>
      </c>
      <c r="I45" s="99" t="str">
        <f>IF($A45="","",INDEX(ListadoProductos[],MATCH('2.C_Datos'!$C45,ListadoProductos[Productos],0),MATCH('2.C_Datos'!I$3,ListadoProductos[#Headers],0)))</f>
        <v/>
      </c>
      <c r="J45" s="99" t="str">
        <f>IF(Tabla19[[#This Row],[Comp1]]="","",COUNTIFS(TablaMaq1[Componente],Tabla19[[#This Row],[Comp1]],TablaMaq1[ID_Pedido],'2.C_Datos'!A45)+
COUNTIFS(TablaMaq2[Componente],Tabla19[[#This Row],[Comp1]],TablaMaq2[ID_Pedido],'2.C_Datos'!A45)+
COUNTIFS(TablaMaq3[Componente],Tabla19[[#This Row],[Comp1]],TablaMaq3[ID_Pedido],'2.C_Datos'!A45)+
COUNTIFS(TablaMaq4[Componente],Tabla19[[#This Row],[Comp1]],TablaMaq4[ID_Pedido],'2.C_Datos'!A45))</f>
        <v/>
      </c>
      <c r="K45" s="99" t="str">
        <f>IF(Tabla19[[#This Row],[Comp2]]="","",COUNTIFS(TablaMaq1[Componente],Tabla19[[#This Row],[Comp2]],TablaMaq1[ID_Pedido],'2.C_Datos'!A45)+
COUNTIFS(TablaMaq2[Componente],Tabla19[[#This Row],[Comp2]],TablaMaq2[ID_Pedido],'2.C_Datos'!A45)+
COUNTIFS(TablaMaq3[Componente],Tabla19[[#This Row],[Comp2]],TablaMaq3[ID_Pedido],'2.C_Datos'!A45)+
COUNTIFS(TablaMaq4[Componente],Tabla19[[#This Row],[Comp2]],TablaMaq4[ID_Pedido],'2.C_Datos'!A45))</f>
        <v/>
      </c>
      <c r="L45" s="99" t="str">
        <f>IF(Tabla19[[#This Row],[Comp3]]="","",COUNTIFS(TablaMaq1[Componente],Tabla19[[#This Row],[Comp3]],TablaMaq1[ID_Pedido],'2.C_Datos'!A45)+
COUNTIFS(TablaMaq2[Componente],Tabla19[[#This Row],[Comp3]],TablaMaq2[ID_Pedido],'2.C_Datos'!A45)+
COUNTIFS(TablaMaq3[Componente],Tabla19[[#This Row],[Comp3]],TablaMaq3[ID_Pedido],'2.C_Datos'!A45)+
COUNTIFS(TablaMaq4[Componente],Tabla19[[#This Row],[Comp3]],TablaMaq4[ID_Pedido],'2.C_Datos'!A45))</f>
        <v/>
      </c>
      <c r="M45" s="99" t="str">
        <f>IF(Tabla19[[#This Row],[Comp4]]="","",COUNTIFS(TablaMaq1[Componente],Tabla19[[#This Row],[Comp4]],TablaMaq1[ID_Pedido],'2.C_Datos'!A45)+
COUNTIFS(TablaMaq2[Componente],Tabla19[[#This Row],[Comp4]],TablaMaq2[ID_Pedido],'2.C_Datos'!A45)+
COUNTIFS(TablaMaq3[Componente],Tabla19[[#This Row],[Comp4]],TablaMaq3[ID_Pedido],'2.C_Datos'!A45)+
COUNTIFS(TablaMaq4[Componente],Tabla19[[#This Row],[Comp4]],TablaMaq4[ID_Pedido],'2.C_Datos'!A45))</f>
        <v/>
      </c>
      <c r="N45" s="99" t="str">
        <f>IF(Tabla19[[#This Row],[Comp5]]="","",COUNTIFS(TablaMaq1[Componente],Tabla19[[#This Row],[Comp5]],TablaMaq1[ID_Pedido],'2.C_Datos'!A45)+
COUNTIFS(TablaMaq1[Componente],Tabla19[[#This Row],[Comp5]],TablaMaq2[ID_Pedido],'2.C_Datos'!A45)+
COUNTIFS(TablaMaq1[Componente],Tabla19[[#This Row],[Comp5]],TablaMaq3[ID_Pedido],'2.C_Datos'!A45)+
COUNTIFS(TablaMaq1[Componente],Tabla19[[#This Row],[Comp5]],TablaMaq4[ID_Pedido],'2.C_Datos'!A45))</f>
        <v/>
      </c>
      <c r="O45" s="85" t="str">
        <f>IF(Tabla19[[#This Row],[Comp1]]="","",
IF(IF(Tabla19[[#This Row],[Comp1]]=0,0,1)*$D45-Tabla19[[#This Row],[Asign1]]=0,0,Tabla19[[#This Row],[Comp1]]))</f>
        <v/>
      </c>
      <c r="P45" s="85" t="str">
        <f>IF(Tabla19[[#This Row],[Comp2]]="","",
IF(IF(Tabla19[[#This Row],[Comp2]]=0,0,1)*$D45-Tabla19[[#This Row],[Asign2]]=0,0,Tabla19[[#This Row],[Comp2]]))</f>
        <v/>
      </c>
      <c r="Q45" s="85" t="str">
        <f>IF(Tabla19[[#This Row],[Comp3]]="","",
IF(IF(Tabla19[[#This Row],[Comp3]]=0,0,1)*$D45-Tabla19[[#This Row],[Asign3]]=0,0,Tabla19[[#This Row],[Comp3]]))</f>
        <v/>
      </c>
      <c r="R45" s="85" t="str">
        <f>IF(Tabla19[[#This Row],[Comp4]]="","",
IF(IF(Tabla19[[#This Row],[Comp4]]=0,0,1)*$D45-Tabla19[[#This Row],[Asign4]]=0,0,Tabla19[[#This Row],[Comp4]]))</f>
        <v/>
      </c>
      <c r="S45" s="85" t="str">
        <f>IF(Tabla19[[#This Row],[Comp5]]="","",
IF(IF(Tabla19[[#This Row],[Comp5]]=0,0,1)*$D45-Tabla19[[#This Row],[Asign5]]=0,0,Tabla19[[#This Row],[Comp5]]))</f>
        <v/>
      </c>
    </row>
    <row r="46" spans="5:19" x14ac:dyDescent="0.3">
      <c r="E46" s="99" t="str">
        <f>IF($A46="","",INDEX(ListadoProductos[],MATCH('2.C_Datos'!$C46,ListadoProductos[Productos],0),MATCH('2.C_Datos'!E$3,ListadoProductos[#Headers],0)))</f>
        <v/>
      </c>
      <c r="F46" s="99" t="str">
        <f>IF($A46="","",INDEX(ListadoProductos[],MATCH('2.C_Datos'!$C46,ListadoProductos[Productos],0),MATCH('2.C_Datos'!F$3,ListadoProductos[#Headers],0)))</f>
        <v/>
      </c>
      <c r="G46" s="99" t="str">
        <f>IF($A46="","",INDEX(ListadoProductos[],MATCH('2.C_Datos'!$C46,ListadoProductos[Productos],0),MATCH('2.C_Datos'!G$3,ListadoProductos[#Headers],0)))</f>
        <v/>
      </c>
      <c r="H46" s="99" t="str">
        <f>IF($A46="","",INDEX(ListadoProductos[],MATCH('2.C_Datos'!$C46,ListadoProductos[Productos],0),MATCH('2.C_Datos'!H$3,ListadoProductos[#Headers],0)))</f>
        <v/>
      </c>
      <c r="I46" s="99" t="str">
        <f>IF($A46="","",INDEX(ListadoProductos[],MATCH('2.C_Datos'!$C46,ListadoProductos[Productos],0),MATCH('2.C_Datos'!I$3,ListadoProductos[#Headers],0)))</f>
        <v/>
      </c>
      <c r="J46" s="99" t="str">
        <f>IF(Tabla19[[#This Row],[Comp1]]="","",COUNTIFS(TablaMaq1[Componente],Tabla19[[#This Row],[Comp1]],TablaMaq1[ID_Pedido],'2.C_Datos'!A46)+
COUNTIFS(TablaMaq2[Componente],Tabla19[[#This Row],[Comp1]],TablaMaq2[ID_Pedido],'2.C_Datos'!A46)+
COUNTIFS(TablaMaq3[Componente],Tabla19[[#This Row],[Comp1]],TablaMaq3[ID_Pedido],'2.C_Datos'!A46)+
COUNTIFS(TablaMaq4[Componente],Tabla19[[#This Row],[Comp1]],TablaMaq4[ID_Pedido],'2.C_Datos'!A46))</f>
        <v/>
      </c>
      <c r="K46" s="99" t="str">
        <f>IF(Tabla19[[#This Row],[Comp2]]="","",COUNTIFS(TablaMaq1[Componente],Tabla19[[#This Row],[Comp2]],TablaMaq1[ID_Pedido],'2.C_Datos'!A46)+
COUNTIFS(TablaMaq2[Componente],Tabla19[[#This Row],[Comp2]],TablaMaq2[ID_Pedido],'2.C_Datos'!A46)+
COUNTIFS(TablaMaq3[Componente],Tabla19[[#This Row],[Comp2]],TablaMaq3[ID_Pedido],'2.C_Datos'!A46)+
COUNTIFS(TablaMaq4[Componente],Tabla19[[#This Row],[Comp2]],TablaMaq4[ID_Pedido],'2.C_Datos'!A46))</f>
        <v/>
      </c>
      <c r="L46" s="99" t="str">
        <f>IF(Tabla19[[#This Row],[Comp3]]="","",COUNTIFS(TablaMaq1[Componente],Tabla19[[#This Row],[Comp3]],TablaMaq1[ID_Pedido],'2.C_Datos'!A46)+
COUNTIFS(TablaMaq2[Componente],Tabla19[[#This Row],[Comp3]],TablaMaq2[ID_Pedido],'2.C_Datos'!A46)+
COUNTIFS(TablaMaq3[Componente],Tabla19[[#This Row],[Comp3]],TablaMaq3[ID_Pedido],'2.C_Datos'!A46)+
COUNTIFS(TablaMaq4[Componente],Tabla19[[#This Row],[Comp3]],TablaMaq4[ID_Pedido],'2.C_Datos'!A46))</f>
        <v/>
      </c>
      <c r="M46" s="99" t="str">
        <f>IF(Tabla19[[#This Row],[Comp4]]="","",COUNTIFS(TablaMaq1[Componente],Tabla19[[#This Row],[Comp4]],TablaMaq1[ID_Pedido],'2.C_Datos'!A46)+
COUNTIFS(TablaMaq2[Componente],Tabla19[[#This Row],[Comp4]],TablaMaq2[ID_Pedido],'2.C_Datos'!A46)+
COUNTIFS(TablaMaq3[Componente],Tabla19[[#This Row],[Comp4]],TablaMaq3[ID_Pedido],'2.C_Datos'!A46)+
COUNTIFS(TablaMaq4[Componente],Tabla19[[#This Row],[Comp4]],TablaMaq4[ID_Pedido],'2.C_Datos'!A46))</f>
        <v/>
      </c>
      <c r="N46" s="99" t="str">
        <f>IF(Tabla19[[#This Row],[Comp5]]="","",COUNTIFS(TablaMaq1[Componente],Tabla19[[#This Row],[Comp5]],TablaMaq1[ID_Pedido],'2.C_Datos'!A46)+
COUNTIFS(TablaMaq1[Componente],Tabla19[[#This Row],[Comp5]],TablaMaq2[ID_Pedido],'2.C_Datos'!A46)+
COUNTIFS(TablaMaq1[Componente],Tabla19[[#This Row],[Comp5]],TablaMaq3[ID_Pedido],'2.C_Datos'!A46)+
COUNTIFS(TablaMaq1[Componente],Tabla19[[#This Row],[Comp5]],TablaMaq4[ID_Pedido],'2.C_Datos'!A46))</f>
        <v/>
      </c>
      <c r="O46" s="85" t="str">
        <f>IF(Tabla19[[#This Row],[Comp1]]="","",
IF(IF(Tabla19[[#This Row],[Comp1]]=0,0,1)*$D46-Tabla19[[#This Row],[Asign1]]=0,0,Tabla19[[#This Row],[Comp1]]))</f>
        <v/>
      </c>
      <c r="P46" s="85" t="str">
        <f>IF(Tabla19[[#This Row],[Comp2]]="","",
IF(IF(Tabla19[[#This Row],[Comp2]]=0,0,1)*$D46-Tabla19[[#This Row],[Asign2]]=0,0,Tabla19[[#This Row],[Comp2]]))</f>
        <v/>
      </c>
      <c r="Q46" s="85" t="str">
        <f>IF(Tabla19[[#This Row],[Comp3]]="","",
IF(IF(Tabla19[[#This Row],[Comp3]]=0,0,1)*$D46-Tabla19[[#This Row],[Asign3]]=0,0,Tabla19[[#This Row],[Comp3]]))</f>
        <v/>
      </c>
      <c r="R46" s="85" t="str">
        <f>IF(Tabla19[[#This Row],[Comp4]]="","",
IF(IF(Tabla19[[#This Row],[Comp4]]=0,0,1)*$D46-Tabla19[[#This Row],[Asign4]]=0,0,Tabla19[[#This Row],[Comp4]]))</f>
        <v/>
      </c>
      <c r="S46" s="85" t="str">
        <f>IF(Tabla19[[#This Row],[Comp5]]="","",
IF(IF(Tabla19[[#This Row],[Comp5]]=0,0,1)*$D46-Tabla19[[#This Row],[Asign5]]=0,0,Tabla19[[#This Row],[Comp5]]))</f>
        <v/>
      </c>
    </row>
    <row r="47" spans="5:19" x14ac:dyDescent="0.3">
      <c r="E47" s="99" t="str">
        <f>IF($A47="","",INDEX(ListadoProductos[],MATCH('2.C_Datos'!$C47,ListadoProductos[Productos],0),MATCH('2.C_Datos'!E$3,ListadoProductos[#Headers],0)))</f>
        <v/>
      </c>
      <c r="F47" s="99" t="str">
        <f>IF($A47="","",INDEX(ListadoProductos[],MATCH('2.C_Datos'!$C47,ListadoProductos[Productos],0),MATCH('2.C_Datos'!F$3,ListadoProductos[#Headers],0)))</f>
        <v/>
      </c>
      <c r="G47" s="99" t="str">
        <f>IF($A47="","",INDEX(ListadoProductos[],MATCH('2.C_Datos'!$C47,ListadoProductos[Productos],0),MATCH('2.C_Datos'!G$3,ListadoProductos[#Headers],0)))</f>
        <v/>
      </c>
      <c r="H47" s="99" t="str">
        <f>IF($A47="","",INDEX(ListadoProductos[],MATCH('2.C_Datos'!$C47,ListadoProductos[Productos],0),MATCH('2.C_Datos'!H$3,ListadoProductos[#Headers],0)))</f>
        <v/>
      </c>
      <c r="I47" s="99" t="str">
        <f>IF($A47="","",INDEX(ListadoProductos[],MATCH('2.C_Datos'!$C47,ListadoProductos[Productos],0),MATCH('2.C_Datos'!I$3,ListadoProductos[#Headers],0)))</f>
        <v/>
      </c>
      <c r="J47" s="99" t="str">
        <f>IF(Tabla19[[#This Row],[Comp1]]="","",COUNTIFS(TablaMaq1[Componente],Tabla19[[#This Row],[Comp1]],TablaMaq1[ID_Pedido],'2.C_Datos'!A47)+
COUNTIFS(TablaMaq2[Componente],Tabla19[[#This Row],[Comp1]],TablaMaq2[ID_Pedido],'2.C_Datos'!A47)+
COUNTIFS(TablaMaq3[Componente],Tabla19[[#This Row],[Comp1]],TablaMaq3[ID_Pedido],'2.C_Datos'!A47)+
COUNTIFS(TablaMaq4[Componente],Tabla19[[#This Row],[Comp1]],TablaMaq4[ID_Pedido],'2.C_Datos'!A47))</f>
        <v/>
      </c>
      <c r="K47" s="99" t="str">
        <f>IF(Tabla19[[#This Row],[Comp2]]="","",COUNTIFS(TablaMaq1[Componente],Tabla19[[#This Row],[Comp2]],TablaMaq1[ID_Pedido],'2.C_Datos'!A47)+
COUNTIFS(TablaMaq2[Componente],Tabla19[[#This Row],[Comp2]],TablaMaq2[ID_Pedido],'2.C_Datos'!A47)+
COUNTIFS(TablaMaq3[Componente],Tabla19[[#This Row],[Comp2]],TablaMaq3[ID_Pedido],'2.C_Datos'!A47)+
COUNTIFS(TablaMaq4[Componente],Tabla19[[#This Row],[Comp2]],TablaMaq4[ID_Pedido],'2.C_Datos'!A47))</f>
        <v/>
      </c>
      <c r="L47" s="99" t="str">
        <f>IF(Tabla19[[#This Row],[Comp3]]="","",COUNTIFS(TablaMaq1[Componente],Tabla19[[#This Row],[Comp3]],TablaMaq1[ID_Pedido],'2.C_Datos'!A47)+
COUNTIFS(TablaMaq2[Componente],Tabla19[[#This Row],[Comp3]],TablaMaq2[ID_Pedido],'2.C_Datos'!A47)+
COUNTIFS(TablaMaq3[Componente],Tabla19[[#This Row],[Comp3]],TablaMaq3[ID_Pedido],'2.C_Datos'!A47)+
COUNTIFS(TablaMaq4[Componente],Tabla19[[#This Row],[Comp3]],TablaMaq4[ID_Pedido],'2.C_Datos'!A47))</f>
        <v/>
      </c>
      <c r="M47" s="99" t="str">
        <f>IF(Tabla19[[#This Row],[Comp4]]="","",COUNTIFS(TablaMaq1[Componente],Tabla19[[#This Row],[Comp4]],TablaMaq1[ID_Pedido],'2.C_Datos'!A47)+
COUNTIFS(TablaMaq2[Componente],Tabla19[[#This Row],[Comp4]],TablaMaq2[ID_Pedido],'2.C_Datos'!A47)+
COUNTIFS(TablaMaq3[Componente],Tabla19[[#This Row],[Comp4]],TablaMaq3[ID_Pedido],'2.C_Datos'!A47)+
COUNTIFS(TablaMaq4[Componente],Tabla19[[#This Row],[Comp4]],TablaMaq4[ID_Pedido],'2.C_Datos'!A47))</f>
        <v/>
      </c>
      <c r="N47" s="99" t="str">
        <f>IF(Tabla19[[#This Row],[Comp5]]="","",COUNTIFS(TablaMaq1[Componente],Tabla19[[#This Row],[Comp5]],TablaMaq1[ID_Pedido],'2.C_Datos'!A47)+
COUNTIFS(TablaMaq1[Componente],Tabla19[[#This Row],[Comp5]],TablaMaq2[ID_Pedido],'2.C_Datos'!A47)+
COUNTIFS(TablaMaq1[Componente],Tabla19[[#This Row],[Comp5]],TablaMaq3[ID_Pedido],'2.C_Datos'!A47)+
COUNTIFS(TablaMaq1[Componente],Tabla19[[#This Row],[Comp5]],TablaMaq4[ID_Pedido],'2.C_Datos'!A47))</f>
        <v/>
      </c>
      <c r="O47" s="85" t="str">
        <f>IF(Tabla19[[#This Row],[Comp1]]="","",
IF(IF(Tabla19[[#This Row],[Comp1]]=0,0,1)*$D47-Tabla19[[#This Row],[Asign1]]=0,0,Tabla19[[#This Row],[Comp1]]))</f>
        <v/>
      </c>
      <c r="P47" s="85" t="str">
        <f>IF(Tabla19[[#This Row],[Comp2]]="","",
IF(IF(Tabla19[[#This Row],[Comp2]]=0,0,1)*$D47-Tabla19[[#This Row],[Asign2]]=0,0,Tabla19[[#This Row],[Comp2]]))</f>
        <v/>
      </c>
      <c r="Q47" s="85" t="str">
        <f>IF(Tabla19[[#This Row],[Comp3]]="","",
IF(IF(Tabla19[[#This Row],[Comp3]]=0,0,1)*$D47-Tabla19[[#This Row],[Asign3]]=0,0,Tabla19[[#This Row],[Comp3]]))</f>
        <v/>
      </c>
      <c r="R47" s="85" t="str">
        <f>IF(Tabla19[[#This Row],[Comp4]]="","",
IF(IF(Tabla19[[#This Row],[Comp4]]=0,0,1)*$D47-Tabla19[[#This Row],[Asign4]]=0,0,Tabla19[[#This Row],[Comp4]]))</f>
        <v/>
      </c>
      <c r="S47" s="85" t="str">
        <f>IF(Tabla19[[#This Row],[Comp5]]="","",
IF(IF(Tabla19[[#This Row],[Comp5]]=0,0,1)*$D47-Tabla19[[#This Row],[Asign5]]=0,0,Tabla19[[#This Row],[Comp5]]))</f>
        <v/>
      </c>
    </row>
    <row r="48" spans="5:19" x14ac:dyDescent="0.3">
      <c r="E48" s="99" t="str">
        <f>IF($A48="","",INDEX(ListadoProductos[],MATCH('2.C_Datos'!$C48,ListadoProductos[Productos],0),MATCH('2.C_Datos'!E$3,ListadoProductos[#Headers],0)))</f>
        <v/>
      </c>
      <c r="F48" s="99" t="str">
        <f>IF($A48="","",INDEX(ListadoProductos[],MATCH('2.C_Datos'!$C48,ListadoProductos[Productos],0),MATCH('2.C_Datos'!F$3,ListadoProductos[#Headers],0)))</f>
        <v/>
      </c>
      <c r="G48" s="99" t="str">
        <f>IF($A48="","",INDEX(ListadoProductos[],MATCH('2.C_Datos'!$C48,ListadoProductos[Productos],0),MATCH('2.C_Datos'!G$3,ListadoProductos[#Headers],0)))</f>
        <v/>
      </c>
      <c r="H48" s="99" t="str">
        <f>IF($A48="","",INDEX(ListadoProductos[],MATCH('2.C_Datos'!$C48,ListadoProductos[Productos],0),MATCH('2.C_Datos'!H$3,ListadoProductos[#Headers],0)))</f>
        <v/>
      </c>
      <c r="I48" s="99" t="str">
        <f>IF($A48="","",INDEX(ListadoProductos[],MATCH('2.C_Datos'!$C48,ListadoProductos[Productos],0),MATCH('2.C_Datos'!I$3,ListadoProductos[#Headers],0)))</f>
        <v/>
      </c>
      <c r="J48" s="99" t="str">
        <f>IF(Tabla19[[#This Row],[Comp1]]="","",COUNTIFS(TablaMaq1[Componente],Tabla19[[#This Row],[Comp1]],TablaMaq1[ID_Pedido],'2.C_Datos'!A48)+
COUNTIFS(TablaMaq2[Componente],Tabla19[[#This Row],[Comp1]],TablaMaq2[ID_Pedido],'2.C_Datos'!A48)+
COUNTIFS(TablaMaq3[Componente],Tabla19[[#This Row],[Comp1]],TablaMaq3[ID_Pedido],'2.C_Datos'!A48)+
COUNTIFS(TablaMaq4[Componente],Tabla19[[#This Row],[Comp1]],TablaMaq4[ID_Pedido],'2.C_Datos'!A48))</f>
        <v/>
      </c>
      <c r="K48" s="99" t="str">
        <f>IF(Tabla19[[#This Row],[Comp2]]="","",COUNTIFS(TablaMaq1[Componente],Tabla19[[#This Row],[Comp2]],TablaMaq1[ID_Pedido],'2.C_Datos'!A48)+
COUNTIFS(TablaMaq2[Componente],Tabla19[[#This Row],[Comp2]],TablaMaq2[ID_Pedido],'2.C_Datos'!A48)+
COUNTIFS(TablaMaq3[Componente],Tabla19[[#This Row],[Comp2]],TablaMaq3[ID_Pedido],'2.C_Datos'!A48)+
COUNTIFS(TablaMaq4[Componente],Tabla19[[#This Row],[Comp2]],TablaMaq4[ID_Pedido],'2.C_Datos'!A48))</f>
        <v/>
      </c>
      <c r="L48" s="99" t="str">
        <f>IF(Tabla19[[#This Row],[Comp3]]="","",COUNTIFS(TablaMaq1[Componente],Tabla19[[#This Row],[Comp3]],TablaMaq1[ID_Pedido],'2.C_Datos'!A48)+
COUNTIFS(TablaMaq2[Componente],Tabla19[[#This Row],[Comp3]],TablaMaq2[ID_Pedido],'2.C_Datos'!A48)+
COUNTIFS(TablaMaq3[Componente],Tabla19[[#This Row],[Comp3]],TablaMaq3[ID_Pedido],'2.C_Datos'!A48)+
COUNTIFS(TablaMaq4[Componente],Tabla19[[#This Row],[Comp3]],TablaMaq4[ID_Pedido],'2.C_Datos'!A48))</f>
        <v/>
      </c>
      <c r="M48" s="99" t="str">
        <f>IF(Tabla19[[#This Row],[Comp4]]="","",COUNTIFS(TablaMaq1[Componente],Tabla19[[#This Row],[Comp4]],TablaMaq1[ID_Pedido],'2.C_Datos'!A48)+
COUNTIFS(TablaMaq2[Componente],Tabla19[[#This Row],[Comp4]],TablaMaq2[ID_Pedido],'2.C_Datos'!A48)+
COUNTIFS(TablaMaq3[Componente],Tabla19[[#This Row],[Comp4]],TablaMaq3[ID_Pedido],'2.C_Datos'!A48)+
COUNTIFS(TablaMaq4[Componente],Tabla19[[#This Row],[Comp4]],TablaMaq4[ID_Pedido],'2.C_Datos'!A48))</f>
        <v/>
      </c>
      <c r="N48" s="99" t="str">
        <f>IF(Tabla19[[#This Row],[Comp5]]="","",COUNTIFS(TablaMaq1[Componente],Tabla19[[#This Row],[Comp5]],TablaMaq1[ID_Pedido],'2.C_Datos'!A48)+
COUNTIFS(TablaMaq1[Componente],Tabla19[[#This Row],[Comp5]],TablaMaq2[ID_Pedido],'2.C_Datos'!A48)+
COUNTIFS(TablaMaq1[Componente],Tabla19[[#This Row],[Comp5]],TablaMaq3[ID_Pedido],'2.C_Datos'!A48)+
COUNTIFS(TablaMaq1[Componente],Tabla19[[#This Row],[Comp5]],TablaMaq4[ID_Pedido],'2.C_Datos'!A48))</f>
        <v/>
      </c>
      <c r="O48" s="85" t="str">
        <f>IF(Tabla19[[#This Row],[Comp1]]="","",
IF(IF(Tabla19[[#This Row],[Comp1]]=0,0,1)*$D48-Tabla19[[#This Row],[Asign1]]=0,0,Tabla19[[#This Row],[Comp1]]))</f>
        <v/>
      </c>
      <c r="P48" s="85" t="str">
        <f>IF(Tabla19[[#This Row],[Comp2]]="","",
IF(IF(Tabla19[[#This Row],[Comp2]]=0,0,1)*$D48-Tabla19[[#This Row],[Asign2]]=0,0,Tabla19[[#This Row],[Comp2]]))</f>
        <v/>
      </c>
      <c r="Q48" s="85" t="str">
        <f>IF(Tabla19[[#This Row],[Comp3]]="","",
IF(IF(Tabla19[[#This Row],[Comp3]]=0,0,1)*$D48-Tabla19[[#This Row],[Asign3]]=0,0,Tabla19[[#This Row],[Comp3]]))</f>
        <v/>
      </c>
      <c r="R48" s="85" t="str">
        <f>IF(Tabla19[[#This Row],[Comp4]]="","",
IF(IF(Tabla19[[#This Row],[Comp4]]=0,0,1)*$D48-Tabla19[[#This Row],[Asign4]]=0,0,Tabla19[[#This Row],[Comp4]]))</f>
        <v/>
      </c>
      <c r="S48" s="85" t="str">
        <f>IF(Tabla19[[#This Row],[Comp5]]="","",
IF(IF(Tabla19[[#This Row],[Comp5]]=0,0,1)*$D48-Tabla19[[#This Row],[Asign5]]=0,0,Tabla19[[#This Row],[Comp5]]))</f>
        <v/>
      </c>
    </row>
    <row r="49" spans="5:19" x14ac:dyDescent="0.3">
      <c r="E49" s="99" t="str">
        <f>IF($A49="","",INDEX(ListadoProductos[],MATCH('2.C_Datos'!$C49,ListadoProductos[Productos],0),MATCH('2.C_Datos'!E$3,ListadoProductos[#Headers],0)))</f>
        <v/>
      </c>
      <c r="F49" s="99" t="str">
        <f>IF($A49="","",INDEX(ListadoProductos[],MATCH('2.C_Datos'!$C49,ListadoProductos[Productos],0),MATCH('2.C_Datos'!F$3,ListadoProductos[#Headers],0)))</f>
        <v/>
      </c>
      <c r="G49" s="99" t="str">
        <f>IF($A49="","",INDEX(ListadoProductos[],MATCH('2.C_Datos'!$C49,ListadoProductos[Productos],0),MATCH('2.C_Datos'!G$3,ListadoProductos[#Headers],0)))</f>
        <v/>
      </c>
      <c r="H49" s="99" t="str">
        <f>IF($A49="","",INDEX(ListadoProductos[],MATCH('2.C_Datos'!$C49,ListadoProductos[Productos],0),MATCH('2.C_Datos'!H$3,ListadoProductos[#Headers],0)))</f>
        <v/>
      </c>
      <c r="I49" s="99" t="str">
        <f>IF($A49="","",INDEX(ListadoProductos[],MATCH('2.C_Datos'!$C49,ListadoProductos[Productos],0),MATCH('2.C_Datos'!I$3,ListadoProductos[#Headers],0)))</f>
        <v/>
      </c>
      <c r="J49" s="99" t="str">
        <f>IF(Tabla19[[#This Row],[Comp1]]="","",COUNTIFS(TablaMaq1[Componente],Tabla19[[#This Row],[Comp1]],TablaMaq1[ID_Pedido],'2.C_Datos'!A49)+
COUNTIFS(TablaMaq2[Componente],Tabla19[[#This Row],[Comp1]],TablaMaq2[ID_Pedido],'2.C_Datos'!A49)+
COUNTIFS(TablaMaq3[Componente],Tabla19[[#This Row],[Comp1]],TablaMaq3[ID_Pedido],'2.C_Datos'!A49)+
COUNTIFS(TablaMaq4[Componente],Tabla19[[#This Row],[Comp1]],TablaMaq4[ID_Pedido],'2.C_Datos'!A49))</f>
        <v/>
      </c>
      <c r="K49" s="99" t="str">
        <f>IF(Tabla19[[#This Row],[Comp2]]="","",COUNTIFS(TablaMaq1[Componente],Tabla19[[#This Row],[Comp2]],TablaMaq1[ID_Pedido],'2.C_Datos'!A49)+
COUNTIFS(TablaMaq2[Componente],Tabla19[[#This Row],[Comp2]],TablaMaq2[ID_Pedido],'2.C_Datos'!A49)+
COUNTIFS(TablaMaq3[Componente],Tabla19[[#This Row],[Comp2]],TablaMaq3[ID_Pedido],'2.C_Datos'!A49)+
COUNTIFS(TablaMaq4[Componente],Tabla19[[#This Row],[Comp2]],TablaMaq4[ID_Pedido],'2.C_Datos'!A49))</f>
        <v/>
      </c>
      <c r="L49" s="99" t="str">
        <f>IF(Tabla19[[#This Row],[Comp3]]="","",COUNTIFS(TablaMaq1[Componente],Tabla19[[#This Row],[Comp3]],TablaMaq1[ID_Pedido],'2.C_Datos'!A49)+
COUNTIFS(TablaMaq2[Componente],Tabla19[[#This Row],[Comp3]],TablaMaq2[ID_Pedido],'2.C_Datos'!A49)+
COUNTIFS(TablaMaq3[Componente],Tabla19[[#This Row],[Comp3]],TablaMaq3[ID_Pedido],'2.C_Datos'!A49)+
COUNTIFS(TablaMaq4[Componente],Tabla19[[#This Row],[Comp3]],TablaMaq4[ID_Pedido],'2.C_Datos'!A49))</f>
        <v/>
      </c>
      <c r="M49" s="99" t="str">
        <f>IF(Tabla19[[#This Row],[Comp4]]="","",COUNTIFS(TablaMaq1[Componente],Tabla19[[#This Row],[Comp4]],TablaMaq1[ID_Pedido],'2.C_Datos'!A49)+
COUNTIFS(TablaMaq2[Componente],Tabla19[[#This Row],[Comp4]],TablaMaq2[ID_Pedido],'2.C_Datos'!A49)+
COUNTIFS(TablaMaq3[Componente],Tabla19[[#This Row],[Comp4]],TablaMaq3[ID_Pedido],'2.C_Datos'!A49)+
COUNTIFS(TablaMaq4[Componente],Tabla19[[#This Row],[Comp4]],TablaMaq4[ID_Pedido],'2.C_Datos'!A49))</f>
        <v/>
      </c>
      <c r="N49" s="99" t="str">
        <f>IF(Tabla19[[#This Row],[Comp5]]="","",COUNTIFS(TablaMaq1[Componente],Tabla19[[#This Row],[Comp5]],TablaMaq1[ID_Pedido],'2.C_Datos'!A49)+
COUNTIFS(TablaMaq1[Componente],Tabla19[[#This Row],[Comp5]],TablaMaq2[ID_Pedido],'2.C_Datos'!A49)+
COUNTIFS(TablaMaq1[Componente],Tabla19[[#This Row],[Comp5]],TablaMaq3[ID_Pedido],'2.C_Datos'!A49)+
COUNTIFS(TablaMaq1[Componente],Tabla19[[#This Row],[Comp5]],TablaMaq4[ID_Pedido],'2.C_Datos'!A49))</f>
        <v/>
      </c>
      <c r="O49" s="85" t="str">
        <f>IF(Tabla19[[#This Row],[Comp1]]="","",
IF(IF(Tabla19[[#This Row],[Comp1]]=0,0,1)*$D49-Tabla19[[#This Row],[Asign1]]=0,0,Tabla19[[#This Row],[Comp1]]))</f>
        <v/>
      </c>
      <c r="P49" s="85" t="str">
        <f>IF(Tabla19[[#This Row],[Comp2]]="","",
IF(IF(Tabla19[[#This Row],[Comp2]]=0,0,1)*$D49-Tabla19[[#This Row],[Asign2]]=0,0,Tabla19[[#This Row],[Comp2]]))</f>
        <v/>
      </c>
      <c r="Q49" s="85" t="str">
        <f>IF(Tabla19[[#This Row],[Comp3]]="","",
IF(IF(Tabla19[[#This Row],[Comp3]]=0,0,1)*$D49-Tabla19[[#This Row],[Asign3]]=0,0,Tabla19[[#This Row],[Comp3]]))</f>
        <v/>
      </c>
      <c r="R49" s="85" t="str">
        <f>IF(Tabla19[[#This Row],[Comp4]]="","",
IF(IF(Tabla19[[#This Row],[Comp4]]=0,0,1)*$D49-Tabla19[[#This Row],[Asign4]]=0,0,Tabla19[[#This Row],[Comp4]]))</f>
        <v/>
      </c>
      <c r="S49" s="85" t="str">
        <f>IF(Tabla19[[#This Row],[Comp5]]="","",
IF(IF(Tabla19[[#This Row],[Comp5]]=0,0,1)*$D49-Tabla19[[#This Row],[Asign5]]=0,0,Tabla19[[#This Row],[Comp5]]))</f>
        <v/>
      </c>
    </row>
    <row r="50" spans="5:19" x14ac:dyDescent="0.3">
      <c r="E50" s="99" t="str">
        <f>IF($A50="","",INDEX(ListadoProductos[],MATCH('2.C_Datos'!$C50,ListadoProductos[Productos],0),MATCH('2.C_Datos'!E$3,ListadoProductos[#Headers],0)))</f>
        <v/>
      </c>
      <c r="F50" s="99" t="str">
        <f>IF($A50="","",INDEX(ListadoProductos[],MATCH('2.C_Datos'!$C50,ListadoProductos[Productos],0),MATCH('2.C_Datos'!F$3,ListadoProductos[#Headers],0)))</f>
        <v/>
      </c>
      <c r="G50" s="99" t="str">
        <f>IF($A50="","",INDEX(ListadoProductos[],MATCH('2.C_Datos'!$C50,ListadoProductos[Productos],0),MATCH('2.C_Datos'!G$3,ListadoProductos[#Headers],0)))</f>
        <v/>
      </c>
      <c r="H50" s="99" t="str">
        <f>IF($A50="","",INDEX(ListadoProductos[],MATCH('2.C_Datos'!$C50,ListadoProductos[Productos],0),MATCH('2.C_Datos'!H$3,ListadoProductos[#Headers],0)))</f>
        <v/>
      </c>
      <c r="I50" s="99" t="str">
        <f>IF($A50="","",INDEX(ListadoProductos[],MATCH('2.C_Datos'!$C50,ListadoProductos[Productos],0),MATCH('2.C_Datos'!I$3,ListadoProductos[#Headers],0)))</f>
        <v/>
      </c>
      <c r="J50" s="99" t="str">
        <f>IF(Tabla19[[#This Row],[Comp1]]="","",COUNTIFS(TablaMaq1[Componente],Tabla19[[#This Row],[Comp1]],TablaMaq1[ID_Pedido],'2.C_Datos'!A50)+
COUNTIFS(TablaMaq2[Componente],Tabla19[[#This Row],[Comp1]],TablaMaq2[ID_Pedido],'2.C_Datos'!A50)+
COUNTIFS(TablaMaq3[Componente],Tabla19[[#This Row],[Comp1]],TablaMaq3[ID_Pedido],'2.C_Datos'!A50)+
COUNTIFS(TablaMaq4[Componente],Tabla19[[#This Row],[Comp1]],TablaMaq4[ID_Pedido],'2.C_Datos'!A50))</f>
        <v/>
      </c>
      <c r="K50" s="99" t="str">
        <f>IF(Tabla19[[#This Row],[Comp2]]="","",COUNTIFS(TablaMaq1[Componente],Tabla19[[#This Row],[Comp2]],TablaMaq1[ID_Pedido],'2.C_Datos'!A50)+
COUNTIFS(TablaMaq2[Componente],Tabla19[[#This Row],[Comp2]],TablaMaq2[ID_Pedido],'2.C_Datos'!A50)+
COUNTIFS(TablaMaq3[Componente],Tabla19[[#This Row],[Comp2]],TablaMaq3[ID_Pedido],'2.C_Datos'!A50)+
COUNTIFS(TablaMaq4[Componente],Tabla19[[#This Row],[Comp2]],TablaMaq4[ID_Pedido],'2.C_Datos'!A50))</f>
        <v/>
      </c>
      <c r="L50" s="99" t="str">
        <f>IF(Tabla19[[#This Row],[Comp3]]="","",COUNTIFS(TablaMaq1[Componente],Tabla19[[#This Row],[Comp3]],TablaMaq1[ID_Pedido],'2.C_Datos'!A50)+
COUNTIFS(TablaMaq2[Componente],Tabla19[[#This Row],[Comp3]],TablaMaq2[ID_Pedido],'2.C_Datos'!A50)+
COUNTIFS(TablaMaq3[Componente],Tabla19[[#This Row],[Comp3]],TablaMaq3[ID_Pedido],'2.C_Datos'!A50)+
COUNTIFS(TablaMaq4[Componente],Tabla19[[#This Row],[Comp3]],TablaMaq4[ID_Pedido],'2.C_Datos'!A50))</f>
        <v/>
      </c>
      <c r="M50" s="99" t="str">
        <f>IF(Tabla19[[#This Row],[Comp4]]="","",COUNTIFS(TablaMaq1[Componente],Tabla19[[#This Row],[Comp4]],TablaMaq1[ID_Pedido],'2.C_Datos'!A50)+
COUNTIFS(TablaMaq2[Componente],Tabla19[[#This Row],[Comp4]],TablaMaq2[ID_Pedido],'2.C_Datos'!A50)+
COUNTIFS(TablaMaq3[Componente],Tabla19[[#This Row],[Comp4]],TablaMaq3[ID_Pedido],'2.C_Datos'!A50)+
COUNTIFS(TablaMaq4[Componente],Tabla19[[#This Row],[Comp4]],TablaMaq4[ID_Pedido],'2.C_Datos'!A50))</f>
        <v/>
      </c>
      <c r="N50" s="99" t="str">
        <f>IF(Tabla19[[#This Row],[Comp5]]="","",COUNTIFS(TablaMaq1[Componente],Tabla19[[#This Row],[Comp5]],TablaMaq1[ID_Pedido],'2.C_Datos'!A50)+
COUNTIFS(TablaMaq1[Componente],Tabla19[[#This Row],[Comp5]],TablaMaq2[ID_Pedido],'2.C_Datos'!A50)+
COUNTIFS(TablaMaq1[Componente],Tabla19[[#This Row],[Comp5]],TablaMaq3[ID_Pedido],'2.C_Datos'!A50)+
COUNTIFS(TablaMaq1[Componente],Tabla19[[#This Row],[Comp5]],TablaMaq4[ID_Pedido],'2.C_Datos'!A50))</f>
        <v/>
      </c>
      <c r="O50" s="85" t="str">
        <f>IF(Tabla19[[#This Row],[Comp1]]="","",
IF(IF(Tabla19[[#This Row],[Comp1]]=0,0,1)*$D50-Tabla19[[#This Row],[Asign1]]=0,0,Tabla19[[#This Row],[Comp1]]))</f>
        <v/>
      </c>
      <c r="P50" s="85" t="str">
        <f>IF(Tabla19[[#This Row],[Comp2]]="","",
IF(IF(Tabla19[[#This Row],[Comp2]]=0,0,1)*$D50-Tabla19[[#This Row],[Asign2]]=0,0,Tabla19[[#This Row],[Comp2]]))</f>
        <v/>
      </c>
      <c r="Q50" s="85" t="str">
        <f>IF(Tabla19[[#This Row],[Comp3]]="","",
IF(IF(Tabla19[[#This Row],[Comp3]]=0,0,1)*$D50-Tabla19[[#This Row],[Asign3]]=0,0,Tabla19[[#This Row],[Comp3]]))</f>
        <v/>
      </c>
      <c r="R50" s="85" t="str">
        <f>IF(Tabla19[[#This Row],[Comp4]]="","",
IF(IF(Tabla19[[#This Row],[Comp4]]=0,0,1)*$D50-Tabla19[[#This Row],[Asign4]]=0,0,Tabla19[[#This Row],[Comp4]]))</f>
        <v/>
      </c>
      <c r="S50" s="85" t="str">
        <f>IF(Tabla19[[#This Row],[Comp5]]="","",
IF(IF(Tabla19[[#This Row],[Comp5]]=0,0,1)*$D50-Tabla19[[#This Row],[Asign5]]=0,0,Tabla19[[#This Row],[Comp5]]))</f>
        <v/>
      </c>
    </row>
    <row r="51" spans="5:19" x14ac:dyDescent="0.3">
      <c r="E51" s="99" t="str">
        <f>IF($A51="","",INDEX(ListadoProductos[],MATCH('2.C_Datos'!$C51,ListadoProductos[Productos],0),MATCH('2.C_Datos'!E$3,ListadoProductos[#Headers],0)))</f>
        <v/>
      </c>
      <c r="F51" s="99" t="str">
        <f>IF($A51="","",INDEX(ListadoProductos[],MATCH('2.C_Datos'!$C51,ListadoProductos[Productos],0),MATCH('2.C_Datos'!F$3,ListadoProductos[#Headers],0)))</f>
        <v/>
      </c>
      <c r="G51" s="99" t="str">
        <f>IF($A51="","",INDEX(ListadoProductos[],MATCH('2.C_Datos'!$C51,ListadoProductos[Productos],0),MATCH('2.C_Datos'!G$3,ListadoProductos[#Headers],0)))</f>
        <v/>
      </c>
      <c r="H51" s="99" t="str">
        <f>IF($A51="","",INDEX(ListadoProductos[],MATCH('2.C_Datos'!$C51,ListadoProductos[Productos],0),MATCH('2.C_Datos'!H$3,ListadoProductos[#Headers],0)))</f>
        <v/>
      </c>
      <c r="I51" s="99" t="str">
        <f>IF($A51="","",INDEX(ListadoProductos[],MATCH('2.C_Datos'!$C51,ListadoProductos[Productos],0),MATCH('2.C_Datos'!I$3,ListadoProductos[#Headers],0)))</f>
        <v/>
      </c>
      <c r="J51" s="99" t="str">
        <f>IF(Tabla19[[#This Row],[Comp1]]="","",COUNTIFS(TablaMaq1[Componente],Tabla19[[#This Row],[Comp1]],TablaMaq1[ID_Pedido],'2.C_Datos'!A51)+
COUNTIFS(TablaMaq2[Componente],Tabla19[[#This Row],[Comp1]],TablaMaq2[ID_Pedido],'2.C_Datos'!A51)+
COUNTIFS(TablaMaq3[Componente],Tabla19[[#This Row],[Comp1]],TablaMaq3[ID_Pedido],'2.C_Datos'!A51)+
COUNTIFS(TablaMaq4[Componente],Tabla19[[#This Row],[Comp1]],TablaMaq4[ID_Pedido],'2.C_Datos'!A51))</f>
        <v/>
      </c>
      <c r="K51" s="99" t="str">
        <f>IF(Tabla19[[#This Row],[Comp2]]="","",COUNTIFS(TablaMaq1[Componente],Tabla19[[#This Row],[Comp2]],TablaMaq1[ID_Pedido],'2.C_Datos'!A51)+
COUNTIFS(TablaMaq2[Componente],Tabla19[[#This Row],[Comp2]],TablaMaq2[ID_Pedido],'2.C_Datos'!A51)+
COUNTIFS(TablaMaq3[Componente],Tabla19[[#This Row],[Comp2]],TablaMaq3[ID_Pedido],'2.C_Datos'!A51)+
COUNTIFS(TablaMaq4[Componente],Tabla19[[#This Row],[Comp2]],TablaMaq4[ID_Pedido],'2.C_Datos'!A51))</f>
        <v/>
      </c>
      <c r="L51" s="99" t="str">
        <f>IF(Tabla19[[#This Row],[Comp3]]="","",COUNTIFS(TablaMaq1[Componente],Tabla19[[#This Row],[Comp3]],TablaMaq1[ID_Pedido],'2.C_Datos'!A51)+
COUNTIFS(TablaMaq2[Componente],Tabla19[[#This Row],[Comp3]],TablaMaq2[ID_Pedido],'2.C_Datos'!A51)+
COUNTIFS(TablaMaq3[Componente],Tabla19[[#This Row],[Comp3]],TablaMaq3[ID_Pedido],'2.C_Datos'!A51)+
COUNTIFS(TablaMaq4[Componente],Tabla19[[#This Row],[Comp3]],TablaMaq4[ID_Pedido],'2.C_Datos'!A51))</f>
        <v/>
      </c>
      <c r="M51" s="99" t="str">
        <f>IF(Tabla19[[#This Row],[Comp4]]="","",COUNTIFS(TablaMaq1[Componente],Tabla19[[#This Row],[Comp4]],TablaMaq1[ID_Pedido],'2.C_Datos'!A51)+
COUNTIFS(TablaMaq2[Componente],Tabla19[[#This Row],[Comp4]],TablaMaq2[ID_Pedido],'2.C_Datos'!A51)+
COUNTIFS(TablaMaq3[Componente],Tabla19[[#This Row],[Comp4]],TablaMaq3[ID_Pedido],'2.C_Datos'!A51)+
COUNTIFS(TablaMaq4[Componente],Tabla19[[#This Row],[Comp4]],TablaMaq4[ID_Pedido],'2.C_Datos'!A51))</f>
        <v/>
      </c>
      <c r="N51" s="99" t="str">
        <f>IF(Tabla19[[#This Row],[Comp5]]="","",COUNTIFS(TablaMaq1[Componente],Tabla19[[#This Row],[Comp5]],TablaMaq1[ID_Pedido],'2.C_Datos'!A51)+
COUNTIFS(TablaMaq1[Componente],Tabla19[[#This Row],[Comp5]],TablaMaq2[ID_Pedido],'2.C_Datos'!A51)+
COUNTIFS(TablaMaq1[Componente],Tabla19[[#This Row],[Comp5]],TablaMaq3[ID_Pedido],'2.C_Datos'!A51)+
COUNTIFS(TablaMaq1[Componente],Tabla19[[#This Row],[Comp5]],TablaMaq4[ID_Pedido],'2.C_Datos'!A51))</f>
        <v/>
      </c>
      <c r="O51" s="85" t="str">
        <f>IF(Tabla19[[#This Row],[Comp1]]="","",
IF(IF(Tabla19[[#This Row],[Comp1]]=0,0,1)*$D51-Tabla19[[#This Row],[Asign1]]=0,0,Tabla19[[#This Row],[Comp1]]))</f>
        <v/>
      </c>
      <c r="P51" s="85" t="str">
        <f>IF(Tabla19[[#This Row],[Comp2]]="","",
IF(IF(Tabla19[[#This Row],[Comp2]]=0,0,1)*$D51-Tabla19[[#This Row],[Asign2]]=0,0,Tabla19[[#This Row],[Comp2]]))</f>
        <v/>
      </c>
      <c r="Q51" s="85" t="str">
        <f>IF(Tabla19[[#This Row],[Comp3]]="","",
IF(IF(Tabla19[[#This Row],[Comp3]]=0,0,1)*$D51-Tabla19[[#This Row],[Asign3]]=0,0,Tabla19[[#This Row],[Comp3]]))</f>
        <v/>
      </c>
      <c r="R51" s="85" t="str">
        <f>IF(Tabla19[[#This Row],[Comp4]]="","",
IF(IF(Tabla19[[#This Row],[Comp4]]=0,0,1)*$D51-Tabla19[[#This Row],[Asign4]]=0,0,Tabla19[[#This Row],[Comp4]]))</f>
        <v/>
      </c>
      <c r="S51" s="85" t="str">
        <f>IF(Tabla19[[#This Row],[Comp5]]="","",
IF(IF(Tabla19[[#This Row],[Comp5]]=0,0,1)*$D51-Tabla19[[#This Row],[Asign5]]=0,0,Tabla19[[#This Row],[Comp5]]))</f>
        <v/>
      </c>
    </row>
    <row r="52" spans="5:19" x14ac:dyDescent="0.3">
      <c r="E52" s="99" t="str">
        <f>IF($A52="","",INDEX(ListadoProductos[],MATCH('2.C_Datos'!$C52,ListadoProductos[Productos],0),MATCH('2.C_Datos'!E$3,ListadoProductos[#Headers],0)))</f>
        <v/>
      </c>
      <c r="F52" s="99" t="str">
        <f>IF($A52="","",INDEX(ListadoProductos[],MATCH('2.C_Datos'!$C52,ListadoProductos[Productos],0),MATCH('2.C_Datos'!F$3,ListadoProductos[#Headers],0)))</f>
        <v/>
      </c>
      <c r="G52" s="99" t="str">
        <f>IF($A52="","",INDEX(ListadoProductos[],MATCH('2.C_Datos'!$C52,ListadoProductos[Productos],0),MATCH('2.C_Datos'!G$3,ListadoProductos[#Headers],0)))</f>
        <v/>
      </c>
      <c r="H52" s="99" t="str">
        <f>IF($A52="","",INDEX(ListadoProductos[],MATCH('2.C_Datos'!$C52,ListadoProductos[Productos],0),MATCH('2.C_Datos'!H$3,ListadoProductos[#Headers],0)))</f>
        <v/>
      </c>
      <c r="I52" s="99" t="str">
        <f>IF($A52="","",INDEX(ListadoProductos[],MATCH('2.C_Datos'!$C52,ListadoProductos[Productos],0),MATCH('2.C_Datos'!I$3,ListadoProductos[#Headers],0)))</f>
        <v/>
      </c>
      <c r="J52" s="99" t="str">
        <f>IF(Tabla19[[#This Row],[Comp1]]="","",COUNTIFS(TablaMaq1[Componente],Tabla19[[#This Row],[Comp1]],TablaMaq1[ID_Pedido],'2.C_Datos'!A52)+
COUNTIFS(TablaMaq2[Componente],Tabla19[[#This Row],[Comp1]],TablaMaq2[ID_Pedido],'2.C_Datos'!A52)+
COUNTIFS(TablaMaq3[Componente],Tabla19[[#This Row],[Comp1]],TablaMaq3[ID_Pedido],'2.C_Datos'!A52)+
COUNTIFS(TablaMaq4[Componente],Tabla19[[#This Row],[Comp1]],TablaMaq4[ID_Pedido],'2.C_Datos'!A52))</f>
        <v/>
      </c>
      <c r="K52" s="99" t="str">
        <f>IF(Tabla19[[#This Row],[Comp2]]="","",COUNTIFS(TablaMaq1[Componente],Tabla19[[#This Row],[Comp2]],TablaMaq1[ID_Pedido],'2.C_Datos'!A52)+
COUNTIFS(TablaMaq2[Componente],Tabla19[[#This Row],[Comp2]],TablaMaq2[ID_Pedido],'2.C_Datos'!A52)+
COUNTIFS(TablaMaq3[Componente],Tabla19[[#This Row],[Comp2]],TablaMaq3[ID_Pedido],'2.C_Datos'!A52)+
COUNTIFS(TablaMaq4[Componente],Tabla19[[#This Row],[Comp2]],TablaMaq4[ID_Pedido],'2.C_Datos'!A52))</f>
        <v/>
      </c>
      <c r="L52" s="99" t="str">
        <f>IF(Tabla19[[#This Row],[Comp3]]="","",COUNTIFS(TablaMaq1[Componente],Tabla19[[#This Row],[Comp3]],TablaMaq1[ID_Pedido],'2.C_Datos'!A52)+
COUNTIFS(TablaMaq2[Componente],Tabla19[[#This Row],[Comp3]],TablaMaq2[ID_Pedido],'2.C_Datos'!A52)+
COUNTIFS(TablaMaq3[Componente],Tabla19[[#This Row],[Comp3]],TablaMaq3[ID_Pedido],'2.C_Datos'!A52)+
COUNTIFS(TablaMaq4[Componente],Tabla19[[#This Row],[Comp3]],TablaMaq4[ID_Pedido],'2.C_Datos'!A52))</f>
        <v/>
      </c>
      <c r="M52" s="99" t="str">
        <f>IF(Tabla19[[#This Row],[Comp4]]="","",COUNTIFS(TablaMaq1[Componente],Tabla19[[#This Row],[Comp4]],TablaMaq1[ID_Pedido],'2.C_Datos'!A52)+
COUNTIFS(TablaMaq2[Componente],Tabla19[[#This Row],[Comp4]],TablaMaq2[ID_Pedido],'2.C_Datos'!A52)+
COUNTIFS(TablaMaq3[Componente],Tabla19[[#This Row],[Comp4]],TablaMaq3[ID_Pedido],'2.C_Datos'!A52)+
COUNTIFS(TablaMaq4[Componente],Tabla19[[#This Row],[Comp4]],TablaMaq4[ID_Pedido],'2.C_Datos'!A52))</f>
        <v/>
      </c>
      <c r="N52" s="99" t="str">
        <f>IF(Tabla19[[#This Row],[Comp5]]="","",COUNTIFS(TablaMaq1[Componente],Tabla19[[#This Row],[Comp5]],TablaMaq1[ID_Pedido],'2.C_Datos'!A52)+
COUNTIFS(TablaMaq1[Componente],Tabla19[[#This Row],[Comp5]],TablaMaq2[ID_Pedido],'2.C_Datos'!A52)+
COUNTIFS(TablaMaq1[Componente],Tabla19[[#This Row],[Comp5]],TablaMaq3[ID_Pedido],'2.C_Datos'!A52)+
COUNTIFS(TablaMaq1[Componente],Tabla19[[#This Row],[Comp5]],TablaMaq4[ID_Pedido],'2.C_Datos'!A52))</f>
        <v/>
      </c>
      <c r="O52" s="85" t="str">
        <f>IF(Tabla19[[#This Row],[Comp1]]="","",
IF(IF(Tabla19[[#This Row],[Comp1]]=0,0,1)*$D52-Tabla19[[#This Row],[Asign1]]=0,0,Tabla19[[#This Row],[Comp1]]))</f>
        <v/>
      </c>
      <c r="P52" s="85" t="str">
        <f>IF(Tabla19[[#This Row],[Comp2]]="","",
IF(IF(Tabla19[[#This Row],[Comp2]]=0,0,1)*$D52-Tabla19[[#This Row],[Asign2]]=0,0,Tabla19[[#This Row],[Comp2]]))</f>
        <v/>
      </c>
      <c r="Q52" s="85" t="str">
        <f>IF(Tabla19[[#This Row],[Comp3]]="","",
IF(IF(Tabla19[[#This Row],[Comp3]]=0,0,1)*$D52-Tabla19[[#This Row],[Asign3]]=0,0,Tabla19[[#This Row],[Comp3]]))</f>
        <v/>
      </c>
      <c r="R52" s="85" t="str">
        <f>IF(Tabla19[[#This Row],[Comp4]]="","",
IF(IF(Tabla19[[#This Row],[Comp4]]=0,0,1)*$D52-Tabla19[[#This Row],[Asign4]]=0,0,Tabla19[[#This Row],[Comp4]]))</f>
        <v/>
      </c>
      <c r="S52" s="85" t="str">
        <f>IF(Tabla19[[#This Row],[Comp5]]="","",
IF(IF(Tabla19[[#This Row],[Comp5]]=0,0,1)*$D52-Tabla19[[#This Row],[Asign5]]=0,0,Tabla19[[#This Row],[Comp5]]))</f>
        <v/>
      </c>
    </row>
    <row r="53" spans="5:19" x14ac:dyDescent="0.3">
      <c r="E53" s="99" t="str">
        <f>IF($A53="","",INDEX(ListadoProductos[],MATCH('2.C_Datos'!$C53,ListadoProductos[Productos],0),MATCH('2.C_Datos'!E$3,ListadoProductos[#Headers],0)))</f>
        <v/>
      </c>
      <c r="F53" s="99" t="str">
        <f>IF($A53="","",INDEX(ListadoProductos[],MATCH('2.C_Datos'!$C53,ListadoProductos[Productos],0),MATCH('2.C_Datos'!F$3,ListadoProductos[#Headers],0)))</f>
        <v/>
      </c>
      <c r="G53" s="99" t="str">
        <f>IF($A53="","",INDEX(ListadoProductos[],MATCH('2.C_Datos'!$C53,ListadoProductos[Productos],0),MATCH('2.C_Datos'!G$3,ListadoProductos[#Headers],0)))</f>
        <v/>
      </c>
      <c r="H53" s="99" t="str">
        <f>IF($A53="","",INDEX(ListadoProductos[],MATCH('2.C_Datos'!$C53,ListadoProductos[Productos],0),MATCH('2.C_Datos'!H$3,ListadoProductos[#Headers],0)))</f>
        <v/>
      </c>
      <c r="I53" s="99" t="str">
        <f>IF($A53="","",INDEX(ListadoProductos[],MATCH('2.C_Datos'!$C53,ListadoProductos[Productos],0),MATCH('2.C_Datos'!I$3,ListadoProductos[#Headers],0)))</f>
        <v/>
      </c>
      <c r="J53" s="99" t="str">
        <f>IF(Tabla19[[#This Row],[Comp1]]="","",COUNTIFS(TablaMaq1[Componente],Tabla19[[#This Row],[Comp1]],TablaMaq1[ID_Pedido],'2.C_Datos'!A53)+
COUNTIFS(TablaMaq2[Componente],Tabla19[[#This Row],[Comp1]],TablaMaq2[ID_Pedido],'2.C_Datos'!A53)+
COUNTIFS(TablaMaq3[Componente],Tabla19[[#This Row],[Comp1]],TablaMaq3[ID_Pedido],'2.C_Datos'!A53)+
COUNTIFS(TablaMaq4[Componente],Tabla19[[#This Row],[Comp1]],TablaMaq4[ID_Pedido],'2.C_Datos'!A53))</f>
        <v/>
      </c>
      <c r="K53" s="99" t="str">
        <f>IF(Tabla19[[#This Row],[Comp2]]="","",COUNTIFS(TablaMaq1[Componente],Tabla19[[#This Row],[Comp2]],TablaMaq1[ID_Pedido],'2.C_Datos'!A53)+
COUNTIFS(TablaMaq2[Componente],Tabla19[[#This Row],[Comp2]],TablaMaq2[ID_Pedido],'2.C_Datos'!A53)+
COUNTIFS(TablaMaq3[Componente],Tabla19[[#This Row],[Comp2]],TablaMaq3[ID_Pedido],'2.C_Datos'!A53)+
COUNTIFS(TablaMaq4[Componente],Tabla19[[#This Row],[Comp2]],TablaMaq4[ID_Pedido],'2.C_Datos'!A53))</f>
        <v/>
      </c>
      <c r="L53" s="99" t="str">
        <f>IF(Tabla19[[#This Row],[Comp3]]="","",COUNTIFS(TablaMaq1[Componente],Tabla19[[#This Row],[Comp3]],TablaMaq1[ID_Pedido],'2.C_Datos'!A53)+
COUNTIFS(TablaMaq2[Componente],Tabla19[[#This Row],[Comp3]],TablaMaq2[ID_Pedido],'2.C_Datos'!A53)+
COUNTIFS(TablaMaq3[Componente],Tabla19[[#This Row],[Comp3]],TablaMaq3[ID_Pedido],'2.C_Datos'!A53)+
COUNTIFS(TablaMaq4[Componente],Tabla19[[#This Row],[Comp3]],TablaMaq4[ID_Pedido],'2.C_Datos'!A53))</f>
        <v/>
      </c>
      <c r="M53" s="99" t="str">
        <f>IF(Tabla19[[#This Row],[Comp4]]="","",COUNTIFS(TablaMaq1[Componente],Tabla19[[#This Row],[Comp4]],TablaMaq1[ID_Pedido],'2.C_Datos'!A53)+
COUNTIFS(TablaMaq2[Componente],Tabla19[[#This Row],[Comp4]],TablaMaq2[ID_Pedido],'2.C_Datos'!A53)+
COUNTIFS(TablaMaq3[Componente],Tabla19[[#This Row],[Comp4]],TablaMaq3[ID_Pedido],'2.C_Datos'!A53)+
COUNTIFS(TablaMaq4[Componente],Tabla19[[#This Row],[Comp4]],TablaMaq4[ID_Pedido],'2.C_Datos'!A53))</f>
        <v/>
      </c>
      <c r="N53" s="99" t="str">
        <f>IF(Tabla19[[#This Row],[Comp5]]="","",COUNTIFS(TablaMaq1[Componente],Tabla19[[#This Row],[Comp5]],TablaMaq1[ID_Pedido],'2.C_Datos'!A53)+
COUNTIFS(TablaMaq1[Componente],Tabla19[[#This Row],[Comp5]],TablaMaq2[ID_Pedido],'2.C_Datos'!A53)+
COUNTIFS(TablaMaq1[Componente],Tabla19[[#This Row],[Comp5]],TablaMaq3[ID_Pedido],'2.C_Datos'!A53)+
COUNTIFS(TablaMaq1[Componente],Tabla19[[#This Row],[Comp5]],TablaMaq4[ID_Pedido],'2.C_Datos'!A53))</f>
        <v/>
      </c>
      <c r="O53" s="85" t="str">
        <f>IF(Tabla19[[#This Row],[Comp1]]="","",
IF(IF(Tabla19[[#This Row],[Comp1]]=0,0,1)*$D53-Tabla19[[#This Row],[Asign1]]=0,0,Tabla19[[#This Row],[Comp1]]))</f>
        <v/>
      </c>
      <c r="P53" s="85" t="str">
        <f>IF(Tabla19[[#This Row],[Comp2]]="","",
IF(IF(Tabla19[[#This Row],[Comp2]]=0,0,1)*$D53-Tabla19[[#This Row],[Asign2]]=0,0,Tabla19[[#This Row],[Comp2]]))</f>
        <v/>
      </c>
      <c r="Q53" s="85" t="str">
        <f>IF(Tabla19[[#This Row],[Comp3]]="","",
IF(IF(Tabla19[[#This Row],[Comp3]]=0,0,1)*$D53-Tabla19[[#This Row],[Asign3]]=0,0,Tabla19[[#This Row],[Comp3]]))</f>
        <v/>
      </c>
      <c r="R53" s="85" t="str">
        <f>IF(Tabla19[[#This Row],[Comp4]]="","",
IF(IF(Tabla19[[#This Row],[Comp4]]=0,0,1)*$D53-Tabla19[[#This Row],[Asign4]]=0,0,Tabla19[[#This Row],[Comp4]]))</f>
        <v/>
      </c>
      <c r="S53" s="85" t="str">
        <f>IF(Tabla19[[#This Row],[Comp5]]="","",
IF(IF(Tabla19[[#This Row],[Comp5]]=0,0,1)*$D53-Tabla19[[#This Row],[Asign5]]=0,0,Tabla19[[#This Row],[Comp5]]))</f>
        <v/>
      </c>
    </row>
    <row r="54" spans="5:19" x14ac:dyDescent="0.3">
      <c r="E54" s="99" t="str">
        <f>IF($A54="","",INDEX(ListadoProductos[],MATCH('2.C_Datos'!$C54,ListadoProductos[Productos],0),MATCH('2.C_Datos'!E$3,ListadoProductos[#Headers],0)))</f>
        <v/>
      </c>
      <c r="F54" s="99" t="str">
        <f>IF($A54="","",INDEX(ListadoProductos[],MATCH('2.C_Datos'!$C54,ListadoProductos[Productos],0),MATCH('2.C_Datos'!F$3,ListadoProductos[#Headers],0)))</f>
        <v/>
      </c>
      <c r="G54" s="99" t="str">
        <f>IF($A54="","",INDEX(ListadoProductos[],MATCH('2.C_Datos'!$C54,ListadoProductos[Productos],0),MATCH('2.C_Datos'!G$3,ListadoProductos[#Headers],0)))</f>
        <v/>
      </c>
      <c r="H54" s="99" t="str">
        <f>IF($A54="","",INDEX(ListadoProductos[],MATCH('2.C_Datos'!$C54,ListadoProductos[Productos],0),MATCH('2.C_Datos'!H$3,ListadoProductos[#Headers],0)))</f>
        <v/>
      </c>
      <c r="I54" s="99" t="str">
        <f>IF($A54="","",INDEX(ListadoProductos[],MATCH('2.C_Datos'!$C54,ListadoProductos[Productos],0),MATCH('2.C_Datos'!I$3,ListadoProductos[#Headers],0)))</f>
        <v/>
      </c>
      <c r="J54" s="99" t="str">
        <f>IF(Tabla19[[#This Row],[Comp1]]="","",COUNTIFS(TablaMaq1[Componente],Tabla19[[#This Row],[Comp1]],TablaMaq1[ID_Pedido],'2.C_Datos'!A54)+
COUNTIFS(TablaMaq2[Componente],Tabla19[[#This Row],[Comp1]],TablaMaq2[ID_Pedido],'2.C_Datos'!A54)+
COUNTIFS(TablaMaq3[Componente],Tabla19[[#This Row],[Comp1]],TablaMaq3[ID_Pedido],'2.C_Datos'!A54)+
COUNTIFS(TablaMaq4[Componente],Tabla19[[#This Row],[Comp1]],TablaMaq4[ID_Pedido],'2.C_Datos'!A54))</f>
        <v/>
      </c>
      <c r="K54" s="99" t="str">
        <f>IF(Tabla19[[#This Row],[Comp2]]="","",COUNTIFS(TablaMaq1[Componente],Tabla19[[#This Row],[Comp2]],TablaMaq1[ID_Pedido],'2.C_Datos'!A54)+
COUNTIFS(TablaMaq2[Componente],Tabla19[[#This Row],[Comp2]],TablaMaq2[ID_Pedido],'2.C_Datos'!A54)+
COUNTIFS(TablaMaq3[Componente],Tabla19[[#This Row],[Comp2]],TablaMaq3[ID_Pedido],'2.C_Datos'!A54)+
COUNTIFS(TablaMaq4[Componente],Tabla19[[#This Row],[Comp2]],TablaMaq4[ID_Pedido],'2.C_Datos'!A54))</f>
        <v/>
      </c>
      <c r="L54" s="99" t="str">
        <f>IF(Tabla19[[#This Row],[Comp3]]="","",COUNTIFS(TablaMaq1[Componente],Tabla19[[#This Row],[Comp3]],TablaMaq1[ID_Pedido],'2.C_Datos'!A54)+
COUNTIFS(TablaMaq2[Componente],Tabla19[[#This Row],[Comp3]],TablaMaq2[ID_Pedido],'2.C_Datos'!A54)+
COUNTIFS(TablaMaq3[Componente],Tabla19[[#This Row],[Comp3]],TablaMaq3[ID_Pedido],'2.C_Datos'!A54)+
COUNTIFS(TablaMaq4[Componente],Tabla19[[#This Row],[Comp3]],TablaMaq4[ID_Pedido],'2.C_Datos'!A54))</f>
        <v/>
      </c>
      <c r="M54" s="99" t="str">
        <f>IF(Tabla19[[#This Row],[Comp4]]="","",COUNTIFS(TablaMaq1[Componente],Tabla19[[#This Row],[Comp4]],TablaMaq1[ID_Pedido],'2.C_Datos'!A54)+
COUNTIFS(TablaMaq2[Componente],Tabla19[[#This Row],[Comp4]],TablaMaq2[ID_Pedido],'2.C_Datos'!A54)+
COUNTIFS(TablaMaq3[Componente],Tabla19[[#This Row],[Comp4]],TablaMaq3[ID_Pedido],'2.C_Datos'!A54)+
COUNTIFS(TablaMaq4[Componente],Tabla19[[#This Row],[Comp4]],TablaMaq4[ID_Pedido],'2.C_Datos'!A54))</f>
        <v/>
      </c>
      <c r="N54" s="99" t="str">
        <f>IF(Tabla19[[#This Row],[Comp5]]="","",COUNTIFS(TablaMaq1[Componente],Tabla19[[#This Row],[Comp5]],TablaMaq1[ID_Pedido],'2.C_Datos'!A54)+
COUNTIFS(TablaMaq1[Componente],Tabla19[[#This Row],[Comp5]],TablaMaq2[ID_Pedido],'2.C_Datos'!A54)+
COUNTIFS(TablaMaq1[Componente],Tabla19[[#This Row],[Comp5]],TablaMaq3[ID_Pedido],'2.C_Datos'!A54)+
COUNTIFS(TablaMaq1[Componente],Tabla19[[#This Row],[Comp5]],TablaMaq4[ID_Pedido],'2.C_Datos'!A54))</f>
        <v/>
      </c>
      <c r="O54" s="85" t="str">
        <f>IF(Tabla19[[#This Row],[Comp1]]="","",
IF(IF(Tabla19[[#This Row],[Comp1]]=0,0,1)*$D54-Tabla19[[#This Row],[Asign1]]=0,0,Tabla19[[#This Row],[Comp1]]))</f>
        <v/>
      </c>
      <c r="P54" s="85" t="str">
        <f>IF(Tabla19[[#This Row],[Comp2]]="","",
IF(IF(Tabla19[[#This Row],[Comp2]]=0,0,1)*$D54-Tabla19[[#This Row],[Asign2]]=0,0,Tabla19[[#This Row],[Comp2]]))</f>
        <v/>
      </c>
      <c r="Q54" s="85" t="str">
        <f>IF(Tabla19[[#This Row],[Comp3]]="","",
IF(IF(Tabla19[[#This Row],[Comp3]]=0,0,1)*$D54-Tabla19[[#This Row],[Asign3]]=0,0,Tabla19[[#This Row],[Comp3]]))</f>
        <v/>
      </c>
      <c r="R54" s="85" t="str">
        <f>IF(Tabla19[[#This Row],[Comp4]]="","",
IF(IF(Tabla19[[#This Row],[Comp4]]=0,0,1)*$D54-Tabla19[[#This Row],[Asign4]]=0,0,Tabla19[[#This Row],[Comp4]]))</f>
        <v/>
      </c>
      <c r="S54" s="85" t="str">
        <f>IF(Tabla19[[#This Row],[Comp5]]="","",
IF(IF(Tabla19[[#This Row],[Comp5]]=0,0,1)*$D54-Tabla19[[#This Row],[Asign5]]=0,0,Tabla19[[#This Row],[Comp5]]))</f>
        <v/>
      </c>
    </row>
    <row r="55" spans="5:19" x14ac:dyDescent="0.3">
      <c r="E55" s="99" t="str">
        <f>IF($A55="","",INDEX(ListadoProductos[],MATCH('2.C_Datos'!$C55,ListadoProductos[Productos],0),MATCH('2.C_Datos'!E$3,ListadoProductos[#Headers],0)))</f>
        <v/>
      </c>
      <c r="F55" s="99" t="str">
        <f>IF($A55="","",INDEX(ListadoProductos[],MATCH('2.C_Datos'!$C55,ListadoProductos[Productos],0),MATCH('2.C_Datos'!F$3,ListadoProductos[#Headers],0)))</f>
        <v/>
      </c>
      <c r="G55" s="99" t="str">
        <f>IF($A55="","",INDEX(ListadoProductos[],MATCH('2.C_Datos'!$C55,ListadoProductos[Productos],0),MATCH('2.C_Datos'!G$3,ListadoProductos[#Headers],0)))</f>
        <v/>
      </c>
      <c r="H55" s="99" t="str">
        <f>IF($A55="","",INDEX(ListadoProductos[],MATCH('2.C_Datos'!$C55,ListadoProductos[Productos],0),MATCH('2.C_Datos'!H$3,ListadoProductos[#Headers],0)))</f>
        <v/>
      </c>
      <c r="I55" s="99" t="str">
        <f>IF($A55="","",INDEX(ListadoProductos[],MATCH('2.C_Datos'!$C55,ListadoProductos[Productos],0),MATCH('2.C_Datos'!I$3,ListadoProductos[#Headers],0)))</f>
        <v/>
      </c>
      <c r="J55" s="99" t="str">
        <f>IF(Tabla19[[#This Row],[Comp1]]="","",COUNTIFS(TablaMaq1[Componente],Tabla19[[#This Row],[Comp1]],TablaMaq1[ID_Pedido],'2.C_Datos'!A55)+
COUNTIFS(TablaMaq2[Componente],Tabla19[[#This Row],[Comp1]],TablaMaq2[ID_Pedido],'2.C_Datos'!A55)+
COUNTIFS(TablaMaq3[Componente],Tabla19[[#This Row],[Comp1]],TablaMaq3[ID_Pedido],'2.C_Datos'!A55)+
COUNTIFS(TablaMaq4[Componente],Tabla19[[#This Row],[Comp1]],TablaMaq4[ID_Pedido],'2.C_Datos'!A55))</f>
        <v/>
      </c>
      <c r="K55" s="99" t="str">
        <f>IF(Tabla19[[#This Row],[Comp2]]="","",COUNTIFS(TablaMaq1[Componente],Tabla19[[#This Row],[Comp2]],TablaMaq1[ID_Pedido],'2.C_Datos'!A55)+
COUNTIFS(TablaMaq2[Componente],Tabla19[[#This Row],[Comp2]],TablaMaq2[ID_Pedido],'2.C_Datos'!A55)+
COUNTIFS(TablaMaq3[Componente],Tabla19[[#This Row],[Comp2]],TablaMaq3[ID_Pedido],'2.C_Datos'!A55)+
COUNTIFS(TablaMaq4[Componente],Tabla19[[#This Row],[Comp2]],TablaMaq4[ID_Pedido],'2.C_Datos'!A55))</f>
        <v/>
      </c>
      <c r="L55" s="99" t="str">
        <f>IF(Tabla19[[#This Row],[Comp3]]="","",COUNTIFS(TablaMaq1[Componente],Tabla19[[#This Row],[Comp3]],TablaMaq1[ID_Pedido],'2.C_Datos'!A55)+
COUNTIFS(TablaMaq2[Componente],Tabla19[[#This Row],[Comp3]],TablaMaq2[ID_Pedido],'2.C_Datos'!A55)+
COUNTIFS(TablaMaq3[Componente],Tabla19[[#This Row],[Comp3]],TablaMaq3[ID_Pedido],'2.C_Datos'!A55)+
COUNTIFS(TablaMaq4[Componente],Tabla19[[#This Row],[Comp3]],TablaMaq4[ID_Pedido],'2.C_Datos'!A55))</f>
        <v/>
      </c>
      <c r="M55" s="99" t="str">
        <f>IF(Tabla19[[#This Row],[Comp4]]="","",COUNTIFS(TablaMaq1[Componente],Tabla19[[#This Row],[Comp4]],TablaMaq1[ID_Pedido],'2.C_Datos'!A55)+
COUNTIFS(TablaMaq2[Componente],Tabla19[[#This Row],[Comp4]],TablaMaq2[ID_Pedido],'2.C_Datos'!A55)+
COUNTIFS(TablaMaq3[Componente],Tabla19[[#This Row],[Comp4]],TablaMaq3[ID_Pedido],'2.C_Datos'!A55)+
COUNTIFS(TablaMaq4[Componente],Tabla19[[#This Row],[Comp4]],TablaMaq4[ID_Pedido],'2.C_Datos'!A55))</f>
        <v/>
      </c>
      <c r="N55" s="99" t="str">
        <f>IF(Tabla19[[#This Row],[Comp5]]="","",COUNTIFS(TablaMaq1[Componente],Tabla19[[#This Row],[Comp5]],TablaMaq1[ID_Pedido],'2.C_Datos'!A55)+
COUNTIFS(TablaMaq1[Componente],Tabla19[[#This Row],[Comp5]],TablaMaq2[ID_Pedido],'2.C_Datos'!A55)+
COUNTIFS(TablaMaq1[Componente],Tabla19[[#This Row],[Comp5]],TablaMaq3[ID_Pedido],'2.C_Datos'!A55)+
COUNTIFS(TablaMaq1[Componente],Tabla19[[#This Row],[Comp5]],TablaMaq4[ID_Pedido],'2.C_Datos'!A55))</f>
        <v/>
      </c>
      <c r="O55" s="85" t="str">
        <f>IF(Tabla19[[#This Row],[Comp1]]="","",
IF(IF(Tabla19[[#This Row],[Comp1]]=0,0,1)*$D55-Tabla19[[#This Row],[Asign1]]=0,0,Tabla19[[#This Row],[Comp1]]))</f>
        <v/>
      </c>
      <c r="P55" s="85" t="str">
        <f>IF(Tabla19[[#This Row],[Comp2]]="","",
IF(IF(Tabla19[[#This Row],[Comp2]]=0,0,1)*$D55-Tabla19[[#This Row],[Asign2]]=0,0,Tabla19[[#This Row],[Comp2]]))</f>
        <v/>
      </c>
      <c r="Q55" s="85" t="str">
        <f>IF(Tabla19[[#This Row],[Comp3]]="","",
IF(IF(Tabla19[[#This Row],[Comp3]]=0,0,1)*$D55-Tabla19[[#This Row],[Asign3]]=0,0,Tabla19[[#This Row],[Comp3]]))</f>
        <v/>
      </c>
      <c r="R55" s="85" t="str">
        <f>IF(Tabla19[[#This Row],[Comp4]]="","",
IF(IF(Tabla19[[#This Row],[Comp4]]=0,0,1)*$D55-Tabla19[[#This Row],[Asign4]]=0,0,Tabla19[[#This Row],[Comp4]]))</f>
        <v/>
      </c>
      <c r="S55" s="85" t="str">
        <f>IF(Tabla19[[#This Row],[Comp5]]="","",
IF(IF(Tabla19[[#This Row],[Comp5]]=0,0,1)*$D55-Tabla19[[#This Row],[Asign5]]=0,0,Tabla19[[#This Row],[Comp5]]))</f>
        <v/>
      </c>
    </row>
    <row r="56" spans="5:19" x14ac:dyDescent="0.3">
      <c r="E56" s="99" t="str">
        <f>IF($A56="","",INDEX(ListadoProductos[],MATCH('2.C_Datos'!$C56,ListadoProductos[Productos],0),MATCH('2.C_Datos'!E$3,ListadoProductos[#Headers],0)))</f>
        <v/>
      </c>
      <c r="F56" s="99" t="str">
        <f>IF($A56="","",INDEX(ListadoProductos[],MATCH('2.C_Datos'!$C56,ListadoProductos[Productos],0),MATCH('2.C_Datos'!F$3,ListadoProductos[#Headers],0)))</f>
        <v/>
      </c>
      <c r="G56" s="99" t="str">
        <f>IF($A56="","",INDEX(ListadoProductos[],MATCH('2.C_Datos'!$C56,ListadoProductos[Productos],0),MATCH('2.C_Datos'!G$3,ListadoProductos[#Headers],0)))</f>
        <v/>
      </c>
      <c r="H56" s="99" t="str">
        <f>IF($A56="","",INDEX(ListadoProductos[],MATCH('2.C_Datos'!$C56,ListadoProductos[Productos],0),MATCH('2.C_Datos'!H$3,ListadoProductos[#Headers],0)))</f>
        <v/>
      </c>
      <c r="I56" s="99" t="str">
        <f>IF($A56="","",INDEX(ListadoProductos[],MATCH('2.C_Datos'!$C56,ListadoProductos[Productos],0),MATCH('2.C_Datos'!I$3,ListadoProductos[#Headers],0)))</f>
        <v/>
      </c>
      <c r="J56" s="99" t="str">
        <f>IF(Tabla19[[#This Row],[Comp1]]="","",COUNTIFS(TablaMaq1[Componente],Tabla19[[#This Row],[Comp1]],TablaMaq1[ID_Pedido],'2.C_Datos'!A56)+
COUNTIFS(TablaMaq2[Componente],Tabla19[[#This Row],[Comp1]],TablaMaq2[ID_Pedido],'2.C_Datos'!A56)+
COUNTIFS(TablaMaq3[Componente],Tabla19[[#This Row],[Comp1]],TablaMaq3[ID_Pedido],'2.C_Datos'!A56)+
COUNTIFS(TablaMaq4[Componente],Tabla19[[#This Row],[Comp1]],TablaMaq4[ID_Pedido],'2.C_Datos'!A56))</f>
        <v/>
      </c>
      <c r="K56" s="99" t="str">
        <f>IF(Tabla19[[#This Row],[Comp2]]="","",COUNTIFS(TablaMaq1[Componente],Tabla19[[#This Row],[Comp2]],TablaMaq1[ID_Pedido],'2.C_Datos'!A56)+
COUNTIFS(TablaMaq2[Componente],Tabla19[[#This Row],[Comp2]],TablaMaq2[ID_Pedido],'2.C_Datos'!A56)+
COUNTIFS(TablaMaq3[Componente],Tabla19[[#This Row],[Comp2]],TablaMaq3[ID_Pedido],'2.C_Datos'!A56)+
COUNTIFS(TablaMaq4[Componente],Tabla19[[#This Row],[Comp2]],TablaMaq4[ID_Pedido],'2.C_Datos'!A56))</f>
        <v/>
      </c>
      <c r="L56" s="99" t="str">
        <f>IF(Tabla19[[#This Row],[Comp3]]="","",COUNTIFS(TablaMaq1[Componente],Tabla19[[#This Row],[Comp3]],TablaMaq1[ID_Pedido],'2.C_Datos'!A56)+
COUNTIFS(TablaMaq2[Componente],Tabla19[[#This Row],[Comp3]],TablaMaq2[ID_Pedido],'2.C_Datos'!A56)+
COUNTIFS(TablaMaq3[Componente],Tabla19[[#This Row],[Comp3]],TablaMaq3[ID_Pedido],'2.C_Datos'!A56)+
COUNTIFS(TablaMaq4[Componente],Tabla19[[#This Row],[Comp3]],TablaMaq4[ID_Pedido],'2.C_Datos'!A56))</f>
        <v/>
      </c>
      <c r="M56" s="99" t="str">
        <f>IF(Tabla19[[#This Row],[Comp4]]="","",COUNTIFS(TablaMaq1[Componente],Tabla19[[#This Row],[Comp4]],TablaMaq1[ID_Pedido],'2.C_Datos'!A56)+
COUNTIFS(TablaMaq2[Componente],Tabla19[[#This Row],[Comp4]],TablaMaq2[ID_Pedido],'2.C_Datos'!A56)+
COUNTIFS(TablaMaq3[Componente],Tabla19[[#This Row],[Comp4]],TablaMaq3[ID_Pedido],'2.C_Datos'!A56)+
COUNTIFS(TablaMaq4[Componente],Tabla19[[#This Row],[Comp4]],TablaMaq4[ID_Pedido],'2.C_Datos'!A56))</f>
        <v/>
      </c>
      <c r="N56" s="99" t="str">
        <f>IF(Tabla19[[#This Row],[Comp5]]="","",COUNTIFS(TablaMaq1[Componente],Tabla19[[#This Row],[Comp5]],TablaMaq1[ID_Pedido],'2.C_Datos'!A56)+
COUNTIFS(TablaMaq1[Componente],Tabla19[[#This Row],[Comp5]],TablaMaq2[ID_Pedido],'2.C_Datos'!A56)+
COUNTIFS(TablaMaq1[Componente],Tabla19[[#This Row],[Comp5]],TablaMaq3[ID_Pedido],'2.C_Datos'!A56)+
COUNTIFS(TablaMaq1[Componente],Tabla19[[#This Row],[Comp5]],TablaMaq4[ID_Pedido],'2.C_Datos'!A56))</f>
        <v/>
      </c>
      <c r="O56" s="85" t="str">
        <f>IF(Tabla19[[#This Row],[Comp1]]="","",
IF(IF(Tabla19[[#This Row],[Comp1]]=0,0,1)*$D56-Tabla19[[#This Row],[Asign1]]=0,0,Tabla19[[#This Row],[Comp1]]))</f>
        <v/>
      </c>
      <c r="P56" s="85" t="str">
        <f>IF(Tabla19[[#This Row],[Comp2]]="","",
IF(IF(Tabla19[[#This Row],[Comp2]]=0,0,1)*$D56-Tabla19[[#This Row],[Asign2]]=0,0,Tabla19[[#This Row],[Comp2]]))</f>
        <v/>
      </c>
      <c r="Q56" s="85" t="str">
        <f>IF(Tabla19[[#This Row],[Comp3]]="","",
IF(IF(Tabla19[[#This Row],[Comp3]]=0,0,1)*$D56-Tabla19[[#This Row],[Asign3]]=0,0,Tabla19[[#This Row],[Comp3]]))</f>
        <v/>
      </c>
      <c r="R56" s="85" t="str">
        <f>IF(Tabla19[[#This Row],[Comp4]]="","",
IF(IF(Tabla19[[#This Row],[Comp4]]=0,0,1)*$D56-Tabla19[[#This Row],[Asign4]]=0,0,Tabla19[[#This Row],[Comp4]]))</f>
        <v/>
      </c>
      <c r="S56" s="85" t="str">
        <f>IF(Tabla19[[#This Row],[Comp5]]="","",
IF(IF(Tabla19[[#This Row],[Comp5]]=0,0,1)*$D56-Tabla19[[#This Row],[Asign5]]=0,0,Tabla19[[#This Row],[Comp5]]))</f>
        <v/>
      </c>
    </row>
    <row r="57" spans="5:19" x14ac:dyDescent="0.3">
      <c r="E57" s="99" t="str">
        <f>IF($A57="","",INDEX(ListadoProductos[],MATCH('2.C_Datos'!$C57,ListadoProductos[Productos],0),MATCH('2.C_Datos'!E$3,ListadoProductos[#Headers],0)))</f>
        <v/>
      </c>
      <c r="F57" s="99" t="str">
        <f>IF($A57="","",INDEX(ListadoProductos[],MATCH('2.C_Datos'!$C57,ListadoProductos[Productos],0),MATCH('2.C_Datos'!F$3,ListadoProductos[#Headers],0)))</f>
        <v/>
      </c>
      <c r="G57" s="99" t="str">
        <f>IF($A57="","",INDEX(ListadoProductos[],MATCH('2.C_Datos'!$C57,ListadoProductos[Productos],0),MATCH('2.C_Datos'!G$3,ListadoProductos[#Headers],0)))</f>
        <v/>
      </c>
      <c r="H57" s="99" t="str">
        <f>IF($A57="","",INDEX(ListadoProductos[],MATCH('2.C_Datos'!$C57,ListadoProductos[Productos],0),MATCH('2.C_Datos'!H$3,ListadoProductos[#Headers],0)))</f>
        <v/>
      </c>
      <c r="I57" s="99" t="str">
        <f>IF($A57="","",INDEX(ListadoProductos[],MATCH('2.C_Datos'!$C57,ListadoProductos[Productos],0),MATCH('2.C_Datos'!I$3,ListadoProductos[#Headers],0)))</f>
        <v/>
      </c>
      <c r="J57" s="99" t="str">
        <f>IF(Tabla19[[#This Row],[Comp1]]="","",COUNTIFS(TablaMaq1[Componente],Tabla19[[#This Row],[Comp1]],TablaMaq1[ID_Pedido],'2.C_Datos'!A57)+
COUNTIFS(TablaMaq2[Componente],Tabla19[[#This Row],[Comp1]],TablaMaq2[ID_Pedido],'2.C_Datos'!A57)+
COUNTIFS(TablaMaq3[Componente],Tabla19[[#This Row],[Comp1]],TablaMaq3[ID_Pedido],'2.C_Datos'!A57)+
COUNTIFS(TablaMaq4[Componente],Tabla19[[#This Row],[Comp1]],TablaMaq4[ID_Pedido],'2.C_Datos'!A57))</f>
        <v/>
      </c>
      <c r="K57" s="99" t="str">
        <f>IF(Tabla19[[#This Row],[Comp2]]="","",COUNTIFS(TablaMaq1[Componente],Tabla19[[#This Row],[Comp2]],TablaMaq1[ID_Pedido],'2.C_Datos'!A57)+
COUNTIFS(TablaMaq2[Componente],Tabla19[[#This Row],[Comp2]],TablaMaq2[ID_Pedido],'2.C_Datos'!A57)+
COUNTIFS(TablaMaq3[Componente],Tabla19[[#This Row],[Comp2]],TablaMaq3[ID_Pedido],'2.C_Datos'!A57)+
COUNTIFS(TablaMaq4[Componente],Tabla19[[#This Row],[Comp2]],TablaMaq4[ID_Pedido],'2.C_Datos'!A57))</f>
        <v/>
      </c>
      <c r="L57" s="99" t="str">
        <f>IF(Tabla19[[#This Row],[Comp3]]="","",COUNTIFS(TablaMaq1[Componente],Tabla19[[#This Row],[Comp3]],TablaMaq1[ID_Pedido],'2.C_Datos'!A57)+
COUNTIFS(TablaMaq2[Componente],Tabla19[[#This Row],[Comp3]],TablaMaq2[ID_Pedido],'2.C_Datos'!A57)+
COUNTIFS(TablaMaq3[Componente],Tabla19[[#This Row],[Comp3]],TablaMaq3[ID_Pedido],'2.C_Datos'!A57)+
COUNTIFS(TablaMaq4[Componente],Tabla19[[#This Row],[Comp3]],TablaMaq4[ID_Pedido],'2.C_Datos'!A57))</f>
        <v/>
      </c>
      <c r="M57" s="99" t="str">
        <f>IF(Tabla19[[#This Row],[Comp4]]="","",COUNTIFS(TablaMaq1[Componente],Tabla19[[#This Row],[Comp4]],TablaMaq1[ID_Pedido],'2.C_Datos'!A57)+
COUNTIFS(TablaMaq2[Componente],Tabla19[[#This Row],[Comp4]],TablaMaq2[ID_Pedido],'2.C_Datos'!A57)+
COUNTIFS(TablaMaq3[Componente],Tabla19[[#This Row],[Comp4]],TablaMaq3[ID_Pedido],'2.C_Datos'!A57)+
COUNTIFS(TablaMaq4[Componente],Tabla19[[#This Row],[Comp4]],TablaMaq4[ID_Pedido],'2.C_Datos'!A57))</f>
        <v/>
      </c>
      <c r="N57" s="99" t="str">
        <f>IF(Tabla19[[#This Row],[Comp5]]="","",COUNTIFS(TablaMaq1[Componente],Tabla19[[#This Row],[Comp5]],TablaMaq1[ID_Pedido],'2.C_Datos'!A57)+
COUNTIFS(TablaMaq1[Componente],Tabla19[[#This Row],[Comp5]],TablaMaq2[ID_Pedido],'2.C_Datos'!A57)+
COUNTIFS(TablaMaq1[Componente],Tabla19[[#This Row],[Comp5]],TablaMaq3[ID_Pedido],'2.C_Datos'!A57)+
COUNTIFS(TablaMaq1[Componente],Tabla19[[#This Row],[Comp5]],TablaMaq4[ID_Pedido],'2.C_Datos'!A57))</f>
        <v/>
      </c>
      <c r="O57" s="85" t="str">
        <f>IF(Tabla19[[#This Row],[Comp1]]="","",
IF(IF(Tabla19[[#This Row],[Comp1]]=0,0,1)*$D57-Tabla19[[#This Row],[Asign1]]=0,0,Tabla19[[#This Row],[Comp1]]))</f>
        <v/>
      </c>
      <c r="P57" s="85" t="str">
        <f>IF(Tabla19[[#This Row],[Comp2]]="","",
IF(IF(Tabla19[[#This Row],[Comp2]]=0,0,1)*$D57-Tabla19[[#This Row],[Asign2]]=0,0,Tabla19[[#This Row],[Comp2]]))</f>
        <v/>
      </c>
      <c r="Q57" s="85" t="str">
        <f>IF(Tabla19[[#This Row],[Comp3]]="","",
IF(IF(Tabla19[[#This Row],[Comp3]]=0,0,1)*$D57-Tabla19[[#This Row],[Asign3]]=0,0,Tabla19[[#This Row],[Comp3]]))</f>
        <v/>
      </c>
      <c r="R57" s="85" t="str">
        <f>IF(Tabla19[[#This Row],[Comp4]]="","",
IF(IF(Tabla19[[#This Row],[Comp4]]=0,0,1)*$D57-Tabla19[[#This Row],[Asign4]]=0,0,Tabla19[[#This Row],[Comp4]]))</f>
        <v/>
      </c>
      <c r="S57" s="85" t="str">
        <f>IF(Tabla19[[#This Row],[Comp5]]="","",
IF(IF(Tabla19[[#This Row],[Comp5]]=0,0,1)*$D57-Tabla19[[#This Row],[Asign5]]=0,0,Tabla19[[#This Row],[Comp5]]))</f>
        <v/>
      </c>
    </row>
    <row r="58" spans="5:19" x14ac:dyDescent="0.3">
      <c r="E58" s="99" t="str">
        <f>IF($A58="","",INDEX(ListadoProductos[],MATCH('2.C_Datos'!$C58,ListadoProductos[Productos],0),MATCH('2.C_Datos'!E$3,ListadoProductos[#Headers],0)))</f>
        <v/>
      </c>
      <c r="F58" s="99" t="str">
        <f>IF($A58="","",INDEX(ListadoProductos[],MATCH('2.C_Datos'!$C58,ListadoProductos[Productos],0),MATCH('2.C_Datos'!F$3,ListadoProductos[#Headers],0)))</f>
        <v/>
      </c>
      <c r="G58" s="99" t="str">
        <f>IF($A58="","",INDEX(ListadoProductos[],MATCH('2.C_Datos'!$C58,ListadoProductos[Productos],0),MATCH('2.C_Datos'!G$3,ListadoProductos[#Headers],0)))</f>
        <v/>
      </c>
      <c r="H58" s="99" t="str">
        <f>IF($A58="","",INDEX(ListadoProductos[],MATCH('2.C_Datos'!$C58,ListadoProductos[Productos],0),MATCH('2.C_Datos'!H$3,ListadoProductos[#Headers],0)))</f>
        <v/>
      </c>
      <c r="I58" s="99" t="str">
        <f>IF($A58="","",INDEX(ListadoProductos[],MATCH('2.C_Datos'!$C58,ListadoProductos[Productos],0),MATCH('2.C_Datos'!I$3,ListadoProductos[#Headers],0)))</f>
        <v/>
      </c>
      <c r="J58" s="99" t="str">
        <f>IF(Tabla19[[#This Row],[Comp1]]="","",COUNTIFS(TablaMaq1[Componente],Tabla19[[#This Row],[Comp1]],TablaMaq1[ID_Pedido],'2.C_Datos'!A58)+
COUNTIFS(TablaMaq2[Componente],Tabla19[[#This Row],[Comp1]],TablaMaq2[ID_Pedido],'2.C_Datos'!A58)+
COUNTIFS(TablaMaq3[Componente],Tabla19[[#This Row],[Comp1]],TablaMaq3[ID_Pedido],'2.C_Datos'!A58)+
COUNTIFS(TablaMaq4[Componente],Tabla19[[#This Row],[Comp1]],TablaMaq4[ID_Pedido],'2.C_Datos'!A58))</f>
        <v/>
      </c>
      <c r="K58" s="99" t="str">
        <f>IF(Tabla19[[#This Row],[Comp2]]="","",COUNTIFS(TablaMaq1[Componente],Tabla19[[#This Row],[Comp2]],TablaMaq1[ID_Pedido],'2.C_Datos'!A58)+
COUNTIFS(TablaMaq2[Componente],Tabla19[[#This Row],[Comp2]],TablaMaq2[ID_Pedido],'2.C_Datos'!A58)+
COUNTIFS(TablaMaq3[Componente],Tabla19[[#This Row],[Comp2]],TablaMaq3[ID_Pedido],'2.C_Datos'!A58)+
COUNTIFS(TablaMaq4[Componente],Tabla19[[#This Row],[Comp2]],TablaMaq4[ID_Pedido],'2.C_Datos'!A58))</f>
        <v/>
      </c>
      <c r="L58" s="99" t="str">
        <f>IF(Tabla19[[#This Row],[Comp3]]="","",COUNTIFS(TablaMaq1[Componente],Tabla19[[#This Row],[Comp3]],TablaMaq1[ID_Pedido],'2.C_Datos'!A58)+
COUNTIFS(TablaMaq2[Componente],Tabla19[[#This Row],[Comp3]],TablaMaq2[ID_Pedido],'2.C_Datos'!A58)+
COUNTIFS(TablaMaq3[Componente],Tabla19[[#This Row],[Comp3]],TablaMaq3[ID_Pedido],'2.C_Datos'!A58)+
COUNTIFS(TablaMaq4[Componente],Tabla19[[#This Row],[Comp3]],TablaMaq4[ID_Pedido],'2.C_Datos'!A58))</f>
        <v/>
      </c>
      <c r="M58" s="99" t="str">
        <f>IF(Tabla19[[#This Row],[Comp4]]="","",COUNTIFS(TablaMaq1[Componente],Tabla19[[#This Row],[Comp4]],TablaMaq1[ID_Pedido],'2.C_Datos'!A58)+
COUNTIFS(TablaMaq2[Componente],Tabla19[[#This Row],[Comp4]],TablaMaq2[ID_Pedido],'2.C_Datos'!A58)+
COUNTIFS(TablaMaq3[Componente],Tabla19[[#This Row],[Comp4]],TablaMaq3[ID_Pedido],'2.C_Datos'!A58)+
COUNTIFS(TablaMaq4[Componente],Tabla19[[#This Row],[Comp4]],TablaMaq4[ID_Pedido],'2.C_Datos'!A58))</f>
        <v/>
      </c>
      <c r="N58" s="99" t="str">
        <f>IF(Tabla19[[#This Row],[Comp5]]="","",COUNTIFS(TablaMaq1[Componente],Tabla19[[#This Row],[Comp5]],TablaMaq1[ID_Pedido],'2.C_Datos'!A58)+
COUNTIFS(TablaMaq1[Componente],Tabla19[[#This Row],[Comp5]],TablaMaq2[ID_Pedido],'2.C_Datos'!A58)+
COUNTIFS(TablaMaq1[Componente],Tabla19[[#This Row],[Comp5]],TablaMaq3[ID_Pedido],'2.C_Datos'!A58)+
COUNTIFS(TablaMaq1[Componente],Tabla19[[#This Row],[Comp5]],TablaMaq4[ID_Pedido],'2.C_Datos'!A58))</f>
        <v/>
      </c>
      <c r="O58" s="85" t="str">
        <f>IF(Tabla19[[#This Row],[Comp1]]="","",
IF(IF(Tabla19[[#This Row],[Comp1]]=0,0,1)*$D58-Tabla19[[#This Row],[Asign1]]=0,0,Tabla19[[#This Row],[Comp1]]))</f>
        <v/>
      </c>
      <c r="P58" s="85" t="str">
        <f>IF(Tabla19[[#This Row],[Comp2]]="","",
IF(IF(Tabla19[[#This Row],[Comp2]]=0,0,1)*$D58-Tabla19[[#This Row],[Asign2]]=0,0,Tabla19[[#This Row],[Comp2]]))</f>
        <v/>
      </c>
      <c r="Q58" s="85" t="str">
        <f>IF(Tabla19[[#This Row],[Comp3]]="","",
IF(IF(Tabla19[[#This Row],[Comp3]]=0,0,1)*$D58-Tabla19[[#This Row],[Asign3]]=0,0,Tabla19[[#This Row],[Comp3]]))</f>
        <v/>
      </c>
      <c r="R58" s="85" t="str">
        <f>IF(Tabla19[[#This Row],[Comp4]]="","",
IF(IF(Tabla19[[#This Row],[Comp4]]=0,0,1)*$D58-Tabla19[[#This Row],[Asign4]]=0,0,Tabla19[[#This Row],[Comp4]]))</f>
        <v/>
      </c>
      <c r="S58" s="85" t="str">
        <f>IF(Tabla19[[#This Row],[Comp5]]="","",
IF(IF(Tabla19[[#This Row],[Comp5]]=0,0,1)*$D58-Tabla19[[#This Row],[Asign5]]=0,0,Tabla19[[#This Row],[Comp5]]))</f>
        <v/>
      </c>
    </row>
    <row r="59" spans="5:19" x14ac:dyDescent="0.3">
      <c r="E59" s="99" t="str">
        <f>IF($A59="","",INDEX(ListadoProductos[],MATCH('2.C_Datos'!$C59,ListadoProductos[Productos],0),MATCH('2.C_Datos'!E$3,ListadoProductos[#Headers],0)))</f>
        <v/>
      </c>
      <c r="F59" s="99" t="str">
        <f>IF($A59="","",INDEX(ListadoProductos[],MATCH('2.C_Datos'!$C59,ListadoProductos[Productos],0),MATCH('2.C_Datos'!F$3,ListadoProductos[#Headers],0)))</f>
        <v/>
      </c>
      <c r="G59" s="99" t="str">
        <f>IF($A59="","",INDEX(ListadoProductos[],MATCH('2.C_Datos'!$C59,ListadoProductos[Productos],0),MATCH('2.C_Datos'!G$3,ListadoProductos[#Headers],0)))</f>
        <v/>
      </c>
      <c r="H59" s="99" t="str">
        <f>IF($A59="","",INDEX(ListadoProductos[],MATCH('2.C_Datos'!$C59,ListadoProductos[Productos],0),MATCH('2.C_Datos'!H$3,ListadoProductos[#Headers],0)))</f>
        <v/>
      </c>
      <c r="I59" s="99" t="str">
        <f>IF($A59="","",INDEX(ListadoProductos[],MATCH('2.C_Datos'!$C59,ListadoProductos[Productos],0),MATCH('2.C_Datos'!I$3,ListadoProductos[#Headers],0)))</f>
        <v/>
      </c>
      <c r="J59" s="99" t="str">
        <f>IF(Tabla19[[#This Row],[Comp1]]="","",COUNTIFS(TablaMaq1[Componente],Tabla19[[#This Row],[Comp1]],TablaMaq1[ID_Pedido],'2.C_Datos'!A59)+
COUNTIFS(TablaMaq2[Componente],Tabla19[[#This Row],[Comp1]],TablaMaq2[ID_Pedido],'2.C_Datos'!A59)+
COUNTIFS(TablaMaq3[Componente],Tabla19[[#This Row],[Comp1]],TablaMaq3[ID_Pedido],'2.C_Datos'!A59)+
COUNTIFS(TablaMaq4[Componente],Tabla19[[#This Row],[Comp1]],TablaMaq4[ID_Pedido],'2.C_Datos'!A59))</f>
        <v/>
      </c>
      <c r="K59" s="99" t="str">
        <f>IF(Tabla19[[#This Row],[Comp2]]="","",COUNTIFS(TablaMaq1[Componente],Tabla19[[#This Row],[Comp2]],TablaMaq1[ID_Pedido],'2.C_Datos'!A59)+
COUNTIFS(TablaMaq2[Componente],Tabla19[[#This Row],[Comp2]],TablaMaq2[ID_Pedido],'2.C_Datos'!A59)+
COUNTIFS(TablaMaq3[Componente],Tabla19[[#This Row],[Comp2]],TablaMaq3[ID_Pedido],'2.C_Datos'!A59)+
COUNTIFS(TablaMaq4[Componente],Tabla19[[#This Row],[Comp2]],TablaMaq4[ID_Pedido],'2.C_Datos'!A59))</f>
        <v/>
      </c>
      <c r="L59" s="99" t="str">
        <f>IF(Tabla19[[#This Row],[Comp3]]="","",COUNTIFS(TablaMaq1[Componente],Tabla19[[#This Row],[Comp3]],TablaMaq1[ID_Pedido],'2.C_Datos'!A59)+
COUNTIFS(TablaMaq2[Componente],Tabla19[[#This Row],[Comp3]],TablaMaq2[ID_Pedido],'2.C_Datos'!A59)+
COUNTIFS(TablaMaq3[Componente],Tabla19[[#This Row],[Comp3]],TablaMaq3[ID_Pedido],'2.C_Datos'!A59)+
COUNTIFS(TablaMaq4[Componente],Tabla19[[#This Row],[Comp3]],TablaMaq4[ID_Pedido],'2.C_Datos'!A59))</f>
        <v/>
      </c>
      <c r="M59" s="99" t="str">
        <f>IF(Tabla19[[#This Row],[Comp4]]="","",COUNTIFS(TablaMaq1[Componente],Tabla19[[#This Row],[Comp4]],TablaMaq1[ID_Pedido],'2.C_Datos'!A59)+
COUNTIFS(TablaMaq2[Componente],Tabla19[[#This Row],[Comp4]],TablaMaq2[ID_Pedido],'2.C_Datos'!A59)+
COUNTIFS(TablaMaq3[Componente],Tabla19[[#This Row],[Comp4]],TablaMaq3[ID_Pedido],'2.C_Datos'!A59)+
COUNTIFS(TablaMaq4[Componente],Tabla19[[#This Row],[Comp4]],TablaMaq4[ID_Pedido],'2.C_Datos'!A59))</f>
        <v/>
      </c>
      <c r="N59" s="99" t="str">
        <f>IF(Tabla19[[#This Row],[Comp5]]="","",COUNTIFS(TablaMaq1[Componente],Tabla19[[#This Row],[Comp5]],TablaMaq1[ID_Pedido],'2.C_Datos'!A59)+
COUNTIFS(TablaMaq1[Componente],Tabla19[[#This Row],[Comp5]],TablaMaq2[ID_Pedido],'2.C_Datos'!A59)+
COUNTIFS(TablaMaq1[Componente],Tabla19[[#This Row],[Comp5]],TablaMaq3[ID_Pedido],'2.C_Datos'!A59)+
COUNTIFS(TablaMaq1[Componente],Tabla19[[#This Row],[Comp5]],TablaMaq4[ID_Pedido],'2.C_Datos'!A59))</f>
        <v/>
      </c>
      <c r="O59" s="85" t="str">
        <f>IF(Tabla19[[#This Row],[Comp1]]="","",
IF(IF(Tabla19[[#This Row],[Comp1]]=0,0,1)*$D59-Tabla19[[#This Row],[Asign1]]=0,0,Tabla19[[#This Row],[Comp1]]))</f>
        <v/>
      </c>
      <c r="P59" s="85" t="str">
        <f>IF(Tabla19[[#This Row],[Comp2]]="","",
IF(IF(Tabla19[[#This Row],[Comp2]]=0,0,1)*$D59-Tabla19[[#This Row],[Asign2]]=0,0,Tabla19[[#This Row],[Comp2]]))</f>
        <v/>
      </c>
      <c r="Q59" s="85" t="str">
        <f>IF(Tabla19[[#This Row],[Comp3]]="","",
IF(IF(Tabla19[[#This Row],[Comp3]]=0,0,1)*$D59-Tabla19[[#This Row],[Asign3]]=0,0,Tabla19[[#This Row],[Comp3]]))</f>
        <v/>
      </c>
      <c r="R59" s="85" t="str">
        <f>IF(Tabla19[[#This Row],[Comp4]]="","",
IF(IF(Tabla19[[#This Row],[Comp4]]=0,0,1)*$D59-Tabla19[[#This Row],[Asign4]]=0,0,Tabla19[[#This Row],[Comp4]]))</f>
        <v/>
      </c>
      <c r="S59" s="85" t="str">
        <f>IF(Tabla19[[#This Row],[Comp5]]="","",
IF(IF(Tabla19[[#This Row],[Comp5]]=0,0,1)*$D59-Tabla19[[#This Row],[Asign5]]=0,0,Tabla19[[#This Row],[Comp5]]))</f>
        <v/>
      </c>
    </row>
    <row r="60" spans="5:19" x14ac:dyDescent="0.3">
      <c r="E60" s="99" t="str">
        <f>IF($A60="","",INDEX(ListadoProductos[],MATCH('2.C_Datos'!$C60,ListadoProductos[Productos],0),MATCH('2.C_Datos'!E$3,ListadoProductos[#Headers],0)))</f>
        <v/>
      </c>
      <c r="F60" s="99" t="str">
        <f>IF($A60="","",INDEX(ListadoProductos[],MATCH('2.C_Datos'!$C60,ListadoProductos[Productos],0),MATCH('2.C_Datos'!F$3,ListadoProductos[#Headers],0)))</f>
        <v/>
      </c>
      <c r="G60" s="99" t="str">
        <f>IF($A60="","",INDEX(ListadoProductos[],MATCH('2.C_Datos'!$C60,ListadoProductos[Productos],0),MATCH('2.C_Datos'!G$3,ListadoProductos[#Headers],0)))</f>
        <v/>
      </c>
      <c r="H60" s="99" t="str">
        <f>IF($A60="","",INDEX(ListadoProductos[],MATCH('2.C_Datos'!$C60,ListadoProductos[Productos],0),MATCH('2.C_Datos'!H$3,ListadoProductos[#Headers],0)))</f>
        <v/>
      </c>
      <c r="I60" s="99" t="str">
        <f>IF($A60="","",INDEX(ListadoProductos[],MATCH('2.C_Datos'!$C60,ListadoProductos[Productos],0),MATCH('2.C_Datos'!I$3,ListadoProductos[#Headers],0)))</f>
        <v/>
      </c>
      <c r="J60" s="99" t="str">
        <f>IF(Tabla19[[#This Row],[Comp1]]="","",COUNTIFS(TablaMaq1[Componente],Tabla19[[#This Row],[Comp1]],TablaMaq1[ID_Pedido],'2.C_Datos'!A60)+
COUNTIFS(TablaMaq2[Componente],Tabla19[[#This Row],[Comp1]],TablaMaq2[ID_Pedido],'2.C_Datos'!A60)+
COUNTIFS(TablaMaq3[Componente],Tabla19[[#This Row],[Comp1]],TablaMaq3[ID_Pedido],'2.C_Datos'!A60)+
COUNTIFS(TablaMaq4[Componente],Tabla19[[#This Row],[Comp1]],TablaMaq4[ID_Pedido],'2.C_Datos'!A60))</f>
        <v/>
      </c>
      <c r="K60" s="99" t="str">
        <f>IF(Tabla19[[#This Row],[Comp2]]="","",COUNTIFS(TablaMaq1[Componente],Tabla19[[#This Row],[Comp2]],TablaMaq1[ID_Pedido],'2.C_Datos'!A60)+
COUNTIFS(TablaMaq2[Componente],Tabla19[[#This Row],[Comp2]],TablaMaq2[ID_Pedido],'2.C_Datos'!A60)+
COUNTIFS(TablaMaq3[Componente],Tabla19[[#This Row],[Comp2]],TablaMaq3[ID_Pedido],'2.C_Datos'!A60)+
COUNTIFS(TablaMaq4[Componente],Tabla19[[#This Row],[Comp2]],TablaMaq4[ID_Pedido],'2.C_Datos'!A60))</f>
        <v/>
      </c>
      <c r="L60" s="99" t="str">
        <f>IF(Tabla19[[#This Row],[Comp3]]="","",COUNTIFS(TablaMaq1[Componente],Tabla19[[#This Row],[Comp3]],TablaMaq1[ID_Pedido],'2.C_Datos'!A60)+
COUNTIFS(TablaMaq2[Componente],Tabla19[[#This Row],[Comp3]],TablaMaq2[ID_Pedido],'2.C_Datos'!A60)+
COUNTIFS(TablaMaq3[Componente],Tabla19[[#This Row],[Comp3]],TablaMaq3[ID_Pedido],'2.C_Datos'!A60)+
COUNTIFS(TablaMaq4[Componente],Tabla19[[#This Row],[Comp3]],TablaMaq4[ID_Pedido],'2.C_Datos'!A60))</f>
        <v/>
      </c>
      <c r="M60" s="99" t="str">
        <f>IF(Tabla19[[#This Row],[Comp4]]="","",COUNTIFS(TablaMaq1[Componente],Tabla19[[#This Row],[Comp4]],TablaMaq1[ID_Pedido],'2.C_Datos'!A60)+
COUNTIFS(TablaMaq2[Componente],Tabla19[[#This Row],[Comp4]],TablaMaq2[ID_Pedido],'2.C_Datos'!A60)+
COUNTIFS(TablaMaq3[Componente],Tabla19[[#This Row],[Comp4]],TablaMaq3[ID_Pedido],'2.C_Datos'!A60)+
COUNTIFS(TablaMaq4[Componente],Tabla19[[#This Row],[Comp4]],TablaMaq4[ID_Pedido],'2.C_Datos'!A60))</f>
        <v/>
      </c>
      <c r="N60" s="99" t="str">
        <f>IF(Tabla19[[#This Row],[Comp5]]="","",COUNTIFS(TablaMaq1[Componente],Tabla19[[#This Row],[Comp5]],TablaMaq1[ID_Pedido],'2.C_Datos'!A60)+
COUNTIFS(TablaMaq1[Componente],Tabla19[[#This Row],[Comp5]],TablaMaq2[ID_Pedido],'2.C_Datos'!A60)+
COUNTIFS(TablaMaq1[Componente],Tabla19[[#This Row],[Comp5]],TablaMaq3[ID_Pedido],'2.C_Datos'!A60)+
COUNTIFS(TablaMaq1[Componente],Tabla19[[#This Row],[Comp5]],TablaMaq4[ID_Pedido],'2.C_Datos'!A60))</f>
        <v/>
      </c>
      <c r="O60" s="85" t="str">
        <f>IF(Tabla19[[#This Row],[Comp1]]="","",
IF(IF(Tabla19[[#This Row],[Comp1]]=0,0,1)*$D60-Tabla19[[#This Row],[Asign1]]=0,0,Tabla19[[#This Row],[Comp1]]))</f>
        <v/>
      </c>
      <c r="P60" s="85" t="str">
        <f>IF(Tabla19[[#This Row],[Comp2]]="","",
IF(IF(Tabla19[[#This Row],[Comp2]]=0,0,1)*$D60-Tabla19[[#This Row],[Asign2]]=0,0,Tabla19[[#This Row],[Comp2]]))</f>
        <v/>
      </c>
      <c r="Q60" s="85" t="str">
        <f>IF(Tabla19[[#This Row],[Comp3]]="","",
IF(IF(Tabla19[[#This Row],[Comp3]]=0,0,1)*$D60-Tabla19[[#This Row],[Asign3]]=0,0,Tabla19[[#This Row],[Comp3]]))</f>
        <v/>
      </c>
      <c r="R60" s="85" t="str">
        <f>IF(Tabla19[[#This Row],[Comp4]]="","",
IF(IF(Tabla19[[#This Row],[Comp4]]=0,0,1)*$D60-Tabla19[[#This Row],[Asign4]]=0,0,Tabla19[[#This Row],[Comp4]]))</f>
        <v/>
      </c>
      <c r="S60" s="85" t="str">
        <f>IF(Tabla19[[#This Row],[Comp5]]="","",
IF(IF(Tabla19[[#This Row],[Comp5]]=0,0,1)*$D60-Tabla19[[#This Row],[Asign5]]=0,0,Tabla19[[#This Row],[Comp5]]))</f>
        <v/>
      </c>
    </row>
    <row r="61" spans="5:19" x14ac:dyDescent="0.3">
      <c r="E61" s="99" t="str">
        <f>IF($A61="","",INDEX(ListadoProductos[],MATCH('2.C_Datos'!$C61,ListadoProductos[Productos],0),MATCH('2.C_Datos'!E$3,ListadoProductos[#Headers],0)))</f>
        <v/>
      </c>
      <c r="F61" s="99" t="str">
        <f>IF($A61="","",INDEX(ListadoProductos[],MATCH('2.C_Datos'!$C61,ListadoProductos[Productos],0),MATCH('2.C_Datos'!F$3,ListadoProductos[#Headers],0)))</f>
        <v/>
      </c>
      <c r="G61" s="99" t="str">
        <f>IF($A61="","",INDEX(ListadoProductos[],MATCH('2.C_Datos'!$C61,ListadoProductos[Productos],0),MATCH('2.C_Datos'!G$3,ListadoProductos[#Headers],0)))</f>
        <v/>
      </c>
      <c r="H61" s="99" t="str">
        <f>IF($A61="","",INDEX(ListadoProductos[],MATCH('2.C_Datos'!$C61,ListadoProductos[Productos],0),MATCH('2.C_Datos'!H$3,ListadoProductos[#Headers],0)))</f>
        <v/>
      </c>
      <c r="I61" s="99" t="str">
        <f>IF($A61="","",INDEX(ListadoProductos[],MATCH('2.C_Datos'!$C61,ListadoProductos[Productos],0),MATCH('2.C_Datos'!I$3,ListadoProductos[#Headers],0)))</f>
        <v/>
      </c>
      <c r="J61" s="99" t="str">
        <f>IF(Tabla19[[#This Row],[Comp1]]="","",COUNTIFS(TablaMaq1[Componente],Tabla19[[#This Row],[Comp1]],TablaMaq1[ID_Pedido],'2.C_Datos'!A61)+
COUNTIFS(TablaMaq2[Componente],Tabla19[[#This Row],[Comp1]],TablaMaq2[ID_Pedido],'2.C_Datos'!A61)+
COUNTIFS(TablaMaq3[Componente],Tabla19[[#This Row],[Comp1]],TablaMaq3[ID_Pedido],'2.C_Datos'!A61)+
COUNTIFS(TablaMaq4[Componente],Tabla19[[#This Row],[Comp1]],TablaMaq4[ID_Pedido],'2.C_Datos'!A61))</f>
        <v/>
      </c>
      <c r="K61" s="99" t="str">
        <f>IF(Tabla19[[#This Row],[Comp2]]="","",COUNTIFS(TablaMaq1[Componente],Tabla19[[#This Row],[Comp2]],TablaMaq1[ID_Pedido],'2.C_Datos'!A61)+
COUNTIFS(TablaMaq2[Componente],Tabla19[[#This Row],[Comp2]],TablaMaq2[ID_Pedido],'2.C_Datos'!A61)+
COUNTIFS(TablaMaq3[Componente],Tabla19[[#This Row],[Comp2]],TablaMaq3[ID_Pedido],'2.C_Datos'!A61)+
COUNTIFS(TablaMaq4[Componente],Tabla19[[#This Row],[Comp2]],TablaMaq4[ID_Pedido],'2.C_Datos'!A61))</f>
        <v/>
      </c>
      <c r="L61" s="99" t="str">
        <f>IF(Tabla19[[#This Row],[Comp3]]="","",COUNTIFS(TablaMaq1[Componente],Tabla19[[#This Row],[Comp3]],TablaMaq1[ID_Pedido],'2.C_Datos'!A61)+
COUNTIFS(TablaMaq2[Componente],Tabla19[[#This Row],[Comp3]],TablaMaq2[ID_Pedido],'2.C_Datos'!A61)+
COUNTIFS(TablaMaq3[Componente],Tabla19[[#This Row],[Comp3]],TablaMaq3[ID_Pedido],'2.C_Datos'!A61)+
COUNTIFS(TablaMaq4[Componente],Tabla19[[#This Row],[Comp3]],TablaMaq4[ID_Pedido],'2.C_Datos'!A61))</f>
        <v/>
      </c>
      <c r="M61" s="99" t="str">
        <f>IF(Tabla19[[#This Row],[Comp4]]="","",COUNTIFS(TablaMaq1[Componente],Tabla19[[#This Row],[Comp4]],TablaMaq1[ID_Pedido],'2.C_Datos'!A61)+
COUNTIFS(TablaMaq2[Componente],Tabla19[[#This Row],[Comp4]],TablaMaq2[ID_Pedido],'2.C_Datos'!A61)+
COUNTIFS(TablaMaq3[Componente],Tabla19[[#This Row],[Comp4]],TablaMaq3[ID_Pedido],'2.C_Datos'!A61)+
COUNTIFS(TablaMaq4[Componente],Tabla19[[#This Row],[Comp4]],TablaMaq4[ID_Pedido],'2.C_Datos'!A61))</f>
        <v/>
      </c>
      <c r="N61" s="99" t="str">
        <f>IF(Tabla19[[#This Row],[Comp5]]="","",COUNTIFS(TablaMaq1[Componente],Tabla19[[#This Row],[Comp5]],TablaMaq1[ID_Pedido],'2.C_Datos'!A61)+
COUNTIFS(TablaMaq1[Componente],Tabla19[[#This Row],[Comp5]],TablaMaq2[ID_Pedido],'2.C_Datos'!A61)+
COUNTIFS(TablaMaq1[Componente],Tabla19[[#This Row],[Comp5]],TablaMaq3[ID_Pedido],'2.C_Datos'!A61)+
COUNTIFS(TablaMaq1[Componente],Tabla19[[#This Row],[Comp5]],TablaMaq4[ID_Pedido],'2.C_Datos'!A61))</f>
        <v/>
      </c>
      <c r="O61" s="85" t="str">
        <f>IF(Tabla19[[#This Row],[Comp1]]="","",
IF(IF(Tabla19[[#This Row],[Comp1]]=0,0,1)*$D61-Tabla19[[#This Row],[Asign1]]=0,0,Tabla19[[#This Row],[Comp1]]))</f>
        <v/>
      </c>
      <c r="P61" s="85" t="str">
        <f>IF(Tabla19[[#This Row],[Comp2]]="","",
IF(IF(Tabla19[[#This Row],[Comp2]]=0,0,1)*$D61-Tabla19[[#This Row],[Asign2]]=0,0,Tabla19[[#This Row],[Comp2]]))</f>
        <v/>
      </c>
      <c r="Q61" s="85" t="str">
        <f>IF(Tabla19[[#This Row],[Comp3]]="","",
IF(IF(Tabla19[[#This Row],[Comp3]]=0,0,1)*$D61-Tabla19[[#This Row],[Asign3]]=0,0,Tabla19[[#This Row],[Comp3]]))</f>
        <v/>
      </c>
      <c r="R61" s="85" t="str">
        <f>IF(Tabla19[[#This Row],[Comp4]]="","",
IF(IF(Tabla19[[#This Row],[Comp4]]=0,0,1)*$D61-Tabla19[[#This Row],[Asign4]]=0,0,Tabla19[[#This Row],[Comp4]]))</f>
        <v/>
      </c>
      <c r="S61" s="85" t="str">
        <f>IF(Tabla19[[#This Row],[Comp5]]="","",
IF(IF(Tabla19[[#This Row],[Comp5]]=0,0,1)*$D61-Tabla19[[#This Row],[Asign5]]=0,0,Tabla19[[#This Row],[Comp5]]))</f>
        <v/>
      </c>
    </row>
    <row r="62" spans="5:19" x14ac:dyDescent="0.3">
      <c r="E62" s="99" t="str">
        <f>IF($A62="","",INDEX(ListadoProductos[],MATCH('2.C_Datos'!$C62,ListadoProductos[Productos],0),MATCH('2.C_Datos'!E$3,ListadoProductos[#Headers],0)))</f>
        <v/>
      </c>
      <c r="F62" s="99" t="str">
        <f>IF($A62="","",INDEX(ListadoProductos[],MATCH('2.C_Datos'!$C62,ListadoProductos[Productos],0),MATCH('2.C_Datos'!F$3,ListadoProductos[#Headers],0)))</f>
        <v/>
      </c>
      <c r="G62" s="99" t="str">
        <f>IF($A62="","",INDEX(ListadoProductos[],MATCH('2.C_Datos'!$C62,ListadoProductos[Productos],0),MATCH('2.C_Datos'!G$3,ListadoProductos[#Headers],0)))</f>
        <v/>
      </c>
      <c r="H62" s="99" t="str">
        <f>IF($A62="","",INDEX(ListadoProductos[],MATCH('2.C_Datos'!$C62,ListadoProductos[Productos],0),MATCH('2.C_Datos'!H$3,ListadoProductos[#Headers],0)))</f>
        <v/>
      </c>
      <c r="I62" s="99" t="str">
        <f>IF($A62="","",INDEX(ListadoProductos[],MATCH('2.C_Datos'!$C62,ListadoProductos[Productos],0),MATCH('2.C_Datos'!I$3,ListadoProductos[#Headers],0)))</f>
        <v/>
      </c>
      <c r="J62" s="99" t="str">
        <f>IF(Tabla19[[#This Row],[Comp1]]="","",COUNTIFS(TablaMaq1[Componente],Tabla19[[#This Row],[Comp1]],TablaMaq1[ID_Pedido],'2.C_Datos'!A62)+
COUNTIFS(TablaMaq2[Componente],Tabla19[[#This Row],[Comp1]],TablaMaq2[ID_Pedido],'2.C_Datos'!A62)+
COUNTIFS(TablaMaq3[Componente],Tabla19[[#This Row],[Comp1]],TablaMaq3[ID_Pedido],'2.C_Datos'!A62)+
COUNTIFS(TablaMaq4[Componente],Tabla19[[#This Row],[Comp1]],TablaMaq4[ID_Pedido],'2.C_Datos'!A62))</f>
        <v/>
      </c>
      <c r="K62" s="99" t="str">
        <f>IF(Tabla19[[#This Row],[Comp2]]="","",COUNTIFS(TablaMaq1[Componente],Tabla19[[#This Row],[Comp2]],TablaMaq1[ID_Pedido],'2.C_Datos'!A62)+
COUNTIFS(TablaMaq2[Componente],Tabla19[[#This Row],[Comp2]],TablaMaq2[ID_Pedido],'2.C_Datos'!A62)+
COUNTIFS(TablaMaq3[Componente],Tabla19[[#This Row],[Comp2]],TablaMaq3[ID_Pedido],'2.C_Datos'!A62)+
COUNTIFS(TablaMaq4[Componente],Tabla19[[#This Row],[Comp2]],TablaMaq4[ID_Pedido],'2.C_Datos'!A62))</f>
        <v/>
      </c>
      <c r="L62" s="99" t="str">
        <f>IF(Tabla19[[#This Row],[Comp3]]="","",COUNTIFS(TablaMaq1[Componente],Tabla19[[#This Row],[Comp3]],TablaMaq1[ID_Pedido],'2.C_Datos'!A62)+
COUNTIFS(TablaMaq2[Componente],Tabla19[[#This Row],[Comp3]],TablaMaq2[ID_Pedido],'2.C_Datos'!A62)+
COUNTIFS(TablaMaq3[Componente],Tabla19[[#This Row],[Comp3]],TablaMaq3[ID_Pedido],'2.C_Datos'!A62)+
COUNTIFS(TablaMaq4[Componente],Tabla19[[#This Row],[Comp3]],TablaMaq4[ID_Pedido],'2.C_Datos'!A62))</f>
        <v/>
      </c>
      <c r="M62" s="99" t="str">
        <f>IF(Tabla19[[#This Row],[Comp4]]="","",COUNTIFS(TablaMaq1[Componente],Tabla19[[#This Row],[Comp4]],TablaMaq1[ID_Pedido],'2.C_Datos'!A62)+
COUNTIFS(TablaMaq2[Componente],Tabla19[[#This Row],[Comp4]],TablaMaq2[ID_Pedido],'2.C_Datos'!A62)+
COUNTIFS(TablaMaq3[Componente],Tabla19[[#This Row],[Comp4]],TablaMaq3[ID_Pedido],'2.C_Datos'!A62)+
COUNTIFS(TablaMaq4[Componente],Tabla19[[#This Row],[Comp4]],TablaMaq4[ID_Pedido],'2.C_Datos'!A62))</f>
        <v/>
      </c>
      <c r="N62" s="99" t="str">
        <f>IF(Tabla19[[#This Row],[Comp5]]="","",COUNTIFS(TablaMaq1[Componente],Tabla19[[#This Row],[Comp5]],TablaMaq1[ID_Pedido],'2.C_Datos'!A62)+
COUNTIFS(TablaMaq1[Componente],Tabla19[[#This Row],[Comp5]],TablaMaq2[ID_Pedido],'2.C_Datos'!A62)+
COUNTIFS(TablaMaq1[Componente],Tabla19[[#This Row],[Comp5]],TablaMaq3[ID_Pedido],'2.C_Datos'!A62)+
COUNTIFS(TablaMaq1[Componente],Tabla19[[#This Row],[Comp5]],TablaMaq4[ID_Pedido],'2.C_Datos'!A62))</f>
        <v/>
      </c>
      <c r="O62" s="85" t="str">
        <f>IF(Tabla19[[#This Row],[Comp1]]="","",
IF(IF(Tabla19[[#This Row],[Comp1]]=0,0,1)*$D62-Tabla19[[#This Row],[Asign1]]=0,0,Tabla19[[#This Row],[Comp1]]))</f>
        <v/>
      </c>
      <c r="P62" s="85" t="str">
        <f>IF(Tabla19[[#This Row],[Comp2]]="","",
IF(IF(Tabla19[[#This Row],[Comp2]]=0,0,1)*$D62-Tabla19[[#This Row],[Asign2]]=0,0,Tabla19[[#This Row],[Comp2]]))</f>
        <v/>
      </c>
      <c r="Q62" s="85" t="str">
        <f>IF(Tabla19[[#This Row],[Comp3]]="","",
IF(IF(Tabla19[[#This Row],[Comp3]]=0,0,1)*$D62-Tabla19[[#This Row],[Asign3]]=0,0,Tabla19[[#This Row],[Comp3]]))</f>
        <v/>
      </c>
      <c r="R62" s="85" t="str">
        <f>IF(Tabla19[[#This Row],[Comp4]]="","",
IF(IF(Tabla19[[#This Row],[Comp4]]=0,0,1)*$D62-Tabla19[[#This Row],[Asign4]]=0,0,Tabla19[[#This Row],[Comp4]]))</f>
        <v/>
      </c>
      <c r="S62" s="85" t="str">
        <f>IF(Tabla19[[#This Row],[Comp5]]="","",
IF(IF(Tabla19[[#This Row],[Comp5]]=0,0,1)*$D62-Tabla19[[#This Row],[Asign5]]=0,0,Tabla19[[#This Row],[Comp5]]))</f>
        <v/>
      </c>
    </row>
    <row r="63" spans="5:19" x14ac:dyDescent="0.3">
      <c r="E63" s="99" t="str">
        <f>IF($A63="","",INDEX(ListadoProductos[],MATCH('2.C_Datos'!$C63,ListadoProductos[Productos],0),MATCH('2.C_Datos'!E$3,ListadoProductos[#Headers],0)))</f>
        <v/>
      </c>
      <c r="F63" s="99" t="str">
        <f>IF($A63="","",INDEX(ListadoProductos[],MATCH('2.C_Datos'!$C63,ListadoProductos[Productos],0),MATCH('2.C_Datos'!F$3,ListadoProductos[#Headers],0)))</f>
        <v/>
      </c>
      <c r="G63" s="99" t="str">
        <f>IF($A63="","",INDEX(ListadoProductos[],MATCH('2.C_Datos'!$C63,ListadoProductos[Productos],0),MATCH('2.C_Datos'!G$3,ListadoProductos[#Headers],0)))</f>
        <v/>
      </c>
      <c r="H63" s="99" t="str">
        <f>IF($A63="","",INDEX(ListadoProductos[],MATCH('2.C_Datos'!$C63,ListadoProductos[Productos],0),MATCH('2.C_Datos'!H$3,ListadoProductos[#Headers],0)))</f>
        <v/>
      </c>
      <c r="I63" s="99" t="str">
        <f>IF($A63="","",INDEX(ListadoProductos[],MATCH('2.C_Datos'!$C63,ListadoProductos[Productos],0),MATCH('2.C_Datos'!I$3,ListadoProductos[#Headers],0)))</f>
        <v/>
      </c>
      <c r="J63" s="99" t="str">
        <f>IF(Tabla19[[#This Row],[Comp1]]="","",COUNTIFS(TablaMaq1[Componente],Tabla19[[#This Row],[Comp1]],TablaMaq1[ID_Pedido],'2.C_Datos'!A63)+
COUNTIFS(TablaMaq2[Componente],Tabla19[[#This Row],[Comp1]],TablaMaq2[ID_Pedido],'2.C_Datos'!A63)+
COUNTIFS(TablaMaq3[Componente],Tabla19[[#This Row],[Comp1]],TablaMaq3[ID_Pedido],'2.C_Datos'!A63)+
COUNTIFS(TablaMaq4[Componente],Tabla19[[#This Row],[Comp1]],TablaMaq4[ID_Pedido],'2.C_Datos'!A63))</f>
        <v/>
      </c>
      <c r="K63" s="99" t="str">
        <f>IF(Tabla19[[#This Row],[Comp2]]="","",COUNTIFS(TablaMaq1[Componente],Tabla19[[#This Row],[Comp2]],TablaMaq1[ID_Pedido],'2.C_Datos'!A63)+
COUNTIFS(TablaMaq2[Componente],Tabla19[[#This Row],[Comp2]],TablaMaq2[ID_Pedido],'2.C_Datos'!A63)+
COUNTIFS(TablaMaq3[Componente],Tabla19[[#This Row],[Comp2]],TablaMaq3[ID_Pedido],'2.C_Datos'!A63)+
COUNTIFS(TablaMaq4[Componente],Tabla19[[#This Row],[Comp2]],TablaMaq4[ID_Pedido],'2.C_Datos'!A63))</f>
        <v/>
      </c>
      <c r="L63" s="99" t="str">
        <f>IF(Tabla19[[#This Row],[Comp3]]="","",COUNTIFS(TablaMaq1[Componente],Tabla19[[#This Row],[Comp3]],TablaMaq1[ID_Pedido],'2.C_Datos'!A63)+
COUNTIFS(TablaMaq2[Componente],Tabla19[[#This Row],[Comp3]],TablaMaq2[ID_Pedido],'2.C_Datos'!A63)+
COUNTIFS(TablaMaq3[Componente],Tabla19[[#This Row],[Comp3]],TablaMaq3[ID_Pedido],'2.C_Datos'!A63)+
COUNTIFS(TablaMaq4[Componente],Tabla19[[#This Row],[Comp3]],TablaMaq4[ID_Pedido],'2.C_Datos'!A63))</f>
        <v/>
      </c>
      <c r="M63" s="99" t="str">
        <f>IF(Tabla19[[#This Row],[Comp4]]="","",COUNTIFS(TablaMaq1[Componente],Tabla19[[#This Row],[Comp4]],TablaMaq1[ID_Pedido],'2.C_Datos'!A63)+
COUNTIFS(TablaMaq2[Componente],Tabla19[[#This Row],[Comp4]],TablaMaq2[ID_Pedido],'2.C_Datos'!A63)+
COUNTIFS(TablaMaq3[Componente],Tabla19[[#This Row],[Comp4]],TablaMaq3[ID_Pedido],'2.C_Datos'!A63)+
COUNTIFS(TablaMaq4[Componente],Tabla19[[#This Row],[Comp4]],TablaMaq4[ID_Pedido],'2.C_Datos'!A63))</f>
        <v/>
      </c>
      <c r="N63" s="99" t="str">
        <f>IF(Tabla19[[#This Row],[Comp5]]="","",COUNTIFS(TablaMaq1[Componente],Tabla19[[#This Row],[Comp5]],TablaMaq1[ID_Pedido],'2.C_Datos'!A63)+
COUNTIFS(TablaMaq1[Componente],Tabla19[[#This Row],[Comp5]],TablaMaq2[ID_Pedido],'2.C_Datos'!A63)+
COUNTIFS(TablaMaq1[Componente],Tabla19[[#This Row],[Comp5]],TablaMaq3[ID_Pedido],'2.C_Datos'!A63)+
COUNTIFS(TablaMaq1[Componente],Tabla19[[#This Row],[Comp5]],TablaMaq4[ID_Pedido],'2.C_Datos'!A63))</f>
        <v/>
      </c>
      <c r="O63" s="85" t="str">
        <f>IF(Tabla19[[#This Row],[Comp1]]="","",
IF(IF(Tabla19[[#This Row],[Comp1]]=0,0,1)*$D63-Tabla19[[#This Row],[Asign1]]=0,0,Tabla19[[#This Row],[Comp1]]))</f>
        <v/>
      </c>
      <c r="P63" s="85" t="str">
        <f>IF(Tabla19[[#This Row],[Comp2]]="","",
IF(IF(Tabla19[[#This Row],[Comp2]]=0,0,1)*$D63-Tabla19[[#This Row],[Asign2]]=0,0,Tabla19[[#This Row],[Comp2]]))</f>
        <v/>
      </c>
      <c r="Q63" s="85" t="str">
        <f>IF(Tabla19[[#This Row],[Comp3]]="","",
IF(IF(Tabla19[[#This Row],[Comp3]]=0,0,1)*$D63-Tabla19[[#This Row],[Asign3]]=0,0,Tabla19[[#This Row],[Comp3]]))</f>
        <v/>
      </c>
      <c r="R63" s="85" t="str">
        <f>IF(Tabla19[[#This Row],[Comp4]]="","",
IF(IF(Tabla19[[#This Row],[Comp4]]=0,0,1)*$D63-Tabla19[[#This Row],[Asign4]]=0,0,Tabla19[[#This Row],[Comp4]]))</f>
        <v/>
      </c>
      <c r="S63" s="85" t="str">
        <f>IF(Tabla19[[#This Row],[Comp5]]="","",
IF(IF(Tabla19[[#This Row],[Comp5]]=0,0,1)*$D63-Tabla19[[#This Row],[Asign5]]=0,0,Tabla19[[#This Row],[Comp5]]))</f>
        <v/>
      </c>
    </row>
    <row r="64" spans="5:19" x14ac:dyDescent="0.3">
      <c r="E64" s="99" t="str">
        <f>IF($A64="","",INDEX(ListadoProductos[],MATCH('2.C_Datos'!$C64,ListadoProductos[Productos],0),MATCH('2.C_Datos'!E$3,ListadoProductos[#Headers],0)))</f>
        <v/>
      </c>
      <c r="F64" s="99" t="str">
        <f>IF($A64="","",INDEX(ListadoProductos[],MATCH('2.C_Datos'!$C64,ListadoProductos[Productos],0),MATCH('2.C_Datos'!F$3,ListadoProductos[#Headers],0)))</f>
        <v/>
      </c>
      <c r="G64" s="99" t="str">
        <f>IF($A64="","",INDEX(ListadoProductos[],MATCH('2.C_Datos'!$C64,ListadoProductos[Productos],0),MATCH('2.C_Datos'!G$3,ListadoProductos[#Headers],0)))</f>
        <v/>
      </c>
      <c r="H64" s="99" t="str">
        <f>IF($A64="","",INDEX(ListadoProductos[],MATCH('2.C_Datos'!$C64,ListadoProductos[Productos],0),MATCH('2.C_Datos'!H$3,ListadoProductos[#Headers],0)))</f>
        <v/>
      </c>
      <c r="I64" s="99" t="str">
        <f>IF($A64="","",INDEX(ListadoProductos[],MATCH('2.C_Datos'!$C64,ListadoProductos[Productos],0),MATCH('2.C_Datos'!I$3,ListadoProductos[#Headers],0)))</f>
        <v/>
      </c>
      <c r="J64" s="99" t="str">
        <f>IF(Tabla19[[#This Row],[Comp1]]="","",COUNTIFS(TablaMaq1[Componente],Tabla19[[#This Row],[Comp1]],TablaMaq1[ID_Pedido],'2.C_Datos'!A64)+
COUNTIFS(TablaMaq2[Componente],Tabla19[[#This Row],[Comp1]],TablaMaq2[ID_Pedido],'2.C_Datos'!A64)+
COUNTIFS(TablaMaq3[Componente],Tabla19[[#This Row],[Comp1]],TablaMaq3[ID_Pedido],'2.C_Datos'!A64)+
COUNTIFS(TablaMaq4[Componente],Tabla19[[#This Row],[Comp1]],TablaMaq4[ID_Pedido],'2.C_Datos'!A64))</f>
        <v/>
      </c>
      <c r="K64" s="99" t="str">
        <f>IF(Tabla19[[#This Row],[Comp2]]="","",COUNTIFS(TablaMaq1[Componente],Tabla19[[#This Row],[Comp2]],TablaMaq1[ID_Pedido],'2.C_Datos'!A64)+
COUNTIFS(TablaMaq2[Componente],Tabla19[[#This Row],[Comp2]],TablaMaq2[ID_Pedido],'2.C_Datos'!A64)+
COUNTIFS(TablaMaq3[Componente],Tabla19[[#This Row],[Comp2]],TablaMaq3[ID_Pedido],'2.C_Datos'!A64)+
COUNTIFS(TablaMaq4[Componente],Tabla19[[#This Row],[Comp2]],TablaMaq4[ID_Pedido],'2.C_Datos'!A64))</f>
        <v/>
      </c>
      <c r="L64" s="99" t="str">
        <f>IF(Tabla19[[#This Row],[Comp3]]="","",COUNTIFS(TablaMaq1[Componente],Tabla19[[#This Row],[Comp3]],TablaMaq1[ID_Pedido],'2.C_Datos'!A64)+
COUNTIFS(TablaMaq2[Componente],Tabla19[[#This Row],[Comp3]],TablaMaq2[ID_Pedido],'2.C_Datos'!A64)+
COUNTIFS(TablaMaq3[Componente],Tabla19[[#This Row],[Comp3]],TablaMaq3[ID_Pedido],'2.C_Datos'!A64)+
COUNTIFS(TablaMaq4[Componente],Tabla19[[#This Row],[Comp3]],TablaMaq4[ID_Pedido],'2.C_Datos'!A64))</f>
        <v/>
      </c>
      <c r="M64" s="99" t="str">
        <f>IF(Tabla19[[#This Row],[Comp4]]="","",COUNTIFS(TablaMaq1[Componente],Tabla19[[#This Row],[Comp4]],TablaMaq1[ID_Pedido],'2.C_Datos'!A64)+
COUNTIFS(TablaMaq2[Componente],Tabla19[[#This Row],[Comp4]],TablaMaq2[ID_Pedido],'2.C_Datos'!A64)+
COUNTIFS(TablaMaq3[Componente],Tabla19[[#This Row],[Comp4]],TablaMaq3[ID_Pedido],'2.C_Datos'!A64)+
COUNTIFS(TablaMaq4[Componente],Tabla19[[#This Row],[Comp4]],TablaMaq4[ID_Pedido],'2.C_Datos'!A64))</f>
        <v/>
      </c>
      <c r="N64" s="99" t="str">
        <f>IF(Tabla19[[#This Row],[Comp5]]="","",COUNTIFS(TablaMaq1[Componente],Tabla19[[#This Row],[Comp5]],TablaMaq1[ID_Pedido],'2.C_Datos'!A64)+
COUNTIFS(TablaMaq1[Componente],Tabla19[[#This Row],[Comp5]],TablaMaq2[ID_Pedido],'2.C_Datos'!A64)+
COUNTIFS(TablaMaq1[Componente],Tabla19[[#This Row],[Comp5]],TablaMaq3[ID_Pedido],'2.C_Datos'!A64)+
COUNTIFS(TablaMaq1[Componente],Tabla19[[#This Row],[Comp5]],TablaMaq4[ID_Pedido],'2.C_Datos'!A64))</f>
        <v/>
      </c>
      <c r="O64" s="85" t="str">
        <f>IF(Tabla19[[#This Row],[Comp1]]="","",
IF(IF(Tabla19[[#This Row],[Comp1]]=0,0,1)*$D64-Tabla19[[#This Row],[Asign1]]=0,0,Tabla19[[#This Row],[Comp1]]))</f>
        <v/>
      </c>
      <c r="P64" s="85" t="str">
        <f>IF(Tabla19[[#This Row],[Comp2]]="","",
IF(IF(Tabla19[[#This Row],[Comp2]]=0,0,1)*$D64-Tabla19[[#This Row],[Asign2]]=0,0,Tabla19[[#This Row],[Comp2]]))</f>
        <v/>
      </c>
      <c r="Q64" s="85" t="str">
        <f>IF(Tabla19[[#This Row],[Comp3]]="","",
IF(IF(Tabla19[[#This Row],[Comp3]]=0,0,1)*$D64-Tabla19[[#This Row],[Asign3]]=0,0,Tabla19[[#This Row],[Comp3]]))</f>
        <v/>
      </c>
      <c r="R64" s="85" t="str">
        <f>IF(Tabla19[[#This Row],[Comp4]]="","",
IF(IF(Tabla19[[#This Row],[Comp4]]=0,0,1)*$D64-Tabla19[[#This Row],[Asign4]]=0,0,Tabla19[[#This Row],[Comp4]]))</f>
        <v/>
      </c>
      <c r="S64" s="85" t="str">
        <f>IF(Tabla19[[#This Row],[Comp5]]="","",
IF(IF(Tabla19[[#This Row],[Comp5]]=0,0,1)*$D64-Tabla19[[#This Row],[Asign5]]=0,0,Tabla19[[#This Row],[Comp5]]))</f>
        <v/>
      </c>
    </row>
    <row r="65" spans="5:19" x14ac:dyDescent="0.3">
      <c r="E65" s="99" t="str">
        <f>IF($A65="","",INDEX(ListadoProductos[],MATCH('2.C_Datos'!$C65,ListadoProductos[Productos],0),MATCH('2.C_Datos'!E$3,ListadoProductos[#Headers],0)))</f>
        <v/>
      </c>
      <c r="F65" s="99" t="str">
        <f>IF($A65="","",INDEX(ListadoProductos[],MATCH('2.C_Datos'!$C65,ListadoProductos[Productos],0),MATCH('2.C_Datos'!F$3,ListadoProductos[#Headers],0)))</f>
        <v/>
      </c>
      <c r="G65" s="99" t="str">
        <f>IF($A65="","",INDEX(ListadoProductos[],MATCH('2.C_Datos'!$C65,ListadoProductos[Productos],0),MATCH('2.C_Datos'!G$3,ListadoProductos[#Headers],0)))</f>
        <v/>
      </c>
      <c r="H65" s="99" t="str">
        <f>IF($A65="","",INDEX(ListadoProductos[],MATCH('2.C_Datos'!$C65,ListadoProductos[Productos],0),MATCH('2.C_Datos'!H$3,ListadoProductos[#Headers],0)))</f>
        <v/>
      </c>
      <c r="I65" s="99" t="str">
        <f>IF($A65="","",INDEX(ListadoProductos[],MATCH('2.C_Datos'!$C65,ListadoProductos[Productos],0),MATCH('2.C_Datos'!I$3,ListadoProductos[#Headers],0)))</f>
        <v/>
      </c>
      <c r="J65" s="99" t="str">
        <f>IF(Tabla19[[#This Row],[Comp1]]="","",COUNTIFS(TablaMaq1[Componente],Tabla19[[#This Row],[Comp1]],TablaMaq1[ID_Pedido],'2.C_Datos'!A65)+
COUNTIFS(TablaMaq2[Componente],Tabla19[[#This Row],[Comp1]],TablaMaq2[ID_Pedido],'2.C_Datos'!A65)+
COUNTIFS(TablaMaq3[Componente],Tabla19[[#This Row],[Comp1]],TablaMaq3[ID_Pedido],'2.C_Datos'!A65)+
COUNTIFS(TablaMaq4[Componente],Tabla19[[#This Row],[Comp1]],TablaMaq4[ID_Pedido],'2.C_Datos'!A65))</f>
        <v/>
      </c>
      <c r="K65" s="99" t="str">
        <f>IF(Tabla19[[#This Row],[Comp2]]="","",COUNTIFS(TablaMaq1[Componente],Tabla19[[#This Row],[Comp2]],TablaMaq1[ID_Pedido],'2.C_Datos'!A65)+
COUNTIFS(TablaMaq2[Componente],Tabla19[[#This Row],[Comp2]],TablaMaq2[ID_Pedido],'2.C_Datos'!A65)+
COUNTIFS(TablaMaq3[Componente],Tabla19[[#This Row],[Comp2]],TablaMaq3[ID_Pedido],'2.C_Datos'!A65)+
COUNTIFS(TablaMaq4[Componente],Tabla19[[#This Row],[Comp2]],TablaMaq4[ID_Pedido],'2.C_Datos'!A65))</f>
        <v/>
      </c>
      <c r="L65" s="99" t="str">
        <f>IF(Tabla19[[#This Row],[Comp3]]="","",COUNTIFS(TablaMaq1[Componente],Tabla19[[#This Row],[Comp3]],TablaMaq1[ID_Pedido],'2.C_Datos'!A65)+
COUNTIFS(TablaMaq2[Componente],Tabla19[[#This Row],[Comp3]],TablaMaq2[ID_Pedido],'2.C_Datos'!A65)+
COUNTIFS(TablaMaq3[Componente],Tabla19[[#This Row],[Comp3]],TablaMaq3[ID_Pedido],'2.C_Datos'!A65)+
COUNTIFS(TablaMaq4[Componente],Tabla19[[#This Row],[Comp3]],TablaMaq4[ID_Pedido],'2.C_Datos'!A65))</f>
        <v/>
      </c>
      <c r="M65" s="99" t="str">
        <f>IF(Tabla19[[#This Row],[Comp4]]="","",COUNTIFS(TablaMaq1[Componente],Tabla19[[#This Row],[Comp4]],TablaMaq1[ID_Pedido],'2.C_Datos'!A65)+
COUNTIFS(TablaMaq2[Componente],Tabla19[[#This Row],[Comp4]],TablaMaq2[ID_Pedido],'2.C_Datos'!A65)+
COUNTIFS(TablaMaq3[Componente],Tabla19[[#This Row],[Comp4]],TablaMaq3[ID_Pedido],'2.C_Datos'!A65)+
COUNTIFS(TablaMaq4[Componente],Tabla19[[#This Row],[Comp4]],TablaMaq4[ID_Pedido],'2.C_Datos'!A65))</f>
        <v/>
      </c>
      <c r="N65" s="99" t="str">
        <f>IF(Tabla19[[#This Row],[Comp5]]="","",COUNTIFS(TablaMaq1[Componente],Tabla19[[#This Row],[Comp5]],TablaMaq1[ID_Pedido],'2.C_Datos'!A65)+
COUNTIFS(TablaMaq1[Componente],Tabla19[[#This Row],[Comp5]],TablaMaq2[ID_Pedido],'2.C_Datos'!A65)+
COUNTIFS(TablaMaq1[Componente],Tabla19[[#This Row],[Comp5]],TablaMaq3[ID_Pedido],'2.C_Datos'!A65)+
COUNTIFS(TablaMaq1[Componente],Tabla19[[#This Row],[Comp5]],TablaMaq4[ID_Pedido],'2.C_Datos'!A65))</f>
        <v/>
      </c>
      <c r="O65" s="85" t="str">
        <f>IF(Tabla19[[#This Row],[Comp1]]="","",
IF(IF(Tabla19[[#This Row],[Comp1]]=0,0,1)*$D65-Tabla19[[#This Row],[Asign1]]=0,0,Tabla19[[#This Row],[Comp1]]))</f>
        <v/>
      </c>
      <c r="P65" s="85" t="str">
        <f>IF(Tabla19[[#This Row],[Comp2]]="","",
IF(IF(Tabla19[[#This Row],[Comp2]]=0,0,1)*$D65-Tabla19[[#This Row],[Asign2]]=0,0,Tabla19[[#This Row],[Comp2]]))</f>
        <v/>
      </c>
      <c r="Q65" s="85" t="str">
        <f>IF(Tabla19[[#This Row],[Comp3]]="","",
IF(IF(Tabla19[[#This Row],[Comp3]]=0,0,1)*$D65-Tabla19[[#This Row],[Asign3]]=0,0,Tabla19[[#This Row],[Comp3]]))</f>
        <v/>
      </c>
      <c r="R65" s="85" t="str">
        <f>IF(Tabla19[[#This Row],[Comp4]]="","",
IF(IF(Tabla19[[#This Row],[Comp4]]=0,0,1)*$D65-Tabla19[[#This Row],[Asign4]]=0,0,Tabla19[[#This Row],[Comp4]]))</f>
        <v/>
      </c>
      <c r="S65" s="85" t="str">
        <f>IF(Tabla19[[#This Row],[Comp5]]="","",
IF(IF(Tabla19[[#This Row],[Comp5]]=0,0,1)*$D65-Tabla19[[#This Row],[Asign5]]=0,0,Tabla19[[#This Row],[Comp5]]))</f>
        <v/>
      </c>
    </row>
    <row r="66" spans="5:19" x14ac:dyDescent="0.3">
      <c r="E66" s="99" t="str">
        <f>IF($A66="","",INDEX(ListadoProductos[],MATCH('2.C_Datos'!$C66,ListadoProductos[Productos],0),MATCH('2.C_Datos'!E$3,ListadoProductos[#Headers],0)))</f>
        <v/>
      </c>
      <c r="F66" s="99" t="str">
        <f>IF($A66="","",INDEX(ListadoProductos[],MATCH('2.C_Datos'!$C66,ListadoProductos[Productos],0),MATCH('2.C_Datos'!F$3,ListadoProductos[#Headers],0)))</f>
        <v/>
      </c>
      <c r="G66" s="99" t="str">
        <f>IF($A66="","",INDEX(ListadoProductos[],MATCH('2.C_Datos'!$C66,ListadoProductos[Productos],0),MATCH('2.C_Datos'!G$3,ListadoProductos[#Headers],0)))</f>
        <v/>
      </c>
      <c r="H66" s="99" t="str">
        <f>IF($A66="","",INDEX(ListadoProductos[],MATCH('2.C_Datos'!$C66,ListadoProductos[Productos],0),MATCH('2.C_Datos'!H$3,ListadoProductos[#Headers],0)))</f>
        <v/>
      </c>
      <c r="I66" s="99" t="str">
        <f>IF($A66="","",INDEX(ListadoProductos[],MATCH('2.C_Datos'!$C66,ListadoProductos[Productos],0),MATCH('2.C_Datos'!I$3,ListadoProductos[#Headers],0)))</f>
        <v/>
      </c>
      <c r="J66" s="99" t="str">
        <f>IF(Tabla19[[#This Row],[Comp1]]="","",COUNTIFS(TablaMaq1[Componente],Tabla19[[#This Row],[Comp1]],TablaMaq1[ID_Pedido],'2.C_Datos'!A66)+
COUNTIFS(TablaMaq2[Componente],Tabla19[[#This Row],[Comp1]],TablaMaq2[ID_Pedido],'2.C_Datos'!A66)+
COUNTIFS(TablaMaq3[Componente],Tabla19[[#This Row],[Comp1]],TablaMaq3[ID_Pedido],'2.C_Datos'!A66)+
COUNTIFS(TablaMaq4[Componente],Tabla19[[#This Row],[Comp1]],TablaMaq4[ID_Pedido],'2.C_Datos'!A66))</f>
        <v/>
      </c>
      <c r="K66" s="99" t="str">
        <f>IF(Tabla19[[#This Row],[Comp2]]="","",COUNTIFS(TablaMaq1[Componente],Tabla19[[#This Row],[Comp2]],TablaMaq1[ID_Pedido],'2.C_Datos'!A66)+
COUNTIFS(TablaMaq2[Componente],Tabla19[[#This Row],[Comp2]],TablaMaq2[ID_Pedido],'2.C_Datos'!A66)+
COUNTIFS(TablaMaq3[Componente],Tabla19[[#This Row],[Comp2]],TablaMaq3[ID_Pedido],'2.C_Datos'!A66)+
COUNTIFS(TablaMaq4[Componente],Tabla19[[#This Row],[Comp2]],TablaMaq4[ID_Pedido],'2.C_Datos'!A66))</f>
        <v/>
      </c>
      <c r="L66" s="99" t="str">
        <f>IF(Tabla19[[#This Row],[Comp3]]="","",COUNTIFS(TablaMaq1[Componente],Tabla19[[#This Row],[Comp3]],TablaMaq1[ID_Pedido],'2.C_Datos'!A66)+
COUNTIFS(TablaMaq2[Componente],Tabla19[[#This Row],[Comp3]],TablaMaq2[ID_Pedido],'2.C_Datos'!A66)+
COUNTIFS(TablaMaq3[Componente],Tabla19[[#This Row],[Comp3]],TablaMaq3[ID_Pedido],'2.C_Datos'!A66)+
COUNTIFS(TablaMaq4[Componente],Tabla19[[#This Row],[Comp3]],TablaMaq4[ID_Pedido],'2.C_Datos'!A66))</f>
        <v/>
      </c>
      <c r="M66" s="99" t="str">
        <f>IF(Tabla19[[#This Row],[Comp4]]="","",COUNTIFS(TablaMaq1[Componente],Tabla19[[#This Row],[Comp4]],TablaMaq1[ID_Pedido],'2.C_Datos'!A66)+
COUNTIFS(TablaMaq2[Componente],Tabla19[[#This Row],[Comp4]],TablaMaq2[ID_Pedido],'2.C_Datos'!A66)+
COUNTIFS(TablaMaq3[Componente],Tabla19[[#This Row],[Comp4]],TablaMaq3[ID_Pedido],'2.C_Datos'!A66)+
COUNTIFS(TablaMaq4[Componente],Tabla19[[#This Row],[Comp4]],TablaMaq4[ID_Pedido],'2.C_Datos'!A66))</f>
        <v/>
      </c>
      <c r="N66" s="99" t="str">
        <f>IF(Tabla19[[#This Row],[Comp5]]="","",COUNTIFS(TablaMaq1[Componente],Tabla19[[#This Row],[Comp5]],TablaMaq1[ID_Pedido],'2.C_Datos'!A66)+
COUNTIFS(TablaMaq1[Componente],Tabla19[[#This Row],[Comp5]],TablaMaq2[ID_Pedido],'2.C_Datos'!A66)+
COUNTIFS(TablaMaq1[Componente],Tabla19[[#This Row],[Comp5]],TablaMaq3[ID_Pedido],'2.C_Datos'!A66)+
COUNTIFS(TablaMaq1[Componente],Tabla19[[#This Row],[Comp5]],TablaMaq4[ID_Pedido],'2.C_Datos'!A66))</f>
        <v/>
      </c>
      <c r="O66" s="85" t="str">
        <f>IF(Tabla19[[#This Row],[Comp1]]="","",
IF(IF(Tabla19[[#This Row],[Comp1]]=0,0,1)*$D66-Tabla19[[#This Row],[Asign1]]=0,0,Tabla19[[#This Row],[Comp1]]))</f>
        <v/>
      </c>
      <c r="P66" s="85" t="str">
        <f>IF(Tabla19[[#This Row],[Comp2]]="","",
IF(IF(Tabla19[[#This Row],[Comp2]]=0,0,1)*$D66-Tabla19[[#This Row],[Asign2]]=0,0,Tabla19[[#This Row],[Comp2]]))</f>
        <v/>
      </c>
      <c r="Q66" s="85" t="str">
        <f>IF(Tabla19[[#This Row],[Comp3]]="","",
IF(IF(Tabla19[[#This Row],[Comp3]]=0,0,1)*$D66-Tabla19[[#This Row],[Asign3]]=0,0,Tabla19[[#This Row],[Comp3]]))</f>
        <v/>
      </c>
      <c r="R66" s="85" t="str">
        <f>IF(Tabla19[[#This Row],[Comp4]]="","",
IF(IF(Tabla19[[#This Row],[Comp4]]=0,0,1)*$D66-Tabla19[[#This Row],[Asign4]]=0,0,Tabla19[[#This Row],[Comp4]]))</f>
        <v/>
      </c>
      <c r="S66" s="85" t="str">
        <f>IF(Tabla19[[#This Row],[Comp5]]="","",
IF(IF(Tabla19[[#This Row],[Comp5]]=0,0,1)*$D66-Tabla19[[#This Row],[Asign5]]=0,0,Tabla19[[#This Row],[Comp5]]))</f>
        <v/>
      </c>
    </row>
    <row r="67" spans="5:19" x14ac:dyDescent="0.3">
      <c r="E67" s="99" t="str">
        <f>IF($A67="","",INDEX(ListadoProductos[],MATCH('2.C_Datos'!$C67,ListadoProductos[Productos],0),MATCH('2.C_Datos'!E$3,ListadoProductos[#Headers],0)))</f>
        <v/>
      </c>
      <c r="F67" s="99" t="str">
        <f>IF($A67="","",INDEX(ListadoProductos[],MATCH('2.C_Datos'!$C67,ListadoProductos[Productos],0),MATCH('2.C_Datos'!F$3,ListadoProductos[#Headers],0)))</f>
        <v/>
      </c>
      <c r="G67" s="99" t="str">
        <f>IF($A67="","",INDEX(ListadoProductos[],MATCH('2.C_Datos'!$C67,ListadoProductos[Productos],0),MATCH('2.C_Datos'!G$3,ListadoProductos[#Headers],0)))</f>
        <v/>
      </c>
      <c r="H67" s="99" t="str">
        <f>IF($A67="","",INDEX(ListadoProductos[],MATCH('2.C_Datos'!$C67,ListadoProductos[Productos],0),MATCH('2.C_Datos'!H$3,ListadoProductos[#Headers],0)))</f>
        <v/>
      </c>
      <c r="I67" s="99" t="str">
        <f>IF($A67="","",INDEX(ListadoProductos[],MATCH('2.C_Datos'!$C67,ListadoProductos[Productos],0),MATCH('2.C_Datos'!I$3,ListadoProductos[#Headers],0)))</f>
        <v/>
      </c>
      <c r="J67" s="99" t="str">
        <f>IF(Tabla19[[#This Row],[Comp1]]="","",COUNTIFS(TablaMaq1[Componente],Tabla19[[#This Row],[Comp1]],TablaMaq1[ID_Pedido],'2.C_Datos'!A67)+
COUNTIFS(TablaMaq2[Componente],Tabla19[[#This Row],[Comp1]],TablaMaq2[ID_Pedido],'2.C_Datos'!A67)+
COUNTIFS(TablaMaq3[Componente],Tabla19[[#This Row],[Comp1]],TablaMaq3[ID_Pedido],'2.C_Datos'!A67)+
COUNTIFS(TablaMaq4[Componente],Tabla19[[#This Row],[Comp1]],TablaMaq4[ID_Pedido],'2.C_Datos'!A67))</f>
        <v/>
      </c>
      <c r="K67" s="99" t="str">
        <f>IF(Tabla19[[#This Row],[Comp2]]="","",COUNTIFS(TablaMaq1[Componente],Tabla19[[#This Row],[Comp2]],TablaMaq1[ID_Pedido],'2.C_Datos'!A67)+
COUNTIFS(TablaMaq2[Componente],Tabla19[[#This Row],[Comp2]],TablaMaq2[ID_Pedido],'2.C_Datos'!A67)+
COUNTIFS(TablaMaq3[Componente],Tabla19[[#This Row],[Comp2]],TablaMaq3[ID_Pedido],'2.C_Datos'!A67)+
COUNTIFS(TablaMaq4[Componente],Tabla19[[#This Row],[Comp2]],TablaMaq4[ID_Pedido],'2.C_Datos'!A67))</f>
        <v/>
      </c>
      <c r="L67" s="99" t="str">
        <f>IF(Tabla19[[#This Row],[Comp3]]="","",COUNTIFS(TablaMaq1[Componente],Tabla19[[#This Row],[Comp3]],TablaMaq1[ID_Pedido],'2.C_Datos'!A67)+
COUNTIFS(TablaMaq2[Componente],Tabla19[[#This Row],[Comp3]],TablaMaq2[ID_Pedido],'2.C_Datos'!A67)+
COUNTIFS(TablaMaq3[Componente],Tabla19[[#This Row],[Comp3]],TablaMaq3[ID_Pedido],'2.C_Datos'!A67)+
COUNTIFS(TablaMaq4[Componente],Tabla19[[#This Row],[Comp3]],TablaMaq4[ID_Pedido],'2.C_Datos'!A67))</f>
        <v/>
      </c>
      <c r="M67" s="99" t="str">
        <f>IF(Tabla19[[#This Row],[Comp4]]="","",COUNTIFS(TablaMaq1[Componente],Tabla19[[#This Row],[Comp4]],TablaMaq1[ID_Pedido],'2.C_Datos'!A67)+
COUNTIFS(TablaMaq2[Componente],Tabla19[[#This Row],[Comp4]],TablaMaq2[ID_Pedido],'2.C_Datos'!A67)+
COUNTIFS(TablaMaq3[Componente],Tabla19[[#This Row],[Comp4]],TablaMaq3[ID_Pedido],'2.C_Datos'!A67)+
COUNTIFS(TablaMaq4[Componente],Tabla19[[#This Row],[Comp4]],TablaMaq4[ID_Pedido],'2.C_Datos'!A67))</f>
        <v/>
      </c>
      <c r="N67" s="99" t="str">
        <f>IF(Tabla19[[#This Row],[Comp5]]="","",COUNTIFS(TablaMaq1[Componente],Tabla19[[#This Row],[Comp5]],TablaMaq1[ID_Pedido],'2.C_Datos'!A67)+
COUNTIFS(TablaMaq1[Componente],Tabla19[[#This Row],[Comp5]],TablaMaq2[ID_Pedido],'2.C_Datos'!A67)+
COUNTIFS(TablaMaq1[Componente],Tabla19[[#This Row],[Comp5]],TablaMaq3[ID_Pedido],'2.C_Datos'!A67)+
COUNTIFS(TablaMaq1[Componente],Tabla19[[#This Row],[Comp5]],TablaMaq4[ID_Pedido],'2.C_Datos'!A67))</f>
        <v/>
      </c>
      <c r="O67" s="85" t="str">
        <f>IF(Tabla19[[#This Row],[Comp1]]="","",
IF(IF(Tabla19[[#This Row],[Comp1]]=0,0,1)*$D67-Tabla19[[#This Row],[Asign1]]=0,0,Tabla19[[#This Row],[Comp1]]))</f>
        <v/>
      </c>
      <c r="P67" s="85" t="str">
        <f>IF(Tabla19[[#This Row],[Comp2]]="","",
IF(IF(Tabla19[[#This Row],[Comp2]]=0,0,1)*$D67-Tabla19[[#This Row],[Asign2]]=0,0,Tabla19[[#This Row],[Comp2]]))</f>
        <v/>
      </c>
      <c r="Q67" s="85" t="str">
        <f>IF(Tabla19[[#This Row],[Comp3]]="","",
IF(IF(Tabla19[[#This Row],[Comp3]]=0,0,1)*$D67-Tabla19[[#This Row],[Asign3]]=0,0,Tabla19[[#This Row],[Comp3]]))</f>
        <v/>
      </c>
      <c r="R67" s="85" t="str">
        <f>IF(Tabla19[[#This Row],[Comp4]]="","",
IF(IF(Tabla19[[#This Row],[Comp4]]=0,0,1)*$D67-Tabla19[[#This Row],[Asign4]]=0,0,Tabla19[[#This Row],[Comp4]]))</f>
        <v/>
      </c>
      <c r="S67" s="85" t="str">
        <f>IF(Tabla19[[#This Row],[Comp5]]="","",
IF(IF(Tabla19[[#This Row],[Comp5]]=0,0,1)*$D67-Tabla19[[#This Row],[Asign5]]=0,0,Tabla19[[#This Row],[Comp5]]))</f>
        <v/>
      </c>
    </row>
    <row r="68" spans="5:19" x14ac:dyDescent="0.3">
      <c r="E68" s="99" t="str">
        <f>IF($A68="","",INDEX(ListadoProductos[],MATCH('2.C_Datos'!$C68,ListadoProductos[Productos],0),MATCH('2.C_Datos'!E$3,ListadoProductos[#Headers],0)))</f>
        <v/>
      </c>
      <c r="F68" s="99" t="str">
        <f>IF($A68="","",INDEX(ListadoProductos[],MATCH('2.C_Datos'!$C68,ListadoProductos[Productos],0),MATCH('2.C_Datos'!F$3,ListadoProductos[#Headers],0)))</f>
        <v/>
      </c>
      <c r="G68" s="99" t="str">
        <f>IF($A68="","",INDEX(ListadoProductos[],MATCH('2.C_Datos'!$C68,ListadoProductos[Productos],0),MATCH('2.C_Datos'!G$3,ListadoProductos[#Headers],0)))</f>
        <v/>
      </c>
      <c r="H68" s="99" t="str">
        <f>IF($A68="","",INDEX(ListadoProductos[],MATCH('2.C_Datos'!$C68,ListadoProductos[Productos],0),MATCH('2.C_Datos'!H$3,ListadoProductos[#Headers],0)))</f>
        <v/>
      </c>
      <c r="I68" s="99" t="str">
        <f>IF($A68="","",INDEX(ListadoProductos[],MATCH('2.C_Datos'!$C68,ListadoProductos[Productos],0),MATCH('2.C_Datos'!I$3,ListadoProductos[#Headers],0)))</f>
        <v/>
      </c>
      <c r="J68" s="99" t="str">
        <f>IF(Tabla19[[#This Row],[Comp1]]="","",COUNTIFS(TablaMaq1[Componente],Tabla19[[#This Row],[Comp1]],TablaMaq1[ID_Pedido],'2.C_Datos'!A68)+
COUNTIFS(TablaMaq2[Componente],Tabla19[[#This Row],[Comp1]],TablaMaq2[ID_Pedido],'2.C_Datos'!A68)+
COUNTIFS(TablaMaq3[Componente],Tabla19[[#This Row],[Comp1]],TablaMaq3[ID_Pedido],'2.C_Datos'!A68)+
COUNTIFS(TablaMaq4[Componente],Tabla19[[#This Row],[Comp1]],TablaMaq4[ID_Pedido],'2.C_Datos'!A68))</f>
        <v/>
      </c>
      <c r="K68" s="99" t="str">
        <f>IF(Tabla19[[#This Row],[Comp2]]="","",COUNTIFS(TablaMaq1[Componente],Tabla19[[#This Row],[Comp2]],TablaMaq1[ID_Pedido],'2.C_Datos'!A68)+
COUNTIFS(TablaMaq2[Componente],Tabla19[[#This Row],[Comp2]],TablaMaq2[ID_Pedido],'2.C_Datos'!A68)+
COUNTIFS(TablaMaq3[Componente],Tabla19[[#This Row],[Comp2]],TablaMaq3[ID_Pedido],'2.C_Datos'!A68)+
COUNTIFS(TablaMaq4[Componente],Tabla19[[#This Row],[Comp2]],TablaMaq4[ID_Pedido],'2.C_Datos'!A68))</f>
        <v/>
      </c>
      <c r="L68" s="99" t="str">
        <f>IF(Tabla19[[#This Row],[Comp3]]="","",COUNTIFS(TablaMaq1[Componente],Tabla19[[#This Row],[Comp3]],TablaMaq1[ID_Pedido],'2.C_Datos'!A68)+
COUNTIFS(TablaMaq2[Componente],Tabla19[[#This Row],[Comp3]],TablaMaq2[ID_Pedido],'2.C_Datos'!A68)+
COUNTIFS(TablaMaq3[Componente],Tabla19[[#This Row],[Comp3]],TablaMaq3[ID_Pedido],'2.C_Datos'!A68)+
COUNTIFS(TablaMaq4[Componente],Tabla19[[#This Row],[Comp3]],TablaMaq4[ID_Pedido],'2.C_Datos'!A68))</f>
        <v/>
      </c>
      <c r="M68" s="99" t="str">
        <f>IF(Tabla19[[#This Row],[Comp4]]="","",COUNTIFS(TablaMaq1[Componente],Tabla19[[#This Row],[Comp4]],TablaMaq1[ID_Pedido],'2.C_Datos'!A68)+
COUNTIFS(TablaMaq2[Componente],Tabla19[[#This Row],[Comp4]],TablaMaq2[ID_Pedido],'2.C_Datos'!A68)+
COUNTIFS(TablaMaq3[Componente],Tabla19[[#This Row],[Comp4]],TablaMaq3[ID_Pedido],'2.C_Datos'!A68)+
COUNTIFS(TablaMaq4[Componente],Tabla19[[#This Row],[Comp4]],TablaMaq4[ID_Pedido],'2.C_Datos'!A68))</f>
        <v/>
      </c>
      <c r="N68" s="99" t="str">
        <f>IF(Tabla19[[#This Row],[Comp5]]="","",COUNTIFS(TablaMaq1[Componente],Tabla19[[#This Row],[Comp5]],TablaMaq1[ID_Pedido],'2.C_Datos'!A68)+
COUNTIFS(TablaMaq1[Componente],Tabla19[[#This Row],[Comp5]],TablaMaq2[ID_Pedido],'2.C_Datos'!A68)+
COUNTIFS(TablaMaq1[Componente],Tabla19[[#This Row],[Comp5]],TablaMaq3[ID_Pedido],'2.C_Datos'!A68)+
COUNTIFS(TablaMaq1[Componente],Tabla19[[#This Row],[Comp5]],TablaMaq4[ID_Pedido],'2.C_Datos'!A68))</f>
        <v/>
      </c>
      <c r="O68" s="85" t="str">
        <f>IF(Tabla19[[#This Row],[Comp1]]="","",
IF(IF(Tabla19[[#This Row],[Comp1]]=0,0,1)*$D68-Tabla19[[#This Row],[Asign1]]=0,0,Tabla19[[#This Row],[Comp1]]))</f>
        <v/>
      </c>
      <c r="P68" s="85" t="str">
        <f>IF(Tabla19[[#This Row],[Comp2]]="","",
IF(IF(Tabla19[[#This Row],[Comp2]]=0,0,1)*$D68-Tabla19[[#This Row],[Asign2]]=0,0,Tabla19[[#This Row],[Comp2]]))</f>
        <v/>
      </c>
      <c r="Q68" s="85" t="str">
        <f>IF(Tabla19[[#This Row],[Comp3]]="","",
IF(IF(Tabla19[[#This Row],[Comp3]]=0,0,1)*$D68-Tabla19[[#This Row],[Asign3]]=0,0,Tabla19[[#This Row],[Comp3]]))</f>
        <v/>
      </c>
      <c r="R68" s="85" t="str">
        <f>IF(Tabla19[[#This Row],[Comp4]]="","",
IF(IF(Tabla19[[#This Row],[Comp4]]=0,0,1)*$D68-Tabla19[[#This Row],[Asign4]]=0,0,Tabla19[[#This Row],[Comp4]]))</f>
        <v/>
      </c>
      <c r="S68" s="85" t="str">
        <f>IF(Tabla19[[#This Row],[Comp5]]="","",
IF(IF(Tabla19[[#This Row],[Comp5]]=0,0,1)*$D68-Tabla19[[#This Row],[Asign5]]=0,0,Tabla19[[#This Row],[Comp5]]))</f>
        <v/>
      </c>
    </row>
    <row r="69" spans="5:19" x14ac:dyDescent="0.3">
      <c r="E69" s="99" t="str">
        <f>IF($A69="","",INDEX(ListadoProductos[],MATCH('2.C_Datos'!$C69,ListadoProductos[Productos],0),MATCH('2.C_Datos'!E$3,ListadoProductos[#Headers],0)))</f>
        <v/>
      </c>
      <c r="F69" s="99" t="str">
        <f>IF($A69="","",INDEX(ListadoProductos[],MATCH('2.C_Datos'!$C69,ListadoProductos[Productos],0),MATCH('2.C_Datos'!F$3,ListadoProductos[#Headers],0)))</f>
        <v/>
      </c>
      <c r="G69" s="99" t="str">
        <f>IF($A69="","",INDEX(ListadoProductos[],MATCH('2.C_Datos'!$C69,ListadoProductos[Productos],0),MATCH('2.C_Datos'!G$3,ListadoProductos[#Headers],0)))</f>
        <v/>
      </c>
      <c r="H69" s="99" t="str">
        <f>IF($A69="","",INDEX(ListadoProductos[],MATCH('2.C_Datos'!$C69,ListadoProductos[Productos],0),MATCH('2.C_Datos'!H$3,ListadoProductos[#Headers],0)))</f>
        <v/>
      </c>
      <c r="I69" s="99" t="str">
        <f>IF($A69="","",INDEX(ListadoProductos[],MATCH('2.C_Datos'!$C69,ListadoProductos[Productos],0),MATCH('2.C_Datos'!I$3,ListadoProductos[#Headers],0)))</f>
        <v/>
      </c>
      <c r="J69" s="99" t="str">
        <f>IF(Tabla19[[#This Row],[Comp1]]="","",COUNTIFS(TablaMaq1[Componente],Tabla19[[#This Row],[Comp1]],TablaMaq1[ID_Pedido],'2.C_Datos'!A69)+
COUNTIFS(TablaMaq2[Componente],Tabla19[[#This Row],[Comp1]],TablaMaq2[ID_Pedido],'2.C_Datos'!A69)+
COUNTIFS(TablaMaq3[Componente],Tabla19[[#This Row],[Comp1]],TablaMaq3[ID_Pedido],'2.C_Datos'!A69)+
COUNTIFS(TablaMaq4[Componente],Tabla19[[#This Row],[Comp1]],TablaMaq4[ID_Pedido],'2.C_Datos'!A69))</f>
        <v/>
      </c>
      <c r="K69" s="99" t="str">
        <f>IF(Tabla19[[#This Row],[Comp2]]="","",COUNTIFS(TablaMaq1[Componente],Tabla19[[#This Row],[Comp2]],TablaMaq1[ID_Pedido],'2.C_Datos'!A69)+
COUNTIFS(TablaMaq2[Componente],Tabla19[[#This Row],[Comp2]],TablaMaq2[ID_Pedido],'2.C_Datos'!A69)+
COUNTIFS(TablaMaq3[Componente],Tabla19[[#This Row],[Comp2]],TablaMaq3[ID_Pedido],'2.C_Datos'!A69)+
COUNTIFS(TablaMaq4[Componente],Tabla19[[#This Row],[Comp2]],TablaMaq4[ID_Pedido],'2.C_Datos'!A69))</f>
        <v/>
      </c>
      <c r="L69" s="99" t="str">
        <f>IF(Tabla19[[#This Row],[Comp3]]="","",COUNTIFS(TablaMaq1[Componente],Tabla19[[#This Row],[Comp3]],TablaMaq1[ID_Pedido],'2.C_Datos'!A69)+
COUNTIFS(TablaMaq2[Componente],Tabla19[[#This Row],[Comp3]],TablaMaq2[ID_Pedido],'2.C_Datos'!A69)+
COUNTIFS(TablaMaq3[Componente],Tabla19[[#This Row],[Comp3]],TablaMaq3[ID_Pedido],'2.C_Datos'!A69)+
COUNTIFS(TablaMaq4[Componente],Tabla19[[#This Row],[Comp3]],TablaMaq4[ID_Pedido],'2.C_Datos'!A69))</f>
        <v/>
      </c>
      <c r="M69" s="99" t="str">
        <f>IF(Tabla19[[#This Row],[Comp4]]="","",COUNTIFS(TablaMaq1[Componente],Tabla19[[#This Row],[Comp4]],TablaMaq1[ID_Pedido],'2.C_Datos'!A69)+
COUNTIFS(TablaMaq2[Componente],Tabla19[[#This Row],[Comp4]],TablaMaq2[ID_Pedido],'2.C_Datos'!A69)+
COUNTIFS(TablaMaq3[Componente],Tabla19[[#This Row],[Comp4]],TablaMaq3[ID_Pedido],'2.C_Datos'!A69)+
COUNTIFS(TablaMaq4[Componente],Tabla19[[#This Row],[Comp4]],TablaMaq4[ID_Pedido],'2.C_Datos'!A69))</f>
        <v/>
      </c>
      <c r="N69" s="99" t="str">
        <f>IF(Tabla19[[#This Row],[Comp5]]="","",COUNTIFS(TablaMaq1[Componente],Tabla19[[#This Row],[Comp5]],TablaMaq1[ID_Pedido],'2.C_Datos'!A69)+
COUNTIFS(TablaMaq1[Componente],Tabla19[[#This Row],[Comp5]],TablaMaq2[ID_Pedido],'2.C_Datos'!A69)+
COUNTIFS(TablaMaq1[Componente],Tabla19[[#This Row],[Comp5]],TablaMaq3[ID_Pedido],'2.C_Datos'!A69)+
COUNTIFS(TablaMaq1[Componente],Tabla19[[#This Row],[Comp5]],TablaMaq4[ID_Pedido],'2.C_Datos'!A69))</f>
        <v/>
      </c>
      <c r="O69" s="85" t="str">
        <f>IF(Tabla19[[#This Row],[Comp1]]="","",
IF(IF(Tabla19[[#This Row],[Comp1]]=0,0,1)*$D69-Tabla19[[#This Row],[Asign1]]=0,0,Tabla19[[#This Row],[Comp1]]))</f>
        <v/>
      </c>
      <c r="P69" s="85" t="str">
        <f>IF(Tabla19[[#This Row],[Comp2]]="","",
IF(IF(Tabla19[[#This Row],[Comp2]]=0,0,1)*$D69-Tabla19[[#This Row],[Asign2]]=0,0,Tabla19[[#This Row],[Comp2]]))</f>
        <v/>
      </c>
      <c r="Q69" s="85" t="str">
        <f>IF(Tabla19[[#This Row],[Comp3]]="","",
IF(IF(Tabla19[[#This Row],[Comp3]]=0,0,1)*$D69-Tabla19[[#This Row],[Asign3]]=0,0,Tabla19[[#This Row],[Comp3]]))</f>
        <v/>
      </c>
      <c r="R69" s="85" t="str">
        <f>IF(Tabla19[[#This Row],[Comp4]]="","",
IF(IF(Tabla19[[#This Row],[Comp4]]=0,0,1)*$D69-Tabla19[[#This Row],[Asign4]]=0,0,Tabla19[[#This Row],[Comp4]]))</f>
        <v/>
      </c>
      <c r="S69" s="85" t="str">
        <f>IF(Tabla19[[#This Row],[Comp5]]="","",
IF(IF(Tabla19[[#This Row],[Comp5]]=0,0,1)*$D69-Tabla19[[#This Row],[Asign5]]=0,0,Tabla19[[#This Row],[Comp5]]))</f>
        <v/>
      </c>
    </row>
    <row r="70" spans="5:19" x14ac:dyDescent="0.3">
      <c r="E70" s="99" t="str">
        <f>IF($A70="","",INDEX(ListadoProductos[],MATCH('2.C_Datos'!$C70,ListadoProductos[Productos],0),MATCH('2.C_Datos'!E$3,ListadoProductos[#Headers],0)))</f>
        <v/>
      </c>
      <c r="F70" s="99" t="str">
        <f>IF($A70="","",INDEX(ListadoProductos[],MATCH('2.C_Datos'!$C70,ListadoProductos[Productos],0),MATCH('2.C_Datos'!F$3,ListadoProductos[#Headers],0)))</f>
        <v/>
      </c>
      <c r="G70" s="99" t="str">
        <f>IF($A70="","",INDEX(ListadoProductos[],MATCH('2.C_Datos'!$C70,ListadoProductos[Productos],0),MATCH('2.C_Datos'!G$3,ListadoProductos[#Headers],0)))</f>
        <v/>
      </c>
      <c r="H70" s="99" t="str">
        <f>IF($A70="","",INDEX(ListadoProductos[],MATCH('2.C_Datos'!$C70,ListadoProductos[Productos],0),MATCH('2.C_Datos'!H$3,ListadoProductos[#Headers],0)))</f>
        <v/>
      </c>
      <c r="I70" s="99" t="str">
        <f>IF($A70="","",INDEX(ListadoProductos[],MATCH('2.C_Datos'!$C70,ListadoProductos[Productos],0),MATCH('2.C_Datos'!I$3,ListadoProductos[#Headers],0)))</f>
        <v/>
      </c>
      <c r="J70" s="99" t="str">
        <f>IF(Tabla19[[#This Row],[Comp1]]="","",COUNTIFS(TablaMaq1[Componente],Tabla19[[#This Row],[Comp1]],TablaMaq1[ID_Pedido],'2.C_Datos'!A70)+
COUNTIFS(TablaMaq2[Componente],Tabla19[[#This Row],[Comp1]],TablaMaq2[ID_Pedido],'2.C_Datos'!A70)+
COUNTIFS(TablaMaq3[Componente],Tabla19[[#This Row],[Comp1]],TablaMaq3[ID_Pedido],'2.C_Datos'!A70)+
COUNTIFS(TablaMaq4[Componente],Tabla19[[#This Row],[Comp1]],TablaMaq4[ID_Pedido],'2.C_Datos'!A70))</f>
        <v/>
      </c>
      <c r="K70" s="99" t="str">
        <f>IF(Tabla19[[#This Row],[Comp2]]="","",COUNTIFS(TablaMaq1[Componente],Tabla19[[#This Row],[Comp2]],TablaMaq1[ID_Pedido],'2.C_Datos'!A70)+
COUNTIFS(TablaMaq2[Componente],Tabla19[[#This Row],[Comp2]],TablaMaq2[ID_Pedido],'2.C_Datos'!A70)+
COUNTIFS(TablaMaq3[Componente],Tabla19[[#This Row],[Comp2]],TablaMaq3[ID_Pedido],'2.C_Datos'!A70)+
COUNTIFS(TablaMaq4[Componente],Tabla19[[#This Row],[Comp2]],TablaMaq4[ID_Pedido],'2.C_Datos'!A70))</f>
        <v/>
      </c>
      <c r="L70" s="99" t="str">
        <f>IF(Tabla19[[#This Row],[Comp3]]="","",COUNTIFS(TablaMaq1[Componente],Tabla19[[#This Row],[Comp3]],TablaMaq1[ID_Pedido],'2.C_Datos'!A70)+
COUNTIFS(TablaMaq2[Componente],Tabla19[[#This Row],[Comp3]],TablaMaq2[ID_Pedido],'2.C_Datos'!A70)+
COUNTIFS(TablaMaq3[Componente],Tabla19[[#This Row],[Comp3]],TablaMaq3[ID_Pedido],'2.C_Datos'!A70)+
COUNTIFS(TablaMaq4[Componente],Tabla19[[#This Row],[Comp3]],TablaMaq4[ID_Pedido],'2.C_Datos'!A70))</f>
        <v/>
      </c>
      <c r="M70" s="99" t="str">
        <f>IF(Tabla19[[#This Row],[Comp4]]="","",COUNTIFS(TablaMaq1[Componente],Tabla19[[#This Row],[Comp4]],TablaMaq1[ID_Pedido],'2.C_Datos'!A70)+
COUNTIFS(TablaMaq2[Componente],Tabla19[[#This Row],[Comp4]],TablaMaq2[ID_Pedido],'2.C_Datos'!A70)+
COUNTIFS(TablaMaq3[Componente],Tabla19[[#This Row],[Comp4]],TablaMaq3[ID_Pedido],'2.C_Datos'!A70)+
COUNTIFS(TablaMaq4[Componente],Tabla19[[#This Row],[Comp4]],TablaMaq4[ID_Pedido],'2.C_Datos'!A70))</f>
        <v/>
      </c>
      <c r="N70" s="99" t="str">
        <f>IF(Tabla19[[#This Row],[Comp5]]="","",COUNTIFS(TablaMaq1[Componente],Tabla19[[#This Row],[Comp5]],TablaMaq1[ID_Pedido],'2.C_Datos'!A70)+
COUNTIFS(TablaMaq1[Componente],Tabla19[[#This Row],[Comp5]],TablaMaq2[ID_Pedido],'2.C_Datos'!A70)+
COUNTIFS(TablaMaq1[Componente],Tabla19[[#This Row],[Comp5]],TablaMaq3[ID_Pedido],'2.C_Datos'!A70)+
COUNTIFS(TablaMaq1[Componente],Tabla19[[#This Row],[Comp5]],TablaMaq4[ID_Pedido],'2.C_Datos'!A70))</f>
        <v/>
      </c>
      <c r="O70" s="85" t="str">
        <f>IF(Tabla19[[#This Row],[Comp1]]="","",
IF(IF(Tabla19[[#This Row],[Comp1]]=0,0,1)*$D70-Tabla19[[#This Row],[Asign1]]=0,0,Tabla19[[#This Row],[Comp1]]))</f>
        <v/>
      </c>
      <c r="P70" s="85" t="str">
        <f>IF(Tabla19[[#This Row],[Comp2]]="","",
IF(IF(Tabla19[[#This Row],[Comp2]]=0,0,1)*$D70-Tabla19[[#This Row],[Asign2]]=0,0,Tabla19[[#This Row],[Comp2]]))</f>
        <v/>
      </c>
      <c r="Q70" s="85" t="str">
        <f>IF(Tabla19[[#This Row],[Comp3]]="","",
IF(IF(Tabla19[[#This Row],[Comp3]]=0,0,1)*$D70-Tabla19[[#This Row],[Asign3]]=0,0,Tabla19[[#This Row],[Comp3]]))</f>
        <v/>
      </c>
      <c r="R70" s="85" t="str">
        <f>IF(Tabla19[[#This Row],[Comp4]]="","",
IF(IF(Tabla19[[#This Row],[Comp4]]=0,0,1)*$D70-Tabla19[[#This Row],[Asign4]]=0,0,Tabla19[[#This Row],[Comp4]]))</f>
        <v/>
      </c>
      <c r="S70" s="85" t="str">
        <f>IF(Tabla19[[#This Row],[Comp5]]="","",
IF(IF(Tabla19[[#This Row],[Comp5]]=0,0,1)*$D70-Tabla19[[#This Row],[Asign5]]=0,0,Tabla19[[#This Row],[Comp5]]))</f>
        <v/>
      </c>
    </row>
    <row r="71" spans="5:19" x14ac:dyDescent="0.3">
      <c r="E71" s="99" t="str">
        <f>IF($A71="","",INDEX(ListadoProductos[],MATCH('2.C_Datos'!$C71,ListadoProductos[Productos],0),MATCH('2.C_Datos'!E$3,ListadoProductos[#Headers],0)))</f>
        <v/>
      </c>
      <c r="F71" s="99" t="str">
        <f>IF($A71="","",INDEX(ListadoProductos[],MATCH('2.C_Datos'!$C71,ListadoProductos[Productos],0),MATCH('2.C_Datos'!F$3,ListadoProductos[#Headers],0)))</f>
        <v/>
      </c>
      <c r="G71" s="99" t="str">
        <f>IF($A71="","",INDEX(ListadoProductos[],MATCH('2.C_Datos'!$C71,ListadoProductos[Productos],0),MATCH('2.C_Datos'!G$3,ListadoProductos[#Headers],0)))</f>
        <v/>
      </c>
      <c r="H71" s="99" t="str">
        <f>IF($A71="","",INDEX(ListadoProductos[],MATCH('2.C_Datos'!$C71,ListadoProductos[Productos],0),MATCH('2.C_Datos'!H$3,ListadoProductos[#Headers],0)))</f>
        <v/>
      </c>
      <c r="I71" s="99" t="str">
        <f>IF($A71="","",INDEX(ListadoProductos[],MATCH('2.C_Datos'!$C71,ListadoProductos[Productos],0),MATCH('2.C_Datos'!I$3,ListadoProductos[#Headers],0)))</f>
        <v/>
      </c>
      <c r="J71" s="99" t="str">
        <f>IF(Tabla19[[#This Row],[Comp1]]="","",COUNTIFS(TablaMaq1[Componente],Tabla19[[#This Row],[Comp1]],TablaMaq1[ID_Pedido],'2.C_Datos'!A71)+
COUNTIFS(TablaMaq2[Componente],Tabla19[[#This Row],[Comp1]],TablaMaq2[ID_Pedido],'2.C_Datos'!A71)+
COUNTIFS(TablaMaq3[Componente],Tabla19[[#This Row],[Comp1]],TablaMaq3[ID_Pedido],'2.C_Datos'!A71)+
COUNTIFS(TablaMaq4[Componente],Tabla19[[#This Row],[Comp1]],TablaMaq4[ID_Pedido],'2.C_Datos'!A71))</f>
        <v/>
      </c>
      <c r="K71" s="99" t="str">
        <f>IF(Tabla19[[#This Row],[Comp2]]="","",COUNTIFS(TablaMaq1[Componente],Tabla19[[#This Row],[Comp2]],TablaMaq1[ID_Pedido],'2.C_Datos'!A71)+
COUNTIFS(TablaMaq2[Componente],Tabla19[[#This Row],[Comp2]],TablaMaq2[ID_Pedido],'2.C_Datos'!A71)+
COUNTIFS(TablaMaq3[Componente],Tabla19[[#This Row],[Comp2]],TablaMaq3[ID_Pedido],'2.C_Datos'!A71)+
COUNTIFS(TablaMaq4[Componente],Tabla19[[#This Row],[Comp2]],TablaMaq4[ID_Pedido],'2.C_Datos'!A71))</f>
        <v/>
      </c>
      <c r="L71" s="99" t="str">
        <f>IF(Tabla19[[#This Row],[Comp3]]="","",COUNTIFS(TablaMaq1[Componente],Tabla19[[#This Row],[Comp3]],TablaMaq1[ID_Pedido],'2.C_Datos'!A71)+
COUNTIFS(TablaMaq2[Componente],Tabla19[[#This Row],[Comp3]],TablaMaq2[ID_Pedido],'2.C_Datos'!A71)+
COUNTIFS(TablaMaq3[Componente],Tabla19[[#This Row],[Comp3]],TablaMaq3[ID_Pedido],'2.C_Datos'!A71)+
COUNTIFS(TablaMaq4[Componente],Tabla19[[#This Row],[Comp3]],TablaMaq4[ID_Pedido],'2.C_Datos'!A71))</f>
        <v/>
      </c>
      <c r="M71" s="99" t="str">
        <f>IF(Tabla19[[#This Row],[Comp4]]="","",COUNTIFS(TablaMaq1[Componente],Tabla19[[#This Row],[Comp4]],TablaMaq1[ID_Pedido],'2.C_Datos'!A71)+
COUNTIFS(TablaMaq2[Componente],Tabla19[[#This Row],[Comp4]],TablaMaq2[ID_Pedido],'2.C_Datos'!A71)+
COUNTIFS(TablaMaq3[Componente],Tabla19[[#This Row],[Comp4]],TablaMaq3[ID_Pedido],'2.C_Datos'!A71)+
COUNTIFS(TablaMaq4[Componente],Tabla19[[#This Row],[Comp4]],TablaMaq4[ID_Pedido],'2.C_Datos'!A71))</f>
        <v/>
      </c>
      <c r="N71" s="99" t="str">
        <f>IF(Tabla19[[#This Row],[Comp5]]="","",COUNTIFS(TablaMaq1[Componente],Tabla19[[#This Row],[Comp5]],TablaMaq1[ID_Pedido],'2.C_Datos'!A71)+
COUNTIFS(TablaMaq1[Componente],Tabla19[[#This Row],[Comp5]],TablaMaq2[ID_Pedido],'2.C_Datos'!A71)+
COUNTIFS(TablaMaq1[Componente],Tabla19[[#This Row],[Comp5]],TablaMaq3[ID_Pedido],'2.C_Datos'!A71)+
COUNTIFS(TablaMaq1[Componente],Tabla19[[#This Row],[Comp5]],TablaMaq4[ID_Pedido],'2.C_Datos'!A71))</f>
        <v/>
      </c>
      <c r="O71" s="85" t="str">
        <f>IF(Tabla19[[#This Row],[Comp1]]="","",
IF(IF(Tabla19[[#This Row],[Comp1]]=0,0,1)*$D71-Tabla19[[#This Row],[Asign1]]=0,0,Tabla19[[#This Row],[Comp1]]))</f>
        <v/>
      </c>
      <c r="P71" s="85" t="str">
        <f>IF(Tabla19[[#This Row],[Comp2]]="","",
IF(IF(Tabla19[[#This Row],[Comp2]]=0,0,1)*$D71-Tabla19[[#This Row],[Asign2]]=0,0,Tabla19[[#This Row],[Comp2]]))</f>
        <v/>
      </c>
      <c r="Q71" s="85" t="str">
        <f>IF(Tabla19[[#This Row],[Comp3]]="","",
IF(IF(Tabla19[[#This Row],[Comp3]]=0,0,1)*$D71-Tabla19[[#This Row],[Asign3]]=0,0,Tabla19[[#This Row],[Comp3]]))</f>
        <v/>
      </c>
      <c r="R71" s="85" t="str">
        <f>IF(Tabla19[[#This Row],[Comp4]]="","",
IF(IF(Tabla19[[#This Row],[Comp4]]=0,0,1)*$D71-Tabla19[[#This Row],[Asign4]]=0,0,Tabla19[[#This Row],[Comp4]]))</f>
        <v/>
      </c>
      <c r="S71" s="85" t="str">
        <f>IF(Tabla19[[#This Row],[Comp5]]="","",
IF(IF(Tabla19[[#This Row],[Comp5]]=0,0,1)*$D71-Tabla19[[#This Row],[Asign5]]=0,0,Tabla19[[#This Row],[Comp5]]))</f>
        <v/>
      </c>
    </row>
    <row r="72" spans="5:19" x14ac:dyDescent="0.3">
      <c r="E72" s="99" t="str">
        <f>IF($A72="","",INDEX(ListadoProductos[],MATCH('2.C_Datos'!$C72,ListadoProductos[Productos],0),MATCH('2.C_Datos'!E$3,ListadoProductos[#Headers],0)))</f>
        <v/>
      </c>
      <c r="F72" s="99" t="str">
        <f>IF($A72="","",INDEX(ListadoProductos[],MATCH('2.C_Datos'!$C72,ListadoProductos[Productos],0),MATCH('2.C_Datos'!F$3,ListadoProductos[#Headers],0)))</f>
        <v/>
      </c>
      <c r="G72" s="99" t="str">
        <f>IF($A72="","",INDEX(ListadoProductos[],MATCH('2.C_Datos'!$C72,ListadoProductos[Productos],0),MATCH('2.C_Datos'!G$3,ListadoProductos[#Headers],0)))</f>
        <v/>
      </c>
      <c r="H72" s="99" t="str">
        <f>IF($A72="","",INDEX(ListadoProductos[],MATCH('2.C_Datos'!$C72,ListadoProductos[Productos],0),MATCH('2.C_Datos'!H$3,ListadoProductos[#Headers],0)))</f>
        <v/>
      </c>
      <c r="I72" s="99" t="str">
        <f>IF($A72="","",INDEX(ListadoProductos[],MATCH('2.C_Datos'!$C72,ListadoProductos[Productos],0),MATCH('2.C_Datos'!I$3,ListadoProductos[#Headers],0)))</f>
        <v/>
      </c>
      <c r="J72" s="99" t="str">
        <f>IF(Tabla19[[#This Row],[Comp1]]="","",COUNTIFS(TablaMaq1[Componente],Tabla19[[#This Row],[Comp1]],TablaMaq1[ID_Pedido],'2.C_Datos'!A72)+
COUNTIFS(TablaMaq2[Componente],Tabla19[[#This Row],[Comp1]],TablaMaq2[ID_Pedido],'2.C_Datos'!A72)+
COUNTIFS(TablaMaq3[Componente],Tabla19[[#This Row],[Comp1]],TablaMaq3[ID_Pedido],'2.C_Datos'!A72)+
COUNTIFS(TablaMaq4[Componente],Tabla19[[#This Row],[Comp1]],TablaMaq4[ID_Pedido],'2.C_Datos'!A72))</f>
        <v/>
      </c>
      <c r="K72" s="99" t="str">
        <f>IF(Tabla19[[#This Row],[Comp2]]="","",COUNTIFS(TablaMaq1[Componente],Tabla19[[#This Row],[Comp2]],TablaMaq1[ID_Pedido],'2.C_Datos'!A72)+
COUNTIFS(TablaMaq2[Componente],Tabla19[[#This Row],[Comp2]],TablaMaq2[ID_Pedido],'2.C_Datos'!A72)+
COUNTIFS(TablaMaq3[Componente],Tabla19[[#This Row],[Comp2]],TablaMaq3[ID_Pedido],'2.C_Datos'!A72)+
COUNTIFS(TablaMaq4[Componente],Tabla19[[#This Row],[Comp2]],TablaMaq4[ID_Pedido],'2.C_Datos'!A72))</f>
        <v/>
      </c>
      <c r="L72" s="99" t="str">
        <f>IF(Tabla19[[#This Row],[Comp3]]="","",COUNTIFS(TablaMaq1[Componente],Tabla19[[#This Row],[Comp3]],TablaMaq1[ID_Pedido],'2.C_Datos'!A72)+
COUNTIFS(TablaMaq2[Componente],Tabla19[[#This Row],[Comp3]],TablaMaq2[ID_Pedido],'2.C_Datos'!A72)+
COUNTIFS(TablaMaq3[Componente],Tabla19[[#This Row],[Comp3]],TablaMaq3[ID_Pedido],'2.C_Datos'!A72)+
COUNTIFS(TablaMaq4[Componente],Tabla19[[#This Row],[Comp3]],TablaMaq4[ID_Pedido],'2.C_Datos'!A72))</f>
        <v/>
      </c>
      <c r="M72" s="99" t="str">
        <f>IF(Tabla19[[#This Row],[Comp4]]="","",COUNTIFS(TablaMaq1[Componente],Tabla19[[#This Row],[Comp4]],TablaMaq1[ID_Pedido],'2.C_Datos'!A72)+
COUNTIFS(TablaMaq2[Componente],Tabla19[[#This Row],[Comp4]],TablaMaq2[ID_Pedido],'2.C_Datos'!A72)+
COUNTIFS(TablaMaq3[Componente],Tabla19[[#This Row],[Comp4]],TablaMaq3[ID_Pedido],'2.C_Datos'!A72)+
COUNTIFS(TablaMaq4[Componente],Tabla19[[#This Row],[Comp4]],TablaMaq4[ID_Pedido],'2.C_Datos'!A72))</f>
        <v/>
      </c>
      <c r="N72" s="99" t="str">
        <f>IF(Tabla19[[#This Row],[Comp5]]="","",COUNTIFS(TablaMaq1[Componente],Tabla19[[#This Row],[Comp5]],TablaMaq1[ID_Pedido],'2.C_Datos'!A72)+
COUNTIFS(TablaMaq1[Componente],Tabla19[[#This Row],[Comp5]],TablaMaq2[ID_Pedido],'2.C_Datos'!A72)+
COUNTIFS(TablaMaq1[Componente],Tabla19[[#This Row],[Comp5]],TablaMaq3[ID_Pedido],'2.C_Datos'!A72)+
COUNTIFS(TablaMaq1[Componente],Tabla19[[#This Row],[Comp5]],TablaMaq4[ID_Pedido],'2.C_Datos'!A72))</f>
        <v/>
      </c>
      <c r="O72" s="85" t="str">
        <f>IF(Tabla19[[#This Row],[Comp1]]="","",
IF(IF(Tabla19[[#This Row],[Comp1]]=0,0,1)*$D72-Tabla19[[#This Row],[Asign1]]=0,0,Tabla19[[#This Row],[Comp1]]))</f>
        <v/>
      </c>
      <c r="P72" s="85" t="str">
        <f>IF(Tabla19[[#This Row],[Comp2]]="","",
IF(IF(Tabla19[[#This Row],[Comp2]]=0,0,1)*$D72-Tabla19[[#This Row],[Asign2]]=0,0,Tabla19[[#This Row],[Comp2]]))</f>
        <v/>
      </c>
      <c r="Q72" s="85" t="str">
        <f>IF(Tabla19[[#This Row],[Comp3]]="","",
IF(IF(Tabla19[[#This Row],[Comp3]]=0,0,1)*$D72-Tabla19[[#This Row],[Asign3]]=0,0,Tabla19[[#This Row],[Comp3]]))</f>
        <v/>
      </c>
      <c r="R72" s="85" t="str">
        <f>IF(Tabla19[[#This Row],[Comp4]]="","",
IF(IF(Tabla19[[#This Row],[Comp4]]=0,0,1)*$D72-Tabla19[[#This Row],[Asign4]]=0,0,Tabla19[[#This Row],[Comp4]]))</f>
        <v/>
      </c>
      <c r="S72" s="85" t="str">
        <f>IF(Tabla19[[#This Row],[Comp5]]="","",
IF(IF(Tabla19[[#This Row],[Comp5]]=0,0,1)*$D72-Tabla19[[#This Row],[Asign5]]=0,0,Tabla19[[#This Row],[Comp5]]))</f>
        <v/>
      </c>
    </row>
    <row r="73" spans="5:19" x14ac:dyDescent="0.3">
      <c r="E73" s="99" t="str">
        <f>IF($A73="","",INDEX(ListadoProductos[],MATCH('2.C_Datos'!$C73,ListadoProductos[Productos],0),MATCH('2.C_Datos'!E$3,ListadoProductos[#Headers],0)))</f>
        <v/>
      </c>
      <c r="F73" s="99" t="str">
        <f>IF($A73="","",INDEX(ListadoProductos[],MATCH('2.C_Datos'!$C73,ListadoProductos[Productos],0),MATCH('2.C_Datos'!F$3,ListadoProductos[#Headers],0)))</f>
        <v/>
      </c>
      <c r="G73" s="99" t="str">
        <f>IF($A73="","",INDEX(ListadoProductos[],MATCH('2.C_Datos'!$C73,ListadoProductos[Productos],0),MATCH('2.C_Datos'!G$3,ListadoProductos[#Headers],0)))</f>
        <v/>
      </c>
      <c r="H73" s="99" t="str">
        <f>IF($A73="","",INDEX(ListadoProductos[],MATCH('2.C_Datos'!$C73,ListadoProductos[Productos],0),MATCH('2.C_Datos'!H$3,ListadoProductos[#Headers],0)))</f>
        <v/>
      </c>
      <c r="I73" s="99" t="str">
        <f>IF($A73="","",INDEX(ListadoProductos[],MATCH('2.C_Datos'!$C73,ListadoProductos[Productos],0),MATCH('2.C_Datos'!I$3,ListadoProductos[#Headers],0)))</f>
        <v/>
      </c>
      <c r="J73" s="99" t="str">
        <f>IF(Tabla19[[#This Row],[Comp1]]="","",COUNTIFS(TablaMaq1[Componente],Tabla19[[#This Row],[Comp1]],TablaMaq1[ID_Pedido],'2.C_Datos'!A73)+
COUNTIFS(TablaMaq2[Componente],Tabla19[[#This Row],[Comp1]],TablaMaq2[ID_Pedido],'2.C_Datos'!A73)+
COUNTIFS(TablaMaq3[Componente],Tabla19[[#This Row],[Comp1]],TablaMaq3[ID_Pedido],'2.C_Datos'!A73)+
COUNTIFS(TablaMaq4[Componente],Tabla19[[#This Row],[Comp1]],TablaMaq4[ID_Pedido],'2.C_Datos'!A73))</f>
        <v/>
      </c>
      <c r="K73" s="99" t="str">
        <f>IF(Tabla19[[#This Row],[Comp2]]="","",COUNTIFS(TablaMaq1[Componente],Tabla19[[#This Row],[Comp2]],TablaMaq1[ID_Pedido],'2.C_Datos'!A73)+
COUNTIFS(TablaMaq2[Componente],Tabla19[[#This Row],[Comp2]],TablaMaq2[ID_Pedido],'2.C_Datos'!A73)+
COUNTIFS(TablaMaq3[Componente],Tabla19[[#This Row],[Comp2]],TablaMaq3[ID_Pedido],'2.C_Datos'!A73)+
COUNTIFS(TablaMaq4[Componente],Tabla19[[#This Row],[Comp2]],TablaMaq4[ID_Pedido],'2.C_Datos'!A73))</f>
        <v/>
      </c>
      <c r="L73" s="99" t="str">
        <f>IF(Tabla19[[#This Row],[Comp3]]="","",COUNTIFS(TablaMaq1[Componente],Tabla19[[#This Row],[Comp3]],TablaMaq1[ID_Pedido],'2.C_Datos'!A73)+
COUNTIFS(TablaMaq2[Componente],Tabla19[[#This Row],[Comp3]],TablaMaq2[ID_Pedido],'2.C_Datos'!A73)+
COUNTIFS(TablaMaq3[Componente],Tabla19[[#This Row],[Comp3]],TablaMaq3[ID_Pedido],'2.C_Datos'!A73)+
COUNTIFS(TablaMaq4[Componente],Tabla19[[#This Row],[Comp3]],TablaMaq4[ID_Pedido],'2.C_Datos'!A73))</f>
        <v/>
      </c>
      <c r="M73" s="99" t="str">
        <f>IF(Tabla19[[#This Row],[Comp4]]="","",COUNTIFS(TablaMaq1[Componente],Tabla19[[#This Row],[Comp4]],TablaMaq1[ID_Pedido],'2.C_Datos'!A73)+
COUNTIFS(TablaMaq2[Componente],Tabla19[[#This Row],[Comp4]],TablaMaq2[ID_Pedido],'2.C_Datos'!A73)+
COUNTIFS(TablaMaq3[Componente],Tabla19[[#This Row],[Comp4]],TablaMaq3[ID_Pedido],'2.C_Datos'!A73)+
COUNTIFS(TablaMaq4[Componente],Tabla19[[#This Row],[Comp4]],TablaMaq4[ID_Pedido],'2.C_Datos'!A73))</f>
        <v/>
      </c>
      <c r="N73" s="99" t="str">
        <f>IF(Tabla19[[#This Row],[Comp5]]="","",COUNTIFS(TablaMaq1[Componente],Tabla19[[#This Row],[Comp5]],TablaMaq1[ID_Pedido],'2.C_Datos'!A73)+
COUNTIFS(TablaMaq1[Componente],Tabla19[[#This Row],[Comp5]],TablaMaq2[ID_Pedido],'2.C_Datos'!A73)+
COUNTIFS(TablaMaq1[Componente],Tabla19[[#This Row],[Comp5]],TablaMaq3[ID_Pedido],'2.C_Datos'!A73)+
COUNTIFS(TablaMaq1[Componente],Tabla19[[#This Row],[Comp5]],TablaMaq4[ID_Pedido],'2.C_Datos'!A73))</f>
        <v/>
      </c>
      <c r="O73" s="85" t="str">
        <f>IF(Tabla19[[#This Row],[Comp1]]="","",
IF(IF(Tabla19[[#This Row],[Comp1]]=0,0,1)*$D73-Tabla19[[#This Row],[Asign1]]=0,0,Tabla19[[#This Row],[Comp1]]))</f>
        <v/>
      </c>
      <c r="P73" s="85" t="str">
        <f>IF(Tabla19[[#This Row],[Comp2]]="","",
IF(IF(Tabla19[[#This Row],[Comp2]]=0,0,1)*$D73-Tabla19[[#This Row],[Asign2]]=0,0,Tabla19[[#This Row],[Comp2]]))</f>
        <v/>
      </c>
      <c r="Q73" s="85" t="str">
        <f>IF(Tabla19[[#This Row],[Comp3]]="","",
IF(IF(Tabla19[[#This Row],[Comp3]]=0,0,1)*$D73-Tabla19[[#This Row],[Asign3]]=0,0,Tabla19[[#This Row],[Comp3]]))</f>
        <v/>
      </c>
      <c r="R73" s="85" t="str">
        <f>IF(Tabla19[[#This Row],[Comp4]]="","",
IF(IF(Tabla19[[#This Row],[Comp4]]=0,0,1)*$D73-Tabla19[[#This Row],[Asign4]]=0,0,Tabla19[[#This Row],[Comp4]]))</f>
        <v/>
      </c>
      <c r="S73" s="85" t="str">
        <f>IF(Tabla19[[#This Row],[Comp5]]="","",
IF(IF(Tabla19[[#This Row],[Comp5]]=0,0,1)*$D73-Tabla19[[#This Row],[Asign5]]=0,0,Tabla19[[#This Row],[Comp5]]))</f>
        <v/>
      </c>
    </row>
    <row r="74" spans="5:19" x14ac:dyDescent="0.3">
      <c r="E74" s="99" t="str">
        <f>IF($A74="","",INDEX(ListadoProductos[],MATCH('2.C_Datos'!$C74,ListadoProductos[Productos],0),MATCH('2.C_Datos'!E$3,ListadoProductos[#Headers],0)))</f>
        <v/>
      </c>
      <c r="F74" s="99" t="str">
        <f>IF($A74="","",INDEX(ListadoProductos[],MATCH('2.C_Datos'!$C74,ListadoProductos[Productos],0),MATCH('2.C_Datos'!F$3,ListadoProductos[#Headers],0)))</f>
        <v/>
      </c>
      <c r="G74" s="99" t="str">
        <f>IF($A74="","",INDEX(ListadoProductos[],MATCH('2.C_Datos'!$C74,ListadoProductos[Productos],0),MATCH('2.C_Datos'!G$3,ListadoProductos[#Headers],0)))</f>
        <v/>
      </c>
      <c r="H74" s="99" t="str">
        <f>IF($A74="","",INDEX(ListadoProductos[],MATCH('2.C_Datos'!$C74,ListadoProductos[Productos],0),MATCH('2.C_Datos'!H$3,ListadoProductos[#Headers],0)))</f>
        <v/>
      </c>
      <c r="I74" s="99" t="str">
        <f>IF($A74="","",INDEX(ListadoProductos[],MATCH('2.C_Datos'!$C74,ListadoProductos[Productos],0),MATCH('2.C_Datos'!I$3,ListadoProductos[#Headers],0)))</f>
        <v/>
      </c>
      <c r="J74" s="99" t="str">
        <f>IF(Tabla19[[#This Row],[Comp1]]="","",COUNTIFS(TablaMaq1[Componente],Tabla19[[#This Row],[Comp1]],TablaMaq1[ID_Pedido],'2.C_Datos'!A74)+
COUNTIFS(TablaMaq2[Componente],Tabla19[[#This Row],[Comp1]],TablaMaq2[ID_Pedido],'2.C_Datos'!A74)+
COUNTIFS(TablaMaq3[Componente],Tabla19[[#This Row],[Comp1]],TablaMaq3[ID_Pedido],'2.C_Datos'!A74)+
COUNTIFS(TablaMaq4[Componente],Tabla19[[#This Row],[Comp1]],TablaMaq4[ID_Pedido],'2.C_Datos'!A74))</f>
        <v/>
      </c>
      <c r="K74" s="99" t="str">
        <f>IF(Tabla19[[#This Row],[Comp2]]="","",COUNTIFS(TablaMaq1[Componente],Tabla19[[#This Row],[Comp2]],TablaMaq1[ID_Pedido],'2.C_Datos'!A74)+
COUNTIFS(TablaMaq2[Componente],Tabla19[[#This Row],[Comp2]],TablaMaq2[ID_Pedido],'2.C_Datos'!A74)+
COUNTIFS(TablaMaq3[Componente],Tabla19[[#This Row],[Comp2]],TablaMaq3[ID_Pedido],'2.C_Datos'!A74)+
COUNTIFS(TablaMaq4[Componente],Tabla19[[#This Row],[Comp2]],TablaMaq4[ID_Pedido],'2.C_Datos'!A74))</f>
        <v/>
      </c>
      <c r="L74" s="99" t="str">
        <f>IF(Tabla19[[#This Row],[Comp3]]="","",COUNTIFS(TablaMaq1[Componente],Tabla19[[#This Row],[Comp3]],TablaMaq1[ID_Pedido],'2.C_Datos'!A74)+
COUNTIFS(TablaMaq2[Componente],Tabla19[[#This Row],[Comp3]],TablaMaq2[ID_Pedido],'2.C_Datos'!A74)+
COUNTIFS(TablaMaq3[Componente],Tabla19[[#This Row],[Comp3]],TablaMaq3[ID_Pedido],'2.C_Datos'!A74)+
COUNTIFS(TablaMaq4[Componente],Tabla19[[#This Row],[Comp3]],TablaMaq4[ID_Pedido],'2.C_Datos'!A74))</f>
        <v/>
      </c>
      <c r="M74" s="99" t="str">
        <f>IF(Tabla19[[#This Row],[Comp4]]="","",COUNTIFS(TablaMaq1[Componente],Tabla19[[#This Row],[Comp4]],TablaMaq1[ID_Pedido],'2.C_Datos'!A74)+
COUNTIFS(TablaMaq2[Componente],Tabla19[[#This Row],[Comp4]],TablaMaq2[ID_Pedido],'2.C_Datos'!A74)+
COUNTIFS(TablaMaq3[Componente],Tabla19[[#This Row],[Comp4]],TablaMaq3[ID_Pedido],'2.C_Datos'!A74)+
COUNTIFS(TablaMaq4[Componente],Tabla19[[#This Row],[Comp4]],TablaMaq4[ID_Pedido],'2.C_Datos'!A74))</f>
        <v/>
      </c>
      <c r="N74" s="99" t="str">
        <f>IF(Tabla19[[#This Row],[Comp5]]="","",COUNTIFS(TablaMaq1[Componente],Tabla19[[#This Row],[Comp5]],TablaMaq1[ID_Pedido],'2.C_Datos'!A74)+
COUNTIFS(TablaMaq1[Componente],Tabla19[[#This Row],[Comp5]],TablaMaq2[ID_Pedido],'2.C_Datos'!A74)+
COUNTIFS(TablaMaq1[Componente],Tabla19[[#This Row],[Comp5]],TablaMaq3[ID_Pedido],'2.C_Datos'!A74)+
COUNTIFS(TablaMaq1[Componente],Tabla19[[#This Row],[Comp5]],TablaMaq4[ID_Pedido],'2.C_Datos'!A74))</f>
        <v/>
      </c>
      <c r="O74" s="85" t="str">
        <f>IF(Tabla19[[#This Row],[Comp1]]="","",
IF(IF(Tabla19[[#This Row],[Comp1]]=0,0,1)*$D74-Tabla19[[#This Row],[Asign1]]=0,0,Tabla19[[#This Row],[Comp1]]))</f>
        <v/>
      </c>
      <c r="P74" s="85" t="str">
        <f>IF(Tabla19[[#This Row],[Comp2]]="","",
IF(IF(Tabla19[[#This Row],[Comp2]]=0,0,1)*$D74-Tabla19[[#This Row],[Asign2]]=0,0,Tabla19[[#This Row],[Comp2]]))</f>
        <v/>
      </c>
      <c r="Q74" s="85" t="str">
        <f>IF(Tabla19[[#This Row],[Comp3]]="","",
IF(IF(Tabla19[[#This Row],[Comp3]]=0,0,1)*$D74-Tabla19[[#This Row],[Asign3]]=0,0,Tabla19[[#This Row],[Comp3]]))</f>
        <v/>
      </c>
      <c r="R74" s="85" t="str">
        <f>IF(Tabla19[[#This Row],[Comp4]]="","",
IF(IF(Tabla19[[#This Row],[Comp4]]=0,0,1)*$D74-Tabla19[[#This Row],[Asign4]]=0,0,Tabla19[[#This Row],[Comp4]]))</f>
        <v/>
      </c>
      <c r="S74" s="85" t="str">
        <f>IF(Tabla19[[#This Row],[Comp5]]="","",
IF(IF(Tabla19[[#This Row],[Comp5]]=0,0,1)*$D74-Tabla19[[#This Row],[Asign5]]=0,0,Tabla19[[#This Row],[Comp5]]))</f>
        <v/>
      </c>
    </row>
    <row r="75" spans="5:19" x14ac:dyDescent="0.3">
      <c r="E75" s="99" t="str">
        <f>IF($A75="","",INDEX(ListadoProductos[],MATCH('2.C_Datos'!$C75,ListadoProductos[Productos],0),MATCH('2.C_Datos'!E$3,ListadoProductos[#Headers],0)))</f>
        <v/>
      </c>
      <c r="F75" s="99" t="str">
        <f>IF($A75="","",INDEX(ListadoProductos[],MATCH('2.C_Datos'!$C75,ListadoProductos[Productos],0),MATCH('2.C_Datos'!F$3,ListadoProductos[#Headers],0)))</f>
        <v/>
      </c>
      <c r="G75" s="99" t="str">
        <f>IF($A75="","",INDEX(ListadoProductos[],MATCH('2.C_Datos'!$C75,ListadoProductos[Productos],0),MATCH('2.C_Datos'!G$3,ListadoProductos[#Headers],0)))</f>
        <v/>
      </c>
      <c r="H75" s="99" t="str">
        <f>IF($A75="","",INDEX(ListadoProductos[],MATCH('2.C_Datos'!$C75,ListadoProductos[Productos],0),MATCH('2.C_Datos'!H$3,ListadoProductos[#Headers],0)))</f>
        <v/>
      </c>
      <c r="I75" s="99" t="str">
        <f>IF($A75="","",INDEX(ListadoProductos[],MATCH('2.C_Datos'!$C75,ListadoProductos[Productos],0),MATCH('2.C_Datos'!I$3,ListadoProductos[#Headers],0)))</f>
        <v/>
      </c>
      <c r="J75" s="99" t="str">
        <f>IF(Tabla19[[#This Row],[Comp1]]="","",COUNTIFS(TablaMaq1[Componente],Tabla19[[#This Row],[Comp1]],TablaMaq1[ID_Pedido],'2.C_Datos'!A75)+
COUNTIFS(TablaMaq2[Componente],Tabla19[[#This Row],[Comp1]],TablaMaq2[ID_Pedido],'2.C_Datos'!A75)+
COUNTIFS(TablaMaq3[Componente],Tabla19[[#This Row],[Comp1]],TablaMaq3[ID_Pedido],'2.C_Datos'!A75)+
COUNTIFS(TablaMaq4[Componente],Tabla19[[#This Row],[Comp1]],TablaMaq4[ID_Pedido],'2.C_Datos'!A75))</f>
        <v/>
      </c>
      <c r="K75" s="99" t="str">
        <f>IF(Tabla19[[#This Row],[Comp2]]="","",COUNTIFS(TablaMaq1[Componente],Tabla19[[#This Row],[Comp2]],TablaMaq1[ID_Pedido],'2.C_Datos'!A75)+
COUNTIFS(TablaMaq2[Componente],Tabla19[[#This Row],[Comp2]],TablaMaq2[ID_Pedido],'2.C_Datos'!A75)+
COUNTIFS(TablaMaq3[Componente],Tabla19[[#This Row],[Comp2]],TablaMaq3[ID_Pedido],'2.C_Datos'!A75)+
COUNTIFS(TablaMaq4[Componente],Tabla19[[#This Row],[Comp2]],TablaMaq4[ID_Pedido],'2.C_Datos'!A75))</f>
        <v/>
      </c>
      <c r="L75" s="99" t="str">
        <f>IF(Tabla19[[#This Row],[Comp3]]="","",COUNTIFS(TablaMaq1[Componente],Tabla19[[#This Row],[Comp3]],TablaMaq1[ID_Pedido],'2.C_Datos'!A75)+
COUNTIFS(TablaMaq2[Componente],Tabla19[[#This Row],[Comp3]],TablaMaq2[ID_Pedido],'2.C_Datos'!A75)+
COUNTIFS(TablaMaq3[Componente],Tabla19[[#This Row],[Comp3]],TablaMaq3[ID_Pedido],'2.C_Datos'!A75)+
COUNTIFS(TablaMaq4[Componente],Tabla19[[#This Row],[Comp3]],TablaMaq4[ID_Pedido],'2.C_Datos'!A75))</f>
        <v/>
      </c>
      <c r="M75" s="99" t="str">
        <f>IF(Tabla19[[#This Row],[Comp4]]="","",COUNTIFS(TablaMaq1[Componente],Tabla19[[#This Row],[Comp4]],TablaMaq1[ID_Pedido],'2.C_Datos'!A75)+
COUNTIFS(TablaMaq2[Componente],Tabla19[[#This Row],[Comp4]],TablaMaq2[ID_Pedido],'2.C_Datos'!A75)+
COUNTIFS(TablaMaq3[Componente],Tabla19[[#This Row],[Comp4]],TablaMaq3[ID_Pedido],'2.C_Datos'!A75)+
COUNTIFS(TablaMaq4[Componente],Tabla19[[#This Row],[Comp4]],TablaMaq4[ID_Pedido],'2.C_Datos'!A75))</f>
        <v/>
      </c>
      <c r="N75" s="99" t="str">
        <f>IF(Tabla19[[#This Row],[Comp5]]="","",COUNTIFS(TablaMaq1[Componente],Tabla19[[#This Row],[Comp5]],TablaMaq1[ID_Pedido],'2.C_Datos'!A75)+
COUNTIFS(TablaMaq1[Componente],Tabla19[[#This Row],[Comp5]],TablaMaq2[ID_Pedido],'2.C_Datos'!A75)+
COUNTIFS(TablaMaq1[Componente],Tabla19[[#This Row],[Comp5]],TablaMaq3[ID_Pedido],'2.C_Datos'!A75)+
COUNTIFS(TablaMaq1[Componente],Tabla19[[#This Row],[Comp5]],TablaMaq4[ID_Pedido],'2.C_Datos'!A75))</f>
        <v/>
      </c>
      <c r="O75" s="85" t="str">
        <f>IF(Tabla19[[#This Row],[Comp1]]="","",
IF(IF(Tabla19[[#This Row],[Comp1]]=0,0,1)*$D75-Tabla19[[#This Row],[Asign1]]=0,0,Tabla19[[#This Row],[Comp1]]))</f>
        <v/>
      </c>
      <c r="P75" s="85" t="str">
        <f>IF(Tabla19[[#This Row],[Comp2]]="","",
IF(IF(Tabla19[[#This Row],[Comp2]]=0,0,1)*$D75-Tabla19[[#This Row],[Asign2]]=0,0,Tabla19[[#This Row],[Comp2]]))</f>
        <v/>
      </c>
      <c r="Q75" s="85" t="str">
        <f>IF(Tabla19[[#This Row],[Comp3]]="","",
IF(IF(Tabla19[[#This Row],[Comp3]]=0,0,1)*$D75-Tabla19[[#This Row],[Asign3]]=0,0,Tabla19[[#This Row],[Comp3]]))</f>
        <v/>
      </c>
      <c r="R75" s="85" t="str">
        <f>IF(Tabla19[[#This Row],[Comp4]]="","",
IF(IF(Tabla19[[#This Row],[Comp4]]=0,0,1)*$D75-Tabla19[[#This Row],[Asign4]]=0,0,Tabla19[[#This Row],[Comp4]]))</f>
        <v/>
      </c>
      <c r="S75" s="85" t="str">
        <f>IF(Tabla19[[#This Row],[Comp5]]="","",
IF(IF(Tabla19[[#This Row],[Comp5]]=0,0,1)*$D75-Tabla19[[#This Row],[Asign5]]=0,0,Tabla19[[#This Row],[Comp5]]))</f>
        <v/>
      </c>
    </row>
    <row r="76" spans="5:19" x14ac:dyDescent="0.3">
      <c r="E76" s="99" t="str">
        <f>IF($A76="","",INDEX(ListadoProductos[],MATCH('2.C_Datos'!$C76,ListadoProductos[Productos],0),MATCH('2.C_Datos'!E$3,ListadoProductos[#Headers],0)))</f>
        <v/>
      </c>
      <c r="F76" s="99" t="str">
        <f>IF($A76="","",INDEX(ListadoProductos[],MATCH('2.C_Datos'!$C76,ListadoProductos[Productos],0),MATCH('2.C_Datos'!F$3,ListadoProductos[#Headers],0)))</f>
        <v/>
      </c>
      <c r="G76" s="99" t="str">
        <f>IF($A76="","",INDEX(ListadoProductos[],MATCH('2.C_Datos'!$C76,ListadoProductos[Productos],0),MATCH('2.C_Datos'!G$3,ListadoProductos[#Headers],0)))</f>
        <v/>
      </c>
      <c r="H76" s="99" t="str">
        <f>IF($A76="","",INDEX(ListadoProductos[],MATCH('2.C_Datos'!$C76,ListadoProductos[Productos],0),MATCH('2.C_Datos'!H$3,ListadoProductos[#Headers],0)))</f>
        <v/>
      </c>
      <c r="I76" s="99" t="str">
        <f>IF($A76="","",INDEX(ListadoProductos[],MATCH('2.C_Datos'!$C76,ListadoProductos[Productos],0),MATCH('2.C_Datos'!I$3,ListadoProductos[#Headers],0)))</f>
        <v/>
      </c>
      <c r="J76" s="99" t="str">
        <f>IF(Tabla19[[#This Row],[Comp1]]="","",COUNTIFS(TablaMaq1[Componente],Tabla19[[#This Row],[Comp1]],TablaMaq1[ID_Pedido],'2.C_Datos'!A76)+
COUNTIFS(TablaMaq2[Componente],Tabla19[[#This Row],[Comp1]],TablaMaq2[ID_Pedido],'2.C_Datos'!A76)+
COUNTIFS(TablaMaq3[Componente],Tabla19[[#This Row],[Comp1]],TablaMaq3[ID_Pedido],'2.C_Datos'!A76)+
COUNTIFS(TablaMaq4[Componente],Tabla19[[#This Row],[Comp1]],TablaMaq4[ID_Pedido],'2.C_Datos'!A76))</f>
        <v/>
      </c>
      <c r="K76" s="99" t="str">
        <f>IF(Tabla19[[#This Row],[Comp2]]="","",COUNTIFS(TablaMaq1[Componente],Tabla19[[#This Row],[Comp2]],TablaMaq1[ID_Pedido],'2.C_Datos'!A76)+
COUNTIFS(TablaMaq2[Componente],Tabla19[[#This Row],[Comp2]],TablaMaq2[ID_Pedido],'2.C_Datos'!A76)+
COUNTIFS(TablaMaq3[Componente],Tabla19[[#This Row],[Comp2]],TablaMaq3[ID_Pedido],'2.C_Datos'!A76)+
COUNTIFS(TablaMaq4[Componente],Tabla19[[#This Row],[Comp2]],TablaMaq4[ID_Pedido],'2.C_Datos'!A76))</f>
        <v/>
      </c>
      <c r="L76" s="99" t="str">
        <f>IF(Tabla19[[#This Row],[Comp3]]="","",COUNTIFS(TablaMaq1[Componente],Tabla19[[#This Row],[Comp3]],TablaMaq1[ID_Pedido],'2.C_Datos'!A76)+
COUNTIFS(TablaMaq2[Componente],Tabla19[[#This Row],[Comp3]],TablaMaq2[ID_Pedido],'2.C_Datos'!A76)+
COUNTIFS(TablaMaq3[Componente],Tabla19[[#This Row],[Comp3]],TablaMaq3[ID_Pedido],'2.C_Datos'!A76)+
COUNTIFS(TablaMaq4[Componente],Tabla19[[#This Row],[Comp3]],TablaMaq4[ID_Pedido],'2.C_Datos'!A76))</f>
        <v/>
      </c>
      <c r="M76" s="99" t="str">
        <f>IF(Tabla19[[#This Row],[Comp4]]="","",COUNTIFS(TablaMaq1[Componente],Tabla19[[#This Row],[Comp4]],TablaMaq1[ID_Pedido],'2.C_Datos'!A76)+
COUNTIFS(TablaMaq2[Componente],Tabla19[[#This Row],[Comp4]],TablaMaq2[ID_Pedido],'2.C_Datos'!A76)+
COUNTIFS(TablaMaq3[Componente],Tabla19[[#This Row],[Comp4]],TablaMaq3[ID_Pedido],'2.C_Datos'!A76)+
COUNTIFS(TablaMaq4[Componente],Tabla19[[#This Row],[Comp4]],TablaMaq4[ID_Pedido],'2.C_Datos'!A76))</f>
        <v/>
      </c>
      <c r="N76" s="99" t="str">
        <f>IF(Tabla19[[#This Row],[Comp5]]="","",COUNTIFS(TablaMaq1[Componente],Tabla19[[#This Row],[Comp5]],TablaMaq1[ID_Pedido],'2.C_Datos'!A76)+
COUNTIFS(TablaMaq1[Componente],Tabla19[[#This Row],[Comp5]],TablaMaq2[ID_Pedido],'2.C_Datos'!A76)+
COUNTIFS(TablaMaq1[Componente],Tabla19[[#This Row],[Comp5]],TablaMaq3[ID_Pedido],'2.C_Datos'!A76)+
COUNTIFS(TablaMaq1[Componente],Tabla19[[#This Row],[Comp5]],TablaMaq4[ID_Pedido],'2.C_Datos'!A76))</f>
        <v/>
      </c>
      <c r="O76" s="85" t="str">
        <f>IF(Tabla19[[#This Row],[Comp1]]="","",
IF(IF(Tabla19[[#This Row],[Comp1]]=0,0,1)*$D76-Tabla19[[#This Row],[Asign1]]=0,0,Tabla19[[#This Row],[Comp1]]))</f>
        <v/>
      </c>
      <c r="P76" s="85" t="str">
        <f>IF(Tabla19[[#This Row],[Comp2]]="","",
IF(IF(Tabla19[[#This Row],[Comp2]]=0,0,1)*$D76-Tabla19[[#This Row],[Asign2]]=0,0,Tabla19[[#This Row],[Comp2]]))</f>
        <v/>
      </c>
      <c r="Q76" s="85" t="str">
        <f>IF(Tabla19[[#This Row],[Comp3]]="","",
IF(IF(Tabla19[[#This Row],[Comp3]]=0,0,1)*$D76-Tabla19[[#This Row],[Asign3]]=0,0,Tabla19[[#This Row],[Comp3]]))</f>
        <v/>
      </c>
      <c r="R76" s="85" t="str">
        <f>IF(Tabla19[[#This Row],[Comp4]]="","",
IF(IF(Tabla19[[#This Row],[Comp4]]=0,0,1)*$D76-Tabla19[[#This Row],[Asign4]]=0,0,Tabla19[[#This Row],[Comp4]]))</f>
        <v/>
      </c>
      <c r="S76" s="85" t="str">
        <f>IF(Tabla19[[#This Row],[Comp5]]="","",
IF(IF(Tabla19[[#This Row],[Comp5]]=0,0,1)*$D76-Tabla19[[#This Row],[Asign5]]=0,0,Tabla19[[#This Row],[Comp5]]))</f>
        <v/>
      </c>
    </row>
    <row r="77" spans="5:19" x14ac:dyDescent="0.3">
      <c r="E77" s="99" t="str">
        <f>IF($A77="","",INDEX(ListadoProductos[],MATCH('2.C_Datos'!$C77,ListadoProductos[Productos],0),MATCH('2.C_Datos'!E$3,ListadoProductos[#Headers],0)))</f>
        <v/>
      </c>
      <c r="F77" s="99" t="str">
        <f>IF($A77="","",INDEX(ListadoProductos[],MATCH('2.C_Datos'!$C77,ListadoProductos[Productos],0),MATCH('2.C_Datos'!F$3,ListadoProductos[#Headers],0)))</f>
        <v/>
      </c>
      <c r="G77" s="99" t="str">
        <f>IF($A77="","",INDEX(ListadoProductos[],MATCH('2.C_Datos'!$C77,ListadoProductos[Productos],0),MATCH('2.C_Datos'!G$3,ListadoProductos[#Headers],0)))</f>
        <v/>
      </c>
      <c r="H77" s="99" t="str">
        <f>IF($A77="","",INDEX(ListadoProductos[],MATCH('2.C_Datos'!$C77,ListadoProductos[Productos],0),MATCH('2.C_Datos'!H$3,ListadoProductos[#Headers],0)))</f>
        <v/>
      </c>
      <c r="I77" s="99" t="str">
        <f>IF($A77="","",INDEX(ListadoProductos[],MATCH('2.C_Datos'!$C77,ListadoProductos[Productos],0),MATCH('2.C_Datos'!I$3,ListadoProductos[#Headers],0)))</f>
        <v/>
      </c>
      <c r="J77" s="99" t="str">
        <f>IF(Tabla19[[#This Row],[Comp1]]="","",COUNTIFS(TablaMaq1[Componente],Tabla19[[#This Row],[Comp1]],TablaMaq1[ID_Pedido],'2.C_Datos'!A77)+
COUNTIFS(TablaMaq2[Componente],Tabla19[[#This Row],[Comp1]],TablaMaq2[ID_Pedido],'2.C_Datos'!A77)+
COUNTIFS(TablaMaq3[Componente],Tabla19[[#This Row],[Comp1]],TablaMaq3[ID_Pedido],'2.C_Datos'!A77)+
COUNTIFS(TablaMaq4[Componente],Tabla19[[#This Row],[Comp1]],TablaMaq4[ID_Pedido],'2.C_Datos'!A77))</f>
        <v/>
      </c>
      <c r="K77" s="99" t="str">
        <f>IF(Tabla19[[#This Row],[Comp2]]="","",COUNTIFS(TablaMaq1[Componente],Tabla19[[#This Row],[Comp2]],TablaMaq1[ID_Pedido],'2.C_Datos'!A77)+
COUNTIFS(TablaMaq2[Componente],Tabla19[[#This Row],[Comp2]],TablaMaq2[ID_Pedido],'2.C_Datos'!A77)+
COUNTIFS(TablaMaq3[Componente],Tabla19[[#This Row],[Comp2]],TablaMaq3[ID_Pedido],'2.C_Datos'!A77)+
COUNTIFS(TablaMaq4[Componente],Tabla19[[#This Row],[Comp2]],TablaMaq4[ID_Pedido],'2.C_Datos'!A77))</f>
        <v/>
      </c>
      <c r="L77" s="99" t="str">
        <f>IF(Tabla19[[#This Row],[Comp3]]="","",COUNTIFS(TablaMaq1[Componente],Tabla19[[#This Row],[Comp3]],TablaMaq1[ID_Pedido],'2.C_Datos'!A77)+
COUNTIFS(TablaMaq2[Componente],Tabla19[[#This Row],[Comp3]],TablaMaq2[ID_Pedido],'2.C_Datos'!A77)+
COUNTIFS(TablaMaq3[Componente],Tabla19[[#This Row],[Comp3]],TablaMaq3[ID_Pedido],'2.C_Datos'!A77)+
COUNTIFS(TablaMaq4[Componente],Tabla19[[#This Row],[Comp3]],TablaMaq4[ID_Pedido],'2.C_Datos'!A77))</f>
        <v/>
      </c>
      <c r="M77" s="99" t="str">
        <f>IF(Tabla19[[#This Row],[Comp4]]="","",COUNTIFS(TablaMaq1[Componente],Tabla19[[#This Row],[Comp4]],TablaMaq1[ID_Pedido],'2.C_Datos'!A77)+
COUNTIFS(TablaMaq2[Componente],Tabla19[[#This Row],[Comp4]],TablaMaq2[ID_Pedido],'2.C_Datos'!A77)+
COUNTIFS(TablaMaq3[Componente],Tabla19[[#This Row],[Comp4]],TablaMaq3[ID_Pedido],'2.C_Datos'!A77)+
COUNTIFS(TablaMaq4[Componente],Tabla19[[#This Row],[Comp4]],TablaMaq4[ID_Pedido],'2.C_Datos'!A77))</f>
        <v/>
      </c>
      <c r="N77" s="99" t="str">
        <f>IF(Tabla19[[#This Row],[Comp5]]="","",COUNTIFS(TablaMaq1[Componente],Tabla19[[#This Row],[Comp5]],TablaMaq1[ID_Pedido],'2.C_Datos'!A77)+
COUNTIFS(TablaMaq1[Componente],Tabla19[[#This Row],[Comp5]],TablaMaq2[ID_Pedido],'2.C_Datos'!A77)+
COUNTIFS(TablaMaq1[Componente],Tabla19[[#This Row],[Comp5]],TablaMaq3[ID_Pedido],'2.C_Datos'!A77)+
COUNTIFS(TablaMaq1[Componente],Tabla19[[#This Row],[Comp5]],TablaMaq4[ID_Pedido],'2.C_Datos'!A77))</f>
        <v/>
      </c>
      <c r="O77" s="85" t="str">
        <f>IF(Tabla19[[#This Row],[Comp1]]="","",
IF(IF(Tabla19[[#This Row],[Comp1]]=0,0,1)*$D77-Tabla19[[#This Row],[Asign1]]=0,0,Tabla19[[#This Row],[Comp1]]))</f>
        <v/>
      </c>
      <c r="P77" s="85" t="str">
        <f>IF(Tabla19[[#This Row],[Comp2]]="","",
IF(IF(Tabla19[[#This Row],[Comp2]]=0,0,1)*$D77-Tabla19[[#This Row],[Asign2]]=0,0,Tabla19[[#This Row],[Comp2]]))</f>
        <v/>
      </c>
      <c r="Q77" s="85" t="str">
        <f>IF(Tabla19[[#This Row],[Comp3]]="","",
IF(IF(Tabla19[[#This Row],[Comp3]]=0,0,1)*$D77-Tabla19[[#This Row],[Asign3]]=0,0,Tabla19[[#This Row],[Comp3]]))</f>
        <v/>
      </c>
      <c r="R77" s="85" t="str">
        <f>IF(Tabla19[[#This Row],[Comp4]]="","",
IF(IF(Tabla19[[#This Row],[Comp4]]=0,0,1)*$D77-Tabla19[[#This Row],[Asign4]]=0,0,Tabla19[[#This Row],[Comp4]]))</f>
        <v/>
      </c>
      <c r="S77" s="85" t="str">
        <f>IF(Tabla19[[#This Row],[Comp5]]="","",
IF(IF(Tabla19[[#This Row],[Comp5]]=0,0,1)*$D77-Tabla19[[#This Row],[Asign5]]=0,0,Tabla19[[#This Row],[Comp5]]))</f>
        <v/>
      </c>
    </row>
    <row r="78" spans="5:19" x14ac:dyDescent="0.3">
      <c r="E78" s="99" t="str">
        <f>IF($A78="","",INDEX(ListadoProductos[],MATCH('2.C_Datos'!$C78,ListadoProductos[Productos],0),MATCH('2.C_Datos'!E$3,ListadoProductos[#Headers],0)))</f>
        <v/>
      </c>
      <c r="F78" s="99" t="str">
        <f>IF($A78="","",INDEX(ListadoProductos[],MATCH('2.C_Datos'!$C78,ListadoProductos[Productos],0),MATCH('2.C_Datos'!F$3,ListadoProductos[#Headers],0)))</f>
        <v/>
      </c>
      <c r="G78" s="99" t="str">
        <f>IF($A78="","",INDEX(ListadoProductos[],MATCH('2.C_Datos'!$C78,ListadoProductos[Productos],0),MATCH('2.C_Datos'!G$3,ListadoProductos[#Headers],0)))</f>
        <v/>
      </c>
      <c r="H78" s="99" t="str">
        <f>IF($A78="","",INDEX(ListadoProductos[],MATCH('2.C_Datos'!$C78,ListadoProductos[Productos],0),MATCH('2.C_Datos'!H$3,ListadoProductos[#Headers],0)))</f>
        <v/>
      </c>
      <c r="I78" s="99" t="str">
        <f>IF($A78="","",INDEX(ListadoProductos[],MATCH('2.C_Datos'!$C78,ListadoProductos[Productos],0),MATCH('2.C_Datos'!I$3,ListadoProductos[#Headers],0)))</f>
        <v/>
      </c>
      <c r="J78" s="99" t="str">
        <f>IF(Tabla19[[#This Row],[Comp1]]="","",COUNTIFS(TablaMaq1[Componente],Tabla19[[#This Row],[Comp1]],TablaMaq1[ID_Pedido],'2.C_Datos'!A78)+
COUNTIFS(TablaMaq2[Componente],Tabla19[[#This Row],[Comp1]],TablaMaq2[ID_Pedido],'2.C_Datos'!A78)+
COUNTIFS(TablaMaq3[Componente],Tabla19[[#This Row],[Comp1]],TablaMaq3[ID_Pedido],'2.C_Datos'!A78)+
COUNTIFS(TablaMaq4[Componente],Tabla19[[#This Row],[Comp1]],TablaMaq4[ID_Pedido],'2.C_Datos'!A78))</f>
        <v/>
      </c>
      <c r="K78" s="99" t="str">
        <f>IF(Tabla19[[#This Row],[Comp2]]="","",COUNTIFS(TablaMaq1[Componente],Tabla19[[#This Row],[Comp2]],TablaMaq1[ID_Pedido],'2.C_Datos'!A78)+
COUNTIFS(TablaMaq2[Componente],Tabla19[[#This Row],[Comp2]],TablaMaq2[ID_Pedido],'2.C_Datos'!A78)+
COUNTIFS(TablaMaq3[Componente],Tabla19[[#This Row],[Comp2]],TablaMaq3[ID_Pedido],'2.C_Datos'!A78)+
COUNTIFS(TablaMaq4[Componente],Tabla19[[#This Row],[Comp2]],TablaMaq4[ID_Pedido],'2.C_Datos'!A78))</f>
        <v/>
      </c>
      <c r="L78" s="99" t="str">
        <f>IF(Tabla19[[#This Row],[Comp3]]="","",COUNTIFS(TablaMaq1[Componente],Tabla19[[#This Row],[Comp3]],TablaMaq1[ID_Pedido],'2.C_Datos'!A78)+
COUNTIFS(TablaMaq2[Componente],Tabla19[[#This Row],[Comp3]],TablaMaq2[ID_Pedido],'2.C_Datos'!A78)+
COUNTIFS(TablaMaq3[Componente],Tabla19[[#This Row],[Comp3]],TablaMaq3[ID_Pedido],'2.C_Datos'!A78)+
COUNTIFS(TablaMaq4[Componente],Tabla19[[#This Row],[Comp3]],TablaMaq4[ID_Pedido],'2.C_Datos'!A78))</f>
        <v/>
      </c>
      <c r="M78" s="99" t="str">
        <f>IF(Tabla19[[#This Row],[Comp4]]="","",COUNTIFS(TablaMaq1[Componente],Tabla19[[#This Row],[Comp4]],TablaMaq1[ID_Pedido],'2.C_Datos'!A78)+
COUNTIFS(TablaMaq2[Componente],Tabla19[[#This Row],[Comp4]],TablaMaq2[ID_Pedido],'2.C_Datos'!A78)+
COUNTIFS(TablaMaq3[Componente],Tabla19[[#This Row],[Comp4]],TablaMaq3[ID_Pedido],'2.C_Datos'!A78)+
COUNTIFS(TablaMaq4[Componente],Tabla19[[#This Row],[Comp4]],TablaMaq4[ID_Pedido],'2.C_Datos'!A78))</f>
        <v/>
      </c>
      <c r="N78" s="99" t="str">
        <f>IF(Tabla19[[#This Row],[Comp5]]="","",COUNTIFS(TablaMaq1[Componente],Tabla19[[#This Row],[Comp5]],TablaMaq1[ID_Pedido],'2.C_Datos'!A78)+
COUNTIFS(TablaMaq1[Componente],Tabla19[[#This Row],[Comp5]],TablaMaq2[ID_Pedido],'2.C_Datos'!A78)+
COUNTIFS(TablaMaq1[Componente],Tabla19[[#This Row],[Comp5]],TablaMaq3[ID_Pedido],'2.C_Datos'!A78)+
COUNTIFS(TablaMaq1[Componente],Tabla19[[#This Row],[Comp5]],TablaMaq4[ID_Pedido],'2.C_Datos'!A78))</f>
        <v/>
      </c>
      <c r="O78" s="85" t="str">
        <f>IF(Tabla19[[#This Row],[Comp1]]="","",
IF(IF(Tabla19[[#This Row],[Comp1]]=0,0,1)*$D78-Tabla19[[#This Row],[Asign1]]=0,0,Tabla19[[#This Row],[Comp1]]))</f>
        <v/>
      </c>
      <c r="P78" s="85" t="str">
        <f>IF(Tabla19[[#This Row],[Comp2]]="","",
IF(IF(Tabla19[[#This Row],[Comp2]]=0,0,1)*$D78-Tabla19[[#This Row],[Asign2]]=0,0,Tabla19[[#This Row],[Comp2]]))</f>
        <v/>
      </c>
      <c r="Q78" s="85" t="str">
        <f>IF(Tabla19[[#This Row],[Comp3]]="","",
IF(IF(Tabla19[[#This Row],[Comp3]]=0,0,1)*$D78-Tabla19[[#This Row],[Asign3]]=0,0,Tabla19[[#This Row],[Comp3]]))</f>
        <v/>
      </c>
      <c r="R78" s="85" t="str">
        <f>IF(Tabla19[[#This Row],[Comp4]]="","",
IF(IF(Tabla19[[#This Row],[Comp4]]=0,0,1)*$D78-Tabla19[[#This Row],[Asign4]]=0,0,Tabla19[[#This Row],[Comp4]]))</f>
        <v/>
      </c>
      <c r="S78" s="85" t="str">
        <f>IF(Tabla19[[#This Row],[Comp5]]="","",
IF(IF(Tabla19[[#This Row],[Comp5]]=0,0,1)*$D78-Tabla19[[#This Row],[Asign5]]=0,0,Tabla19[[#This Row],[Comp5]]))</f>
        <v/>
      </c>
    </row>
    <row r="79" spans="5:19" x14ac:dyDescent="0.3">
      <c r="E79" s="99" t="str">
        <f>IF($A79="","",INDEX(ListadoProductos[],MATCH('2.C_Datos'!$C79,ListadoProductos[Productos],0),MATCH('2.C_Datos'!E$3,ListadoProductos[#Headers],0)))</f>
        <v/>
      </c>
      <c r="F79" s="99" t="str">
        <f>IF($A79="","",INDEX(ListadoProductos[],MATCH('2.C_Datos'!$C79,ListadoProductos[Productos],0),MATCH('2.C_Datos'!F$3,ListadoProductos[#Headers],0)))</f>
        <v/>
      </c>
      <c r="G79" s="99" t="str">
        <f>IF($A79="","",INDEX(ListadoProductos[],MATCH('2.C_Datos'!$C79,ListadoProductos[Productos],0),MATCH('2.C_Datos'!G$3,ListadoProductos[#Headers],0)))</f>
        <v/>
      </c>
      <c r="H79" s="99" t="str">
        <f>IF($A79="","",INDEX(ListadoProductos[],MATCH('2.C_Datos'!$C79,ListadoProductos[Productos],0),MATCH('2.C_Datos'!H$3,ListadoProductos[#Headers],0)))</f>
        <v/>
      </c>
      <c r="I79" s="99" t="str">
        <f>IF($A79="","",INDEX(ListadoProductos[],MATCH('2.C_Datos'!$C79,ListadoProductos[Productos],0),MATCH('2.C_Datos'!I$3,ListadoProductos[#Headers],0)))</f>
        <v/>
      </c>
      <c r="J79" s="99" t="str">
        <f>IF(Tabla19[[#This Row],[Comp1]]="","",COUNTIFS(TablaMaq1[Componente],Tabla19[[#This Row],[Comp1]],TablaMaq1[ID_Pedido],'2.C_Datos'!A79)+
COUNTIFS(TablaMaq2[Componente],Tabla19[[#This Row],[Comp1]],TablaMaq2[ID_Pedido],'2.C_Datos'!A79)+
COUNTIFS(TablaMaq3[Componente],Tabla19[[#This Row],[Comp1]],TablaMaq3[ID_Pedido],'2.C_Datos'!A79)+
COUNTIFS(TablaMaq4[Componente],Tabla19[[#This Row],[Comp1]],TablaMaq4[ID_Pedido],'2.C_Datos'!A79))</f>
        <v/>
      </c>
      <c r="K79" s="99" t="str">
        <f>IF(Tabla19[[#This Row],[Comp2]]="","",COUNTIFS(TablaMaq1[Componente],Tabla19[[#This Row],[Comp2]],TablaMaq1[ID_Pedido],'2.C_Datos'!A79)+
COUNTIFS(TablaMaq2[Componente],Tabla19[[#This Row],[Comp2]],TablaMaq2[ID_Pedido],'2.C_Datos'!A79)+
COUNTIFS(TablaMaq3[Componente],Tabla19[[#This Row],[Comp2]],TablaMaq3[ID_Pedido],'2.C_Datos'!A79)+
COUNTIFS(TablaMaq4[Componente],Tabla19[[#This Row],[Comp2]],TablaMaq4[ID_Pedido],'2.C_Datos'!A79))</f>
        <v/>
      </c>
      <c r="L79" s="99" t="str">
        <f>IF(Tabla19[[#This Row],[Comp3]]="","",COUNTIFS(TablaMaq1[Componente],Tabla19[[#This Row],[Comp3]],TablaMaq1[ID_Pedido],'2.C_Datos'!A79)+
COUNTIFS(TablaMaq2[Componente],Tabla19[[#This Row],[Comp3]],TablaMaq2[ID_Pedido],'2.C_Datos'!A79)+
COUNTIFS(TablaMaq3[Componente],Tabla19[[#This Row],[Comp3]],TablaMaq3[ID_Pedido],'2.C_Datos'!A79)+
COUNTIFS(TablaMaq4[Componente],Tabla19[[#This Row],[Comp3]],TablaMaq4[ID_Pedido],'2.C_Datos'!A79))</f>
        <v/>
      </c>
      <c r="M79" s="99" t="str">
        <f>IF(Tabla19[[#This Row],[Comp4]]="","",COUNTIFS(TablaMaq1[Componente],Tabla19[[#This Row],[Comp4]],TablaMaq1[ID_Pedido],'2.C_Datos'!A79)+
COUNTIFS(TablaMaq2[Componente],Tabla19[[#This Row],[Comp4]],TablaMaq2[ID_Pedido],'2.C_Datos'!A79)+
COUNTIFS(TablaMaq3[Componente],Tabla19[[#This Row],[Comp4]],TablaMaq3[ID_Pedido],'2.C_Datos'!A79)+
COUNTIFS(TablaMaq4[Componente],Tabla19[[#This Row],[Comp4]],TablaMaq4[ID_Pedido],'2.C_Datos'!A79))</f>
        <v/>
      </c>
      <c r="N79" s="99" t="str">
        <f>IF(Tabla19[[#This Row],[Comp5]]="","",COUNTIFS(TablaMaq1[Componente],Tabla19[[#This Row],[Comp5]],TablaMaq1[ID_Pedido],'2.C_Datos'!A79)+
COUNTIFS(TablaMaq1[Componente],Tabla19[[#This Row],[Comp5]],TablaMaq2[ID_Pedido],'2.C_Datos'!A79)+
COUNTIFS(TablaMaq1[Componente],Tabla19[[#This Row],[Comp5]],TablaMaq3[ID_Pedido],'2.C_Datos'!A79)+
COUNTIFS(TablaMaq1[Componente],Tabla19[[#This Row],[Comp5]],TablaMaq4[ID_Pedido],'2.C_Datos'!A79))</f>
        <v/>
      </c>
      <c r="O79" s="85" t="str">
        <f>IF(Tabla19[[#This Row],[Comp1]]="","",
IF(IF(Tabla19[[#This Row],[Comp1]]=0,0,1)*$D79-Tabla19[[#This Row],[Asign1]]=0,0,Tabla19[[#This Row],[Comp1]]))</f>
        <v/>
      </c>
      <c r="P79" s="85" t="str">
        <f>IF(Tabla19[[#This Row],[Comp2]]="","",
IF(IF(Tabla19[[#This Row],[Comp2]]=0,0,1)*$D79-Tabla19[[#This Row],[Asign2]]=0,0,Tabla19[[#This Row],[Comp2]]))</f>
        <v/>
      </c>
      <c r="Q79" s="85" t="str">
        <f>IF(Tabla19[[#This Row],[Comp3]]="","",
IF(IF(Tabla19[[#This Row],[Comp3]]=0,0,1)*$D79-Tabla19[[#This Row],[Asign3]]=0,0,Tabla19[[#This Row],[Comp3]]))</f>
        <v/>
      </c>
      <c r="R79" s="85" t="str">
        <f>IF(Tabla19[[#This Row],[Comp4]]="","",
IF(IF(Tabla19[[#This Row],[Comp4]]=0,0,1)*$D79-Tabla19[[#This Row],[Asign4]]=0,0,Tabla19[[#This Row],[Comp4]]))</f>
        <v/>
      </c>
      <c r="S79" s="85" t="str">
        <f>IF(Tabla19[[#This Row],[Comp5]]="","",
IF(IF(Tabla19[[#This Row],[Comp5]]=0,0,1)*$D79-Tabla19[[#This Row],[Asign5]]=0,0,Tabla19[[#This Row],[Comp5]]))</f>
        <v/>
      </c>
    </row>
    <row r="80" spans="5:19" x14ac:dyDescent="0.3">
      <c r="E80" s="99" t="str">
        <f>IF($A80="","",INDEX(ListadoProductos[],MATCH('2.C_Datos'!$C80,ListadoProductos[Productos],0),MATCH('2.C_Datos'!E$3,ListadoProductos[#Headers],0)))</f>
        <v/>
      </c>
      <c r="F80" s="99" t="str">
        <f>IF($A80="","",INDEX(ListadoProductos[],MATCH('2.C_Datos'!$C80,ListadoProductos[Productos],0),MATCH('2.C_Datos'!F$3,ListadoProductos[#Headers],0)))</f>
        <v/>
      </c>
      <c r="G80" s="99" t="str">
        <f>IF($A80="","",INDEX(ListadoProductos[],MATCH('2.C_Datos'!$C80,ListadoProductos[Productos],0),MATCH('2.C_Datos'!G$3,ListadoProductos[#Headers],0)))</f>
        <v/>
      </c>
      <c r="H80" s="99" t="str">
        <f>IF($A80="","",INDEX(ListadoProductos[],MATCH('2.C_Datos'!$C80,ListadoProductos[Productos],0),MATCH('2.C_Datos'!H$3,ListadoProductos[#Headers],0)))</f>
        <v/>
      </c>
      <c r="I80" s="99" t="str">
        <f>IF($A80="","",INDEX(ListadoProductos[],MATCH('2.C_Datos'!$C80,ListadoProductos[Productos],0),MATCH('2.C_Datos'!I$3,ListadoProductos[#Headers],0)))</f>
        <v/>
      </c>
      <c r="J80" s="99" t="str">
        <f>IF(Tabla19[[#This Row],[Comp1]]="","",COUNTIFS(TablaMaq1[Componente],Tabla19[[#This Row],[Comp1]],TablaMaq1[ID_Pedido],'2.C_Datos'!A80)+
COUNTIFS(TablaMaq2[Componente],Tabla19[[#This Row],[Comp1]],TablaMaq2[ID_Pedido],'2.C_Datos'!A80)+
COUNTIFS(TablaMaq3[Componente],Tabla19[[#This Row],[Comp1]],TablaMaq3[ID_Pedido],'2.C_Datos'!A80)+
COUNTIFS(TablaMaq4[Componente],Tabla19[[#This Row],[Comp1]],TablaMaq4[ID_Pedido],'2.C_Datos'!A80))</f>
        <v/>
      </c>
      <c r="K80" s="99" t="str">
        <f>IF(Tabla19[[#This Row],[Comp2]]="","",COUNTIFS(TablaMaq1[Componente],Tabla19[[#This Row],[Comp2]],TablaMaq1[ID_Pedido],'2.C_Datos'!A80)+
COUNTIFS(TablaMaq2[Componente],Tabla19[[#This Row],[Comp2]],TablaMaq2[ID_Pedido],'2.C_Datos'!A80)+
COUNTIFS(TablaMaq3[Componente],Tabla19[[#This Row],[Comp2]],TablaMaq3[ID_Pedido],'2.C_Datos'!A80)+
COUNTIFS(TablaMaq4[Componente],Tabla19[[#This Row],[Comp2]],TablaMaq4[ID_Pedido],'2.C_Datos'!A80))</f>
        <v/>
      </c>
      <c r="L80" s="99" t="str">
        <f>IF(Tabla19[[#This Row],[Comp3]]="","",COUNTIFS(TablaMaq1[Componente],Tabla19[[#This Row],[Comp3]],TablaMaq1[ID_Pedido],'2.C_Datos'!A80)+
COUNTIFS(TablaMaq2[Componente],Tabla19[[#This Row],[Comp3]],TablaMaq2[ID_Pedido],'2.C_Datos'!A80)+
COUNTIFS(TablaMaq3[Componente],Tabla19[[#This Row],[Comp3]],TablaMaq3[ID_Pedido],'2.C_Datos'!A80)+
COUNTIFS(TablaMaq4[Componente],Tabla19[[#This Row],[Comp3]],TablaMaq4[ID_Pedido],'2.C_Datos'!A80))</f>
        <v/>
      </c>
      <c r="M80" s="99" t="str">
        <f>IF(Tabla19[[#This Row],[Comp4]]="","",COUNTIFS(TablaMaq1[Componente],Tabla19[[#This Row],[Comp4]],TablaMaq1[ID_Pedido],'2.C_Datos'!A80)+
COUNTIFS(TablaMaq2[Componente],Tabla19[[#This Row],[Comp4]],TablaMaq2[ID_Pedido],'2.C_Datos'!A80)+
COUNTIFS(TablaMaq3[Componente],Tabla19[[#This Row],[Comp4]],TablaMaq3[ID_Pedido],'2.C_Datos'!A80)+
COUNTIFS(TablaMaq4[Componente],Tabla19[[#This Row],[Comp4]],TablaMaq4[ID_Pedido],'2.C_Datos'!A80))</f>
        <v/>
      </c>
      <c r="N80" s="99" t="str">
        <f>IF(Tabla19[[#This Row],[Comp5]]="","",COUNTIFS(TablaMaq1[Componente],Tabla19[[#This Row],[Comp5]],TablaMaq1[ID_Pedido],'2.C_Datos'!A80)+
COUNTIFS(TablaMaq1[Componente],Tabla19[[#This Row],[Comp5]],TablaMaq2[ID_Pedido],'2.C_Datos'!A80)+
COUNTIFS(TablaMaq1[Componente],Tabla19[[#This Row],[Comp5]],TablaMaq3[ID_Pedido],'2.C_Datos'!A80)+
COUNTIFS(TablaMaq1[Componente],Tabla19[[#This Row],[Comp5]],TablaMaq4[ID_Pedido],'2.C_Datos'!A80))</f>
        <v/>
      </c>
      <c r="O80" s="85" t="str">
        <f>IF(Tabla19[[#This Row],[Comp1]]="","",
IF(IF(Tabla19[[#This Row],[Comp1]]=0,0,1)*$D80-Tabla19[[#This Row],[Asign1]]=0,0,Tabla19[[#This Row],[Comp1]]))</f>
        <v/>
      </c>
      <c r="P80" s="85" t="str">
        <f>IF(Tabla19[[#This Row],[Comp2]]="","",
IF(IF(Tabla19[[#This Row],[Comp2]]=0,0,1)*$D80-Tabla19[[#This Row],[Asign2]]=0,0,Tabla19[[#This Row],[Comp2]]))</f>
        <v/>
      </c>
      <c r="Q80" s="85" t="str">
        <f>IF(Tabla19[[#This Row],[Comp3]]="","",
IF(IF(Tabla19[[#This Row],[Comp3]]=0,0,1)*$D80-Tabla19[[#This Row],[Asign3]]=0,0,Tabla19[[#This Row],[Comp3]]))</f>
        <v/>
      </c>
      <c r="R80" s="85" t="str">
        <f>IF(Tabla19[[#This Row],[Comp4]]="","",
IF(IF(Tabla19[[#This Row],[Comp4]]=0,0,1)*$D80-Tabla19[[#This Row],[Asign4]]=0,0,Tabla19[[#This Row],[Comp4]]))</f>
        <v/>
      </c>
      <c r="S80" s="85" t="str">
        <f>IF(Tabla19[[#This Row],[Comp5]]="","",
IF(IF(Tabla19[[#This Row],[Comp5]]=0,0,1)*$D80-Tabla19[[#This Row],[Asign5]]=0,0,Tabla19[[#This Row],[Comp5]]))</f>
        <v/>
      </c>
    </row>
    <row r="81" spans="5:19" x14ac:dyDescent="0.3">
      <c r="E81" s="99" t="str">
        <f>IF($A81="","",INDEX(ListadoProductos[],MATCH('2.C_Datos'!$C81,ListadoProductos[Productos],0),MATCH('2.C_Datos'!E$3,ListadoProductos[#Headers],0)))</f>
        <v/>
      </c>
      <c r="F81" s="99" t="str">
        <f>IF($A81="","",INDEX(ListadoProductos[],MATCH('2.C_Datos'!$C81,ListadoProductos[Productos],0),MATCH('2.C_Datos'!F$3,ListadoProductos[#Headers],0)))</f>
        <v/>
      </c>
      <c r="G81" s="99" t="str">
        <f>IF($A81="","",INDEX(ListadoProductos[],MATCH('2.C_Datos'!$C81,ListadoProductos[Productos],0),MATCH('2.C_Datos'!G$3,ListadoProductos[#Headers],0)))</f>
        <v/>
      </c>
      <c r="H81" s="99" t="str">
        <f>IF($A81="","",INDEX(ListadoProductos[],MATCH('2.C_Datos'!$C81,ListadoProductos[Productos],0),MATCH('2.C_Datos'!H$3,ListadoProductos[#Headers],0)))</f>
        <v/>
      </c>
      <c r="I81" s="99" t="str">
        <f>IF($A81="","",INDEX(ListadoProductos[],MATCH('2.C_Datos'!$C81,ListadoProductos[Productos],0),MATCH('2.C_Datos'!I$3,ListadoProductos[#Headers],0)))</f>
        <v/>
      </c>
      <c r="J81" s="99" t="str">
        <f>IF(Tabla19[[#This Row],[Comp1]]="","",COUNTIFS(TablaMaq1[Componente],Tabla19[[#This Row],[Comp1]],TablaMaq1[ID_Pedido],'2.C_Datos'!A81)+
COUNTIFS(TablaMaq2[Componente],Tabla19[[#This Row],[Comp1]],TablaMaq2[ID_Pedido],'2.C_Datos'!A81)+
COUNTIFS(TablaMaq3[Componente],Tabla19[[#This Row],[Comp1]],TablaMaq3[ID_Pedido],'2.C_Datos'!A81)+
COUNTIFS(TablaMaq4[Componente],Tabla19[[#This Row],[Comp1]],TablaMaq4[ID_Pedido],'2.C_Datos'!A81))</f>
        <v/>
      </c>
      <c r="K81" s="99" t="str">
        <f>IF(Tabla19[[#This Row],[Comp2]]="","",COUNTIFS(TablaMaq1[Componente],Tabla19[[#This Row],[Comp2]],TablaMaq1[ID_Pedido],'2.C_Datos'!A81)+
COUNTIFS(TablaMaq2[Componente],Tabla19[[#This Row],[Comp2]],TablaMaq2[ID_Pedido],'2.C_Datos'!A81)+
COUNTIFS(TablaMaq3[Componente],Tabla19[[#This Row],[Comp2]],TablaMaq3[ID_Pedido],'2.C_Datos'!A81)+
COUNTIFS(TablaMaq4[Componente],Tabla19[[#This Row],[Comp2]],TablaMaq4[ID_Pedido],'2.C_Datos'!A81))</f>
        <v/>
      </c>
      <c r="L81" s="99" t="str">
        <f>IF(Tabla19[[#This Row],[Comp3]]="","",COUNTIFS(TablaMaq1[Componente],Tabla19[[#This Row],[Comp3]],TablaMaq1[ID_Pedido],'2.C_Datos'!A81)+
COUNTIFS(TablaMaq2[Componente],Tabla19[[#This Row],[Comp3]],TablaMaq2[ID_Pedido],'2.C_Datos'!A81)+
COUNTIFS(TablaMaq3[Componente],Tabla19[[#This Row],[Comp3]],TablaMaq3[ID_Pedido],'2.C_Datos'!A81)+
COUNTIFS(TablaMaq4[Componente],Tabla19[[#This Row],[Comp3]],TablaMaq4[ID_Pedido],'2.C_Datos'!A81))</f>
        <v/>
      </c>
      <c r="M81" s="99" t="str">
        <f>IF(Tabla19[[#This Row],[Comp4]]="","",COUNTIFS(TablaMaq1[Componente],Tabla19[[#This Row],[Comp4]],TablaMaq1[ID_Pedido],'2.C_Datos'!A81)+
COUNTIFS(TablaMaq2[Componente],Tabla19[[#This Row],[Comp4]],TablaMaq2[ID_Pedido],'2.C_Datos'!A81)+
COUNTIFS(TablaMaq3[Componente],Tabla19[[#This Row],[Comp4]],TablaMaq3[ID_Pedido],'2.C_Datos'!A81)+
COUNTIFS(TablaMaq4[Componente],Tabla19[[#This Row],[Comp4]],TablaMaq4[ID_Pedido],'2.C_Datos'!A81))</f>
        <v/>
      </c>
      <c r="N81" s="99" t="str">
        <f>IF(Tabla19[[#This Row],[Comp5]]="","",COUNTIFS(TablaMaq1[Componente],Tabla19[[#This Row],[Comp5]],TablaMaq1[ID_Pedido],'2.C_Datos'!A81)+
COUNTIFS(TablaMaq1[Componente],Tabla19[[#This Row],[Comp5]],TablaMaq2[ID_Pedido],'2.C_Datos'!A81)+
COUNTIFS(TablaMaq1[Componente],Tabla19[[#This Row],[Comp5]],TablaMaq3[ID_Pedido],'2.C_Datos'!A81)+
COUNTIFS(TablaMaq1[Componente],Tabla19[[#This Row],[Comp5]],TablaMaq4[ID_Pedido],'2.C_Datos'!A81))</f>
        <v/>
      </c>
      <c r="O81" s="85" t="str">
        <f>IF(Tabla19[[#This Row],[Comp1]]="","",
IF(IF(Tabla19[[#This Row],[Comp1]]=0,0,1)*$D81-Tabla19[[#This Row],[Asign1]]=0,0,Tabla19[[#This Row],[Comp1]]))</f>
        <v/>
      </c>
      <c r="P81" s="85" t="str">
        <f>IF(Tabla19[[#This Row],[Comp2]]="","",
IF(IF(Tabla19[[#This Row],[Comp2]]=0,0,1)*$D81-Tabla19[[#This Row],[Asign2]]=0,0,Tabla19[[#This Row],[Comp2]]))</f>
        <v/>
      </c>
      <c r="Q81" s="85" t="str">
        <f>IF(Tabla19[[#This Row],[Comp3]]="","",
IF(IF(Tabla19[[#This Row],[Comp3]]=0,0,1)*$D81-Tabla19[[#This Row],[Asign3]]=0,0,Tabla19[[#This Row],[Comp3]]))</f>
        <v/>
      </c>
      <c r="R81" s="85" t="str">
        <f>IF(Tabla19[[#This Row],[Comp4]]="","",
IF(IF(Tabla19[[#This Row],[Comp4]]=0,0,1)*$D81-Tabla19[[#This Row],[Asign4]]=0,0,Tabla19[[#This Row],[Comp4]]))</f>
        <v/>
      </c>
      <c r="S81" s="85" t="str">
        <f>IF(Tabla19[[#This Row],[Comp5]]="","",
IF(IF(Tabla19[[#This Row],[Comp5]]=0,0,1)*$D81-Tabla19[[#This Row],[Asign5]]=0,0,Tabla19[[#This Row],[Comp5]]))</f>
        <v/>
      </c>
    </row>
    <row r="82" spans="5:19" x14ac:dyDescent="0.3">
      <c r="E82" s="99" t="str">
        <f>IF($A82="","",INDEX(ListadoProductos[],MATCH('2.C_Datos'!$C82,ListadoProductos[Productos],0),MATCH('2.C_Datos'!E$3,ListadoProductos[#Headers],0)))</f>
        <v/>
      </c>
      <c r="F82" s="99" t="str">
        <f>IF($A82="","",INDEX(ListadoProductos[],MATCH('2.C_Datos'!$C82,ListadoProductos[Productos],0),MATCH('2.C_Datos'!F$3,ListadoProductos[#Headers],0)))</f>
        <v/>
      </c>
      <c r="G82" s="99" t="str">
        <f>IF($A82="","",INDEX(ListadoProductos[],MATCH('2.C_Datos'!$C82,ListadoProductos[Productos],0),MATCH('2.C_Datos'!G$3,ListadoProductos[#Headers],0)))</f>
        <v/>
      </c>
      <c r="H82" s="99" t="str">
        <f>IF($A82="","",INDEX(ListadoProductos[],MATCH('2.C_Datos'!$C82,ListadoProductos[Productos],0),MATCH('2.C_Datos'!H$3,ListadoProductos[#Headers],0)))</f>
        <v/>
      </c>
      <c r="I82" s="99" t="str">
        <f>IF($A82="","",INDEX(ListadoProductos[],MATCH('2.C_Datos'!$C82,ListadoProductos[Productos],0),MATCH('2.C_Datos'!I$3,ListadoProductos[#Headers],0)))</f>
        <v/>
      </c>
      <c r="J82" s="99" t="str">
        <f>IF(Tabla19[[#This Row],[Comp1]]="","",COUNTIFS(TablaMaq1[Componente],Tabla19[[#This Row],[Comp1]],TablaMaq1[ID_Pedido],'2.C_Datos'!A82)+
COUNTIFS(TablaMaq2[Componente],Tabla19[[#This Row],[Comp1]],TablaMaq2[ID_Pedido],'2.C_Datos'!A82)+
COUNTIFS(TablaMaq3[Componente],Tabla19[[#This Row],[Comp1]],TablaMaq3[ID_Pedido],'2.C_Datos'!A82)+
COUNTIFS(TablaMaq4[Componente],Tabla19[[#This Row],[Comp1]],TablaMaq4[ID_Pedido],'2.C_Datos'!A82))</f>
        <v/>
      </c>
      <c r="K82" s="99" t="str">
        <f>IF(Tabla19[[#This Row],[Comp2]]="","",COUNTIFS(TablaMaq1[Componente],Tabla19[[#This Row],[Comp2]],TablaMaq1[ID_Pedido],'2.C_Datos'!A82)+
COUNTIFS(TablaMaq2[Componente],Tabla19[[#This Row],[Comp2]],TablaMaq2[ID_Pedido],'2.C_Datos'!A82)+
COUNTIFS(TablaMaq3[Componente],Tabla19[[#This Row],[Comp2]],TablaMaq3[ID_Pedido],'2.C_Datos'!A82)+
COUNTIFS(TablaMaq4[Componente],Tabla19[[#This Row],[Comp2]],TablaMaq4[ID_Pedido],'2.C_Datos'!A82))</f>
        <v/>
      </c>
      <c r="L82" s="99" t="str">
        <f>IF(Tabla19[[#This Row],[Comp3]]="","",COUNTIFS(TablaMaq1[Componente],Tabla19[[#This Row],[Comp3]],TablaMaq1[ID_Pedido],'2.C_Datos'!A82)+
COUNTIFS(TablaMaq2[Componente],Tabla19[[#This Row],[Comp3]],TablaMaq2[ID_Pedido],'2.C_Datos'!A82)+
COUNTIFS(TablaMaq3[Componente],Tabla19[[#This Row],[Comp3]],TablaMaq3[ID_Pedido],'2.C_Datos'!A82)+
COUNTIFS(TablaMaq4[Componente],Tabla19[[#This Row],[Comp3]],TablaMaq4[ID_Pedido],'2.C_Datos'!A82))</f>
        <v/>
      </c>
      <c r="M82" s="99" t="str">
        <f>IF(Tabla19[[#This Row],[Comp4]]="","",COUNTIFS(TablaMaq1[Componente],Tabla19[[#This Row],[Comp4]],TablaMaq1[ID_Pedido],'2.C_Datos'!A82)+
COUNTIFS(TablaMaq2[Componente],Tabla19[[#This Row],[Comp4]],TablaMaq2[ID_Pedido],'2.C_Datos'!A82)+
COUNTIFS(TablaMaq3[Componente],Tabla19[[#This Row],[Comp4]],TablaMaq3[ID_Pedido],'2.C_Datos'!A82)+
COUNTIFS(TablaMaq4[Componente],Tabla19[[#This Row],[Comp4]],TablaMaq4[ID_Pedido],'2.C_Datos'!A82))</f>
        <v/>
      </c>
      <c r="N82" s="99" t="str">
        <f>IF(Tabla19[[#This Row],[Comp5]]="","",COUNTIFS(TablaMaq1[Componente],Tabla19[[#This Row],[Comp5]],TablaMaq1[ID_Pedido],'2.C_Datos'!A82)+
COUNTIFS(TablaMaq1[Componente],Tabla19[[#This Row],[Comp5]],TablaMaq2[ID_Pedido],'2.C_Datos'!A82)+
COUNTIFS(TablaMaq1[Componente],Tabla19[[#This Row],[Comp5]],TablaMaq3[ID_Pedido],'2.C_Datos'!A82)+
COUNTIFS(TablaMaq1[Componente],Tabla19[[#This Row],[Comp5]],TablaMaq4[ID_Pedido],'2.C_Datos'!A82))</f>
        <v/>
      </c>
      <c r="O82" s="85" t="str">
        <f>IF(Tabla19[[#This Row],[Comp1]]="","",
IF(IF(Tabla19[[#This Row],[Comp1]]=0,0,1)*$D82-Tabla19[[#This Row],[Asign1]]=0,0,Tabla19[[#This Row],[Comp1]]))</f>
        <v/>
      </c>
      <c r="P82" s="85" t="str">
        <f>IF(Tabla19[[#This Row],[Comp2]]="","",
IF(IF(Tabla19[[#This Row],[Comp2]]=0,0,1)*$D82-Tabla19[[#This Row],[Asign2]]=0,0,Tabla19[[#This Row],[Comp2]]))</f>
        <v/>
      </c>
      <c r="Q82" s="85" t="str">
        <f>IF(Tabla19[[#This Row],[Comp3]]="","",
IF(IF(Tabla19[[#This Row],[Comp3]]=0,0,1)*$D82-Tabla19[[#This Row],[Asign3]]=0,0,Tabla19[[#This Row],[Comp3]]))</f>
        <v/>
      </c>
      <c r="R82" s="85" t="str">
        <f>IF(Tabla19[[#This Row],[Comp4]]="","",
IF(IF(Tabla19[[#This Row],[Comp4]]=0,0,1)*$D82-Tabla19[[#This Row],[Asign4]]=0,0,Tabla19[[#This Row],[Comp4]]))</f>
        <v/>
      </c>
      <c r="S82" s="85" t="str">
        <f>IF(Tabla19[[#This Row],[Comp5]]="","",
IF(IF(Tabla19[[#This Row],[Comp5]]=0,0,1)*$D82-Tabla19[[#This Row],[Asign5]]=0,0,Tabla19[[#This Row],[Comp5]]))</f>
        <v/>
      </c>
    </row>
    <row r="83" spans="5:19" x14ac:dyDescent="0.3">
      <c r="E83" s="99" t="str">
        <f>IF($A83="","",INDEX(ListadoProductos[],MATCH('2.C_Datos'!$C83,ListadoProductos[Productos],0),MATCH('2.C_Datos'!E$3,ListadoProductos[#Headers],0)))</f>
        <v/>
      </c>
      <c r="F83" s="99" t="str">
        <f>IF($A83="","",INDEX(ListadoProductos[],MATCH('2.C_Datos'!$C83,ListadoProductos[Productos],0),MATCH('2.C_Datos'!F$3,ListadoProductos[#Headers],0)))</f>
        <v/>
      </c>
      <c r="G83" s="99" t="str">
        <f>IF($A83="","",INDEX(ListadoProductos[],MATCH('2.C_Datos'!$C83,ListadoProductos[Productos],0),MATCH('2.C_Datos'!G$3,ListadoProductos[#Headers],0)))</f>
        <v/>
      </c>
      <c r="H83" s="99" t="str">
        <f>IF($A83="","",INDEX(ListadoProductos[],MATCH('2.C_Datos'!$C83,ListadoProductos[Productos],0),MATCH('2.C_Datos'!H$3,ListadoProductos[#Headers],0)))</f>
        <v/>
      </c>
      <c r="I83" s="99" t="str">
        <f>IF($A83="","",INDEX(ListadoProductos[],MATCH('2.C_Datos'!$C83,ListadoProductos[Productos],0),MATCH('2.C_Datos'!I$3,ListadoProductos[#Headers],0)))</f>
        <v/>
      </c>
      <c r="J83" s="99" t="str">
        <f>IF(Tabla19[[#This Row],[Comp1]]="","",COUNTIFS(TablaMaq1[Componente],Tabla19[[#This Row],[Comp1]],TablaMaq1[ID_Pedido],'2.C_Datos'!A83)+
COUNTIFS(TablaMaq2[Componente],Tabla19[[#This Row],[Comp1]],TablaMaq2[ID_Pedido],'2.C_Datos'!A83)+
COUNTIFS(TablaMaq3[Componente],Tabla19[[#This Row],[Comp1]],TablaMaq3[ID_Pedido],'2.C_Datos'!A83)+
COUNTIFS(TablaMaq4[Componente],Tabla19[[#This Row],[Comp1]],TablaMaq4[ID_Pedido],'2.C_Datos'!A83))</f>
        <v/>
      </c>
      <c r="K83" s="99" t="str">
        <f>IF(Tabla19[[#This Row],[Comp2]]="","",COUNTIFS(TablaMaq1[Componente],Tabla19[[#This Row],[Comp2]],TablaMaq1[ID_Pedido],'2.C_Datos'!A83)+
COUNTIFS(TablaMaq2[Componente],Tabla19[[#This Row],[Comp2]],TablaMaq2[ID_Pedido],'2.C_Datos'!A83)+
COUNTIFS(TablaMaq3[Componente],Tabla19[[#This Row],[Comp2]],TablaMaq3[ID_Pedido],'2.C_Datos'!A83)+
COUNTIFS(TablaMaq4[Componente],Tabla19[[#This Row],[Comp2]],TablaMaq4[ID_Pedido],'2.C_Datos'!A83))</f>
        <v/>
      </c>
      <c r="L83" s="99" t="str">
        <f>IF(Tabla19[[#This Row],[Comp3]]="","",COUNTIFS(TablaMaq1[Componente],Tabla19[[#This Row],[Comp3]],TablaMaq1[ID_Pedido],'2.C_Datos'!A83)+
COUNTIFS(TablaMaq2[Componente],Tabla19[[#This Row],[Comp3]],TablaMaq2[ID_Pedido],'2.C_Datos'!A83)+
COUNTIFS(TablaMaq3[Componente],Tabla19[[#This Row],[Comp3]],TablaMaq3[ID_Pedido],'2.C_Datos'!A83)+
COUNTIFS(TablaMaq4[Componente],Tabla19[[#This Row],[Comp3]],TablaMaq4[ID_Pedido],'2.C_Datos'!A83))</f>
        <v/>
      </c>
      <c r="M83" s="99" t="str">
        <f>IF(Tabla19[[#This Row],[Comp4]]="","",COUNTIFS(TablaMaq1[Componente],Tabla19[[#This Row],[Comp4]],TablaMaq1[ID_Pedido],'2.C_Datos'!A83)+
COUNTIFS(TablaMaq2[Componente],Tabla19[[#This Row],[Comp4]],TablaMaq2[ID_Pedido],'2.C_Datos'!A83)+
COUNTIFS(TablaMaq3[Componente],Tabla19[[#This Row],[Comp4]],TablaMaq3[ID_Pedido],'2.C_Datos'!A83)+
COUNTIFS(TablaMaq4[Componente],Tabla19[[#This Row],[Comp4]],TablaMaq4[ID_Pedido],'2.C_Datos'!A83))</f>
        <v/>
      </c>
      <c r="N83" s="99" t="str">
        <f>IF(Tabla19[[#This Row],[Comp5]]="","",COUNTIFS(TablaMaq1[Componente],Tabla19[[#This Row],[Comp5]],TablaMaq1[ID_Pedido],'2.C_Datos'!A83)+
COUNTIFS(TablaMaq1[Componente],Tabla19[[#This Row],[Comp5]],TablaMaq2[ID_Pedido],'2.C_Datos'!A83)+
COUNTIFS(TablaMaq1[Componente],Tabla19[[#This Row],[Comp5]],TablaMaq3[ID_Pedido],'2.C_Datos'!A83)+
COUNTIFS(TablaMaq1[Componente],Tabla19[[#This Row],[Comp5]],TablaMaq4[ID_Pedido],'2.C_Datos'!A83))</f>
        <v/>
      </c>
      <c r="O83" s="85" t="str">
        <f>IF(Tabla19[[#This Row],[Comp1]]="","",
IF(IF(Tabla19[[#This Row],[Comp1]]=0,0,1)*$D83-Tabla19[[#This Row],[Asign1]]=0,0,Tabla19[[#This Row],[Comp1]]))</f>
        <v/>
      </c>
      <c r="P83" s="85" t="str">
        <f>IF(Tabla19[[#This Row],[Comp2]]="","",
IF(IF(Tabla19[[#This Row],[Comp2]]=0,0,1)*$D83-Tabla19[[#This Row],[Asign2]]=0,0,Tabla19[[#This Row],[Comp2]]))</f>
        <v/>
      </c>
      <c r="Q83" s="85" t="str">
        <f>IF(Tabla19[[#This Row],[Comp3]]="","",
IF(IF(Tabla19[[#This Row],[Comp3]]=0,0,1)*$D83-Tabla19[[#This Row],[Asign3]]=0,0,Tabla19[[#This Row],[Comp3]]))</f>
        <v/>
      </c>
      <c r="R83" s="85" t="str">
        <f>IF(Tabla19[[#This Row],[Comp4]]="","",
IF(IF(Tabla19[[#This Row],[Comp4]]=0,0,1)*$D83-Tabla19[[#This Row],[Asign4]]=0,0,Tabla19[[#This Row],[Comp4]]))</f>
        <v/>
      </c>
      <c r="S83" s="85" t="str">
        <f>IF(Tabla19[[#This Row],[Comp5]]="","",
IF(IF(Tabla19[[#This Row],[Comp5]]=0,0,1)*$D83-Tabla19[[#This Row],[Asign5]]=0,0,Tabla19[[#This Row],[Comp5]]))</f>
        <v/>
      </c>
    </row>
    <row r="84" spans="5:19" x14ac:dyDescent="0.3">
      <c r="E84" s="99" t="str">
        <f>IF($A84="","",INDEX(ListadoProductos[],MATCH('2.C_Datos'!$C84,ListadoProductos[Productos],0),MATCH('2.C_Datos'!E$3,ListadoProductos[#Headers],0)))</f>
        <v/>
      </c>
      <c r="F84" s="99" t="str">
        <f>IF($A84="","",INDEX(ListadoProductos[],MATCH('2.C_Datos'!$C84,ListadoProductos[Productos],0),MATCH('2.C_Datos'!F$3,ListadoProductos[#Headers],0)))</f>
        <v/>
      </c>
      <c r="G84" s="99" t="str">
        <f>IF($A84="","",INDEX(ListadoProductos[],MATCH('2.C_Datos'!$C84,ListadoProductos[Productos],0),MATCH('2.C_Datos'!G$3,ListadoProductos[#Headers],0)))</f>
        <v/>
      </c>
      <c r="H84" s="99" t="str">
        <f>IF($A84="","",INDEX(ListadoProductos[],MATCH('2.C_Datos'!$C84,ListadoProductos[Productos],0),MATCH('2.C_Datos'!H$3,ListadoProductos[#Headers],0)))</f>
        <v/>
      </c>
      <c r="I84" s="99" t="str">
        <f>IF($A84="","",INDEX(ListadoProductos[],MATCH('2.C_Datos'!$C84,ListadoProductos[Productos],0),MATCH('2.C_Datos'!I$3,ListadoProductos[#Headers],0)))</f>
        <v/>
      </c>
      <c r="J84" s="99" t="str">
        <f>IF(Tabla19[[#This Row],[Comp1]]="","",COUNTIFS(TablaMaq1[Componente],Tabla19[[#This Row],[Comp1]],TablaMaq1[ID_Pedido],'2.C_Datos'!A84)+
COUNTIFS(TablaMaq2[Componente],Tabla19[[#This Row],[Comp1]],TablaMaq2[ID_Pedido],'2.C_Datos'!A84)+
COUNTIFS(TablaMaq3[Componente],Tabla19[[#This Row],[Comp1]],TablaMaq3[ID_Pedido],'2.C_Datos'!A84)+
COUNTIFS(TablaMaq4[Componente],Tabla19[[#This Row],[Comp1]],TablaMaq4[ID_Pedido],'2.C_Datos'!A84))</f>
        <v/>
      </c>
      <c r="K84" s="99" t="str">
        <f>IF(Tabla19[[#This Row],[Comp2]]="","",COUNTIFS(TablaMaq1[Componente],Tabla19[[#This Row],[Comp2]],TablaMaq1[ID_Pedido],'2.C_Datos'!A84)+
COUNTIFS(TablaMaq2[Componente],Tabla19[[#This Row],[Comp2]],TablaMaq2[ID_Pedido],'2.C_Datos'!A84)+
COUNTIFS(TablaMaq3[Componente],Tabla19[[#This Row],[Comp2]],TablaMaq3[ID_Pedido],'2.C_Datos'!A84)+
COUNTIFS(TablaMaq4[Componente],Tabla19[[#This Row],[Comp2]],TablaMaq4[ID_Pedido],'2.C_Datos'!A84))</f>
        <v/>
      </c>
      <c r="L84" s="99" t="str">
        <f>IF(Tabla19[[#This Row],[Comp3]]="","",COUNTIFS(TablaMaq1[Componente],Tabla19[[#This Row],[Comp3]],TablaMaq1[ID_Pedido],'2.C_Datos'!A84)+
COUNTIFS(TablaMaq2[Componente],Tabla19[[#This Row],[Comp3]],TablaMaq2[ID_Pedido],'2.C_Datos'!A84)+
COUNTIFS(TablaMaq3[Componente],Tabla19[[#This Row],[Comp3]],TablaMaq3[ID_Pedido],'2.C_Datos'!A84)+
COUNTIFS(TablaMaq4[Componente],Tabla19[[#This Row],[Comp3]],TablaMaq4[ID_Pedido],'2.C_Datos'!A84))</f>
        <v/>
      </c>
      <c r="M84" s="99" t="str">
        <f>IF(Tabla19[[#This Row],[Comp4]]="","",COUNTIFS(TablaMaq1[Componente],Tabla19[[#This Row],[Comp4]],TablaMaq1[ID_Pedido],'2.C_Datos'!A84)+
COUNTIFS(TablaMaq2[Componente],Tabla19[[#This Row],[Comp4]],TablaMaq2[ID_Pedido],'2.C_Datos'!A84)+
COUNTIFS(TablaMaq3[Componente],Tabla19[[#This Row],[Comp4]],TablaMaq3[ID_Pedido],'2.C_Datos'!A84)+
COUNTIFS(TablaMaq4[Componente],Tabla19[[#This Row],[Comp4]],TablaMaq4[ID_Pedido],'2.C_Datos'!A84))</f>
        <v/>
      </c>
      <c r="N84" s="99" t="str">
        <f>IF(Tabla19[[#This Row],[Comp5]]="","",COUNTIFS(TablaMaq1[Componente],Tabla19[[#This Row],[Comp5]],TablaMaq1[ID_Pedido],'2.C_Datos'!A84)+
COUNTIFS(TablaMaq1[Componente],Tabla19[[#This Row],[Comp5]],TablaMaq2[ID_Pedido],'2.C_Datos'!A84)+
COUNTIFS(TablaMaq1[Componente],Tabla19[[#This Row],[Comp5]],TablaMaq3[ID_Pedido],'2.C_Datos'!A84)+
COUNTIFS(TablaMaq1[Componente],Tabla19[[#This Row],[Comp5]],TablaMaq4[ID_Pedido],'2.C_Datos'!A84))</f>
        <v/>
      </c>
      <c r="O84" s="85" t="str">
        <f>IF(Tabla19[[#This Row],[Comp1]]="","",
IF(IF(Tabla19[[#This Row],[Comp1]]=0,0,1)*$D84-Tabla19[[#This Row],[Asign1]]=0,0,Tabla19[[#This Row],[Comp1]]))</f>
        <v/>
      </c>
      <c r="P84" s="85" t="str">
        <f>IF(Tabla19[[#This Row],[Comp2]]="","",
IF(IF(Tabla19[[#This Row],[Comp2]]=0,0,1)*$D84-Tabla19[[#This Row],[Asign2]]=0,0,Tabla19[[#This Row],[Comp2]]))</f>
        <v/>
      </c>
      <c r="Q84" s="85" t="str">
        <f>IF(Tabla19[[#This Row],[Comp3]]="","",
IF(IF(Tabla19[[#This Row],[Comp3]]=0,0,1)*$D84-Tabla19[[#This Row],[Asign3]]=0,0,Tabla19[[#This Row],[Comp3]]))</f>
        <v/>
      </c>
      <c r="R84" s="85" t="str">
        <f>IF(Tabla19[[#This Row],[Comp4]]="","",
IF(IF(Tabla19[[#This Row],[Comp4]]=0,0,1)*$D84-Tabla19[[#This Row],[Asign4]]=0,0,Tabla19[[#This Row],[Comp4]]))</f>
        <v/>
      </c>
      <c r="S84" s="85" t="str">
        <f>IF(Tabla19[[#This Row],[Comp5]]="","",
IF(IF(Tabla19[[#This Row],[Comp5]]=0,0,1)*$D84-Tabla19[[#This Row],[Asign5]]=0,0,Tabla19[[#This Row],[Comp5]]))</f>
        <v/>
      </c>
    </row>
    <row r="85" spans="5:19" x14ac:dyDescent="0.3">
      <c r="E85" s="99" t="str">
        <f>IF($A85="","",INDEX(ListadoProductos[],MATCH('2.C_Datos'!$C85,ListadoProductos[Productos],0),MATCH('2.C_Datos'!E$3,ListadoProductos[#Headers],0)))</f>
        <v/>
      </c>
      <c r="F85" s="99" t="str">
        <f>IF($A85="","",INDEX(ListadoProductos[],MATCH('2.C_Datos'!$C85,ListadoProductos[Productos],0),MATCH('2.C_Datos'!F$3,ListadoProductos[#Headers],0)))</f>
        <v/>
      </c>
      <c r="G85" s="99" t="str">
        <f>IF($A85="","",INDEX(ListadoProductos[],MATCH('2.C_Datos'!$C85,ListadoProductos[Productos],0),MATCH('2.C_Datos'!G$3,ListadoProductos[#Headers],0)))</f>
        <v/>
      </c>
      <c r="H85" s="99" t="str">
        <f>IF($A85="","",INDEX(ListadoProductos[],MATCH('2.C_Datos'!$C85,ListadoProductos[Productos],0),MATCH('2.C_Datos'!H$3,ListadoProductos[#Headers],0)))</f>
        <v/>
      </c>
      <c r="I85" s="99" t="str">
        <f>IF($A85="","",INDEX(ListadoProductos[],MATCH('2.C_Datos'!$C85,ListadoProductos[Productos],0),MATCH('2.C_Datos'!I$3,ListadoProductos[#Headers],0)))</f>
        <v/>
      </c>
      <c r="J85" s="99" t="str">
        <f>IF(Tabla19[[#This Row],[Comp1]]="","",COUNTIFS(TablaMaq1[Componente],Tabla19[[#This Row],[Comp1]],TablaMaq1[ID_Pedido],'2.C_Datos'!A85)+
COUNTIFS(TablaMaq2[Componente],Tabla19[[#This Row],[Comp1]],TablaMaq2[ID_Pedido],'2.C_Datos'!A85)+
COUNTIFS(TablaMaq3[Componente],Tabla19[[#This Row],[Comp1]],TablaMaq3[ID_Pedido],'2.C_Datos'!A85)+
COUNTIFS(TablaMaq4[Componente],Tabla19[[#This Row],[Comp1]],TablaMaq4[ID_Pedido],'2.C_Datos'!A85))</f>
        <v/>
      </c>
      <c r="K85" s="99" t="str">
        <f>IF(Tabla19[[#This Row],[Comp2]]="","",COUNTIFS(TablaMaq1[Componente],Tabla19[[#This Row],[Comp2]],TablaMaq1[ID_Pedido],'2.C_Datos'!A85)+
COUNTIFS(TablaMaq2[Componente],Tabla19[[#This Row],[Comp2]],TablaMaq2[ID_Pedido],'2.C_Datos'!A85)+
COUNTIFS(TablaMaq3[Componente],Tabla19[[#This Row],[Comp2]],TablaMaq3[ID_Pedido],'2.C_Datos'!A85)+
COUNTIFS(TablaMaq4[Componente],Tabla19[[#This Row],[Comp2]],TablaMaq4[ID_Pedido],'2.C_Datos'!A85))</f>
        <v/>
      </c>
      <c r="L85" s="99" t="str">
        <f>IF(Tabla19[[#This Row],[Comp3]]="","",COUNTIFS(TablaMaq1[Componente],Tabla19[[#This Row],[Comp3]],TablaMaq1[ID_Pedido],'2.C_Datos'!A85)+
COUNTIFS(TablaMaq2[Componente],Tabla19[[#This Row],[Comp3]],TablaMaq2[ID_Pedido],'2.C_Datos'!A85)+
COUNTIFS(TablaMaq3[Componente],Tabla19[[#This Row],[Comp3]],TablaMaq3[ID_Pedido],'2.C_Datos'!A85)+
COUNTIFS(TablaMaq4[Componente],Tabla19[[#This Row],[Comp3]],TablaMaq4[ID_Pedido],'2.C_Datos'!A85))</f>
        <v/>
      </c>
      <c r="M85" s="99" t="str">
        <f>IF(Tabla19[[#This Row],[Comp4]]="","",COUNTIFS(TablaMaq1[Componente],Tabla19[[#This Row],[Comp4]],TablaMaq1[ID_Pedido],'2.C_Datos'!A85)+
COUNTIFS(TablaMaq2[Componente],Tabla19[[#This Row],[Comp4]],TablaMaq2[ID_Pedido],'2.C_Datos'!A85)+
COUNTIFS(TablaMaq3[Componente],Tabla19[[#This Row],[Comp4]],TablaMaq3[ID_Pedido],'2.C_Datos'!A85)+
COUNTIFS(TablaMaq4[Componente],Tabla19[[#This Row],[Comp4]],TablaMaq4[ID_Pedido],'2.C_Datos'!A85))</f>
        <v/>
      </c>
      <c r="N85" s="99" t="str">
        <f>IF(Tabla19[[#This Row],[Comp5]]="","",COUNTIFS(TablaMaq1[Componente],Tabla19[[#This Row],[Comp5]],TablaMaq1[ID_Pedido],'2.C_Datos'!A85)+
COUNTIFS(TablaMaq1[Componente],Tabla19[[#This Row],[Comp5]],TablaMaq2[ID_Pedido],'2.C_Datos'!A85)+
COUNTIFS(TablaMaq1[Componente],Tabla19[[#This Row],[Comp5]],TablaMaq3[ID_Pedido],'2.C_Datos'!A85)+
COUNTIFS(TablaMaq1[Componente],Tabla19[[#This Row],[Comp5]],TablaMaq4[ID_Pedido],'2.C_Datos'!A85))</f>
        <v/>
      </c>
      <c r="O85" s="85" t="str">
        <f>IF(Tabla19[[#This Row],[Comp1]]="","",
IF(IF(Tabla19[[#This Row],[Comp1]]=0,0,1)*$D85-Tabla19[[#This Row],[Asign1]]=0,0,Tabla19[[#This Row],[Comp1]]))</f>
        <v/>
      </c>
      <c r="P85" s="85" t="str">
        <f>IF(Tabla19[[#This Row],[Comp2]]="","",
IF(IF(Tabla19[[#This Row],[Comp2]]=0,0,1)*$D85-Tabla19[[#This Row],[Asign2]]=0,0,Tabla19[[#This Row],[Comp2]]))</f>
        <v/>
      </c>
      <c r="Q85" s="85" t="str">
        <f>IF(Tabla19[[#This Row],[Comp3]]="","",
IF(IF(Tabla19[[#This Row],[Comp3]]=0,0,1)*$D85-Tabla19[[#This Row],[Asign3]]=0,0,Tabla19[[#This Row],[Comp3]]))</f>
        <v/>
      </c>
      <c r="R85" s="85" t="str">
        <f>IF(Tabla19[[#This Row],[Comp4]]="","",
IF(IF(Tabla19[[#This Row],[Comp4]]=0,0,1)*$D85-Tabla19[[#This Row],[Asign4]]=0,0,Tabla19[[#This Row],[Comp4]]))</f>
        <v/>
      </c>
      <c r="S85" s="85" t="str">
        <f>IF(Tabla19[[#This Row],[Comp5]]="","",
IF(IF(Tabla19[[#This Row],[Comp5]]=0,0,1)*$D85-Tabla19[[#This Row],[Asign5]]=0,0,Tabla19[[#This Row],[Comp5]]))</f>
        <v/>
      </c>
    </row>
    <row r="86" spans="5:19" x14ac:dyDescent="0.3">
      <c r="E86" s="99" t="str">
        <f>IF($A86="","",INDEX(ListadoProductos[],MATCH('2.C_Datos'!$C86,ListadoProductos[Productos],0),MATCH('2.C_Datos'!E$3,ListadoProductos[#Headers],0)))</f>
        <v/>
      </c>
      <c r="F86" s="99" t="str">
        <f>IF($A86="","",INDEX(ListadoProductos[],MATCH('2.C_Datos'!$C86,ListadoProductos[Productos],0),MATCH('2.C_Datos'!F$3,ListadoProductos[#Headers],0)))</f>
        <v/>
      </c>
      <c r="G86" s="99" t="str">
        <f>IF($A86="","",INDEX(ListadoProductos[],MATCH('2.C_Datos'!$C86,ListadoProductos[Productos],0),MATCH('2.C_Datos'!G$3,ListadoProductos[#Headers],0)))</f>
        <v/>
      </c>
      <c r="H86" s="99" t="str">
        <f>IF($A86="","",INDEX(ListadoProductos[],MATCH('2.C_Datos'!$C86,ListadoProductos[Productos],0),MATCH('2.C_Datos'!H$3,ListadoProductos[#Headers],0)))</f>
        <v/>
      </c>
      <c r="I86" s="99" t="str">
        <f>IF($A86="","",INDEX(ListadoProductos[],MATCH('2.C_Datos'!$C86,ListadoProductos[Productos],0),MATCH('2.C_Datos'!I$3,ListadoProductos[#Headers],0)))</f>
        <v/>
      </c>
      <c r="J86" s="99" t="str">
        <f>IF(Tabla19[[#This Row],[Comp1]]="","",COUNTIFS(TablaMaq1[Componente],Tabla19[[#This Row],[Comp1]],TablaMaq1[ID_Pedido],'2.C_Datos'!A86)+
COUNTIFS(TablaMaq2[Componente],Tabla19[[#This Row],[Comp1]],TablaMaq2[ID_Pedido],'2.C_Datos'!A86)+
COUNTIFS(TablaMaq3[Componente],Tabla19[[#This Row],[Comp1]],TablaMaq3[ID_Pedido],'2.C_Datos'!A86)+
COUNTIFS(TablaMaq4[Componente],Tabla19[[#This Row],[Comp1]],TablaMaq4[ID_Pedido],'2.C_Datos'!A86))</f>
        <v/>
      </c>
      <c r="K86" s="99" t="str">
        <f>IF(Tabla19[[#This Row],[Comp2]]="","",COUNTIFS(TablaMaq1[Componente],Tabla19[[#This Row],[Comp2]],TablaMaq1[ID_Pedido],'2.C_Datos'!A86)+
COUNTIFS(TablaMaq2[Componente],Tabla19[[#This Row],[Comp2]],TablaMaq2[ID_Pedido],'2.C_Datos'!A86)+
COUNTIFS(TablaMaq3[Componente],Tabla19[[#This Row],[Comp2]],TablaMaq3[ID_Pedido],'2.C_Datos'!A86)+
COUNTIFS(TablaMaq4[Componente],Tabla19[[#This Row],[Comp2]],TablaMaq4[ID_Pedido],'2.C_Datos'!A86))</f>
        <v/>
      </c>
      <c r="L86" s="99" t="str">
        <f>IF(Tabla19[[#This Row],[Comp3]]="","",COUNTIFS(TablaMaq1[Componente],Tabla19[[#This Row],[Comp3]],TablaMaq1[ID_Pedido],'2.C_Datos'!A86)+
COUNTIFS(TablaMaq2[Componente],Tabla19[[#This Row],[Comp3]],TablaMaq2[ID_Pedido],'2.C_Datos'!A86)+
COUNTIFS(TablaMaq3[Componente],Tabla19[[#This Row],[Comp3]],TablaMaq3[ID_Pedido],'2.C_Datos'!A86)+
COUNTIFS(TablaMaq4[Componente],Tabla19[[#This Row],[Comp3]],TablaMaq4[ID_Pedido],'2.C_Datos'!A86))</f>
        <v/>
      </c>
      <c r="M86" s="99" t="str">
        <f>IF(Tabla19[[#This Row],[Comp4]]="","",COUNTIFS(TablaMaq1[Componente],Tabla19[[#This Row],[Comp4]],TablaMaq1[ID_Pedido],'2.C_Datos'!A86)+
COUNTIFS(TablaMaq2[Componente],Tabla19[[#This Row],[Comp4]],TablaMaq2[ID_Pedido],'2.C_Datos'!A86)+
COUNTIFS(TablaMaq3[Componente],Tabla19[[#This Row],[Comp4]],TablaMaq3[ID_Pedido],'2.C_Datos'!A86)+
COUNTIFS(TablaMaq4[Componente],Tabla19[[#This Row],[Comp4]],TablaMaq4[ID_Pedido],'2.C_Datos'!A86))</f>
        <v/>
      </c>
      <c r="N86" s="99" t="str">
        <f>IF(Tabla19[[#This Row],[Comp5]]="","",COUNTIFS(TablaMaq1[Componente],Tabla19[[#This Row],[Comp5]],TablaMaq1[ID_Pedido],'2.C_Datos'!A86)+
COUNTIFS(TablaMaq1[Componente],Tabla19[[#This Row],[Comp5]],TablaMaq2[ID_Pedido],'2.C_Datos'!A86)+
COUNTIFS(TablaMaq1[Componente],Tabla19[[#This Row],[Comp5]],TablaMaq3[ID_Pedido],'2.C_Datos'!A86)+
COUNTIFS(TablaMaq1[Componente],Tabla19[[#This Row],[Comp5]],TablaMaq4[ID_Pedido],'2.C_Datos'!A86))</f>
        <v/>
      </c>
      <c r="O86" s="85" t="str">
        <f>IF(Tabla19[[#This Row],[Comp1]]="","",
IF(IF(Tabla19[[#This Row],[Comp1]]=0,0,1)*$D86-Tabla19[[#This Row],[Asign1]]=0,0,Tabla19[[#This Row],[Comp1]]))</f>
        <v/>
      </c>
      <c r="P86" s="85" t="str">
        <f>IF(Tabla19[[#This Row],[Comp2]]="","",
IF(IF(Tabla19[[#This Row],[Comp2]]=0,0,1)*$D86-Tabla19[[#This Row],[Asign2]]=0,0,Tabla19[[#This Row],[Comp2]]))</f>
        <v/>
      </c>
      <c r="Q86" s="85" t="str">
        <f>IF(Tabla19[[#This Row],[Comp3]]="","",
IF(IF(Tabla19[[#This Row],[Comp3]]=0,0,1)*$D86-Tabla19[[#This Row],[Asign3]]=0,0,Tabla19[[#This Row],[Comp3]]))</f>
        <v/>
      </c>
      <c r="R86" s="85" t="str">
        <f>IF(Tabla19[[#This Row],[Comp4]]="","",
IF(IF(Tabla19[[#This Row],[Comp4]]=0,0,1)*$D86-Tabla19[[#This Row],[Asign4]]=0,0,Tabla19[[#This Row],[Comp4]]))</f>
        <v/>
      </c>
      <c r="S86" s="85" t="str">
        <f>IF(Tabla19[[#This Row],[Comp5]]="","",
IF(IF(Tabla19[[#This Row],[Comp5]]=0,0,1)*$D86-Tabla19[[#This Row],[Asign5]]=0,0,Tabla19[[#This Row],[Comp5]]))</f>
        <v/>
      </c>
    </row>
    <row r="87" spans="5:19" x14ac:dyDescent="0.3">
      <c r="E87" s="99" t="str">
        <f>IF($A87="","",INDEX(ListadoProductos[],MATCH('2.C_Datos'!$C87,ListadoProductos[Productos],0),MATCH('2.C_Datos'!E$3,ListadoProductos[#Headers],0)))</f>
        <v/>
      </c>
      <c r="F87" s="99" t="str">
        <f>IF($A87="","",INDEX(ListadoProductos[],MATCH('2.C_Datos'!$C87,ListadoProductos[Productos],0),MATCH('2.C_Datos'!F$3,ListadoProductos[#Headers],0)))</f>
        <v/>
      </c>
      <c r="G87" s="99" t="str">
        <f>IF($A87="","",INDEX(ListadoProductos[],MATCH('2.C_Datos'!$C87,ListadoProductos[Productos],0),MATCH('2.C_Datos'!G$3,ListadoProductos[#Headers],0)))</f>
        <v/>
      </c>
      <c r="H87" s="99" t="str">
        <f>IF($A87="","",INDEX(ListadoProductos[],MATCH('2.C_Datos'!$C87,ListadoProductos[Productos],0),MATCH('2.C_Datos'!H$3,ListadoProductos[#Headers],0)))</f>
        <v/>
      </c>
      <c r="I87" s="99" t="str">
        <f>IF($A87="","",INDEX(ListadoProductos[],MATCH('2.C_Datos'!$C87,ListadoProductos[Productos],0),MATCH('2.C_Datos'!I$3,ListadoProductos[#Headers],0)))</f>
        <v/>
      </c>
      <c r="J87" s="99" t="str">
        <f>IF(Tabla19[[#This Row],[Comp1]]="","",COUNTIFS(TablaMaq1[Componente],Tabla19[[#This Row],[Comp1]],TablaMaq1[ID_Pedido],'2.C_Datos'!A87)+
COUNTIFS(TablaMaq2[Componente],Tabla19[[#This Row],[Comp1]],TablaMaq2[ID_Pedido],'2.C_Datos'!A87)+
COUNTIFS(TablaMaq3[Componente],Tabla19[[#This Row],[Comp1]],TablaMaq3[ID_Pedido],'2.C_Datos'!A87)+
COUNTIFS(TablaMaq4[Componente],Tabla19[[#This Row],[Comp1]],TablaMaq4[ID_Pedido],'2.C_Datos'!A87))</f>
        <v/>
      </c>
      <c r="K87" s="99" t="str">
        <f>IF(Tabla19[[#This Row],[Comp2]]="","",COUNTIFS(TablaMaq1[Componente],Tabla19[[#This Row],[Comp2]],TablaMaq1[ID_Pedido],'2.C_Datos'!A87)+
COUNTIFS(TablaMaq2[Componente],Tabla19[[#This Row],[Comp2]],TablaMaq2[ID_Pedido],'2.C_Datos'!A87)+
COUNTIFS(TablaMaq3[Componente],Tabla19[[#This Row],[Comp2]],TablaMaq3[ID_Pedido],'2.C_Datos'!A87)+
COUNTIFS(TablaMaq4[Componente],Tabla19[[#This Row],[Comp2]],TablaMaq4[ID_Pedido],'2.C_Datos'!A87))</f>
        <v/>
      </c>
      <c r="L87" s="99" t="str">
        <f>IF(Tabla19[[#This Row],[Comp3]]="","",COUNTIFS(TablaMaq1[Componente],Tabla19[[#This Row],[Comp3]],TablaMaq1[ID_Pedido],'2.C_Datos'!A87)+
COUNTIFS(TablaMaq2[Componente],Tabla19[[#This Row],[Comp3]],TablaMaq2[ID_Pedido],'2.C_Datos'!A87)+
COUNTIFS(TablaMaq3[Componente],Tabla19[[#This Row],[Comp3]],TablaMaq3[ID_Pedido],'2.C_Datos'!A87)+
COUNTIFS(TablaMaq4[Componente],Tabla19[[#This Row],[Comp3]],TablaMaq4[ID_Pedido],'2.C_Datos'!A87))</f>
        <v/>
      </c>
      <c r="M87" s="99" t="str">
        <f>IF(Tabla19[[#This Row],[Comp4]]="","",COUNTIFS(TablaMaq1[Componente],Tabla19[[#This Row],[Comp4]],TablaMaq1[ID_Pedido],'2.C_Datos'!A87)+
COUNTIFS(TablaMaq2[Componente],Tabla19[[#This Row],[Comp4]],TablaMaq2[ID_Pedido],'2.C_Datos'!A87)+
COUNTIFS(TablaMaq3[Componente],Tabla19[[#This Row],[Comp4]],TablaMaq3[ID_Pedido],'2.C_Datos'!A87)+
COUNTIFS(TablaMaq4[Componente],Tabla19[[#This Row],[Comp4]],TablaMaq4[ID_Pedido],'2.C_Datos'!A87))</f>
        <v/>
      </c>
      <c r="N87" s="99" t="str">
        <f>IF(Tabla19[[#This Row],[Comp5]]="","",COUNTIFS(TablaMaq1[Componente],Tabla19[[#This Row],[Comp5]],TablaMaq1[ID_Pedido],'2.C_Datos'!A87)+
COUNTIFS(TablaMaq1[Componente],Tabla19[[#This Row],[Comp5]],TablaMaq2[ID_Pedido],'2.C_Datos'!A87)+
COUNTIFS(TablaMaq1[Componente],Tabla19[[#This Row],[Comp5]],TablaMaq3[ID_Pedido],'2.C_Datos'!A87)+
COUNTIFS(TablaMaq1[Componente],Tabla19[[#This Row],[Comp5]],TablaMaq4[ID_Pedido],'2.C_Datos'!A87))</f>
        <v/>
      </c>
      <c r="O87" s="85" t="str">
        <f>IF(Tabla19[[#This Row],[Comp1]]="","",
IF(IF(Tabla19[[#This Row],[Comp1]]=0,0,1)*$D87-Tabla19[[#This Row],[Asign1]]=0,0,Tabla19[[#This Row],[Comp1]]))</f>
        <v/>
      </c>
      <c r="P87" s="85" t="str">
        <f>IF(Tabla19[[#This Row],[Comp2]]="","",
IF(IF(Tabla19[[#This Row],[Comp2]]=0,0,1)*$D87-Tabla19[[#This Row],[Asign2]]=0,0,Tabla19[[#This Row],[Comp2]]))</f>
        <v/>
      </c>
      <c r="Q87" s="85" t="str">
        <f>IF(Tabla19[[#This Row],[Comp3]]="","",
IF(IF(Tabla19[[#This Row],[Comp3]]=0,0,1)*$D87-Tabla19[[#This Row],[Asign3]]=0,0,Tabla19[[#This Row],[Comp3]]))</f>
        <v/>
      </c>
      <c r="R87" s="85" t="str">
        <f>IF(Tabla19[[#This Row],[Comp4]]="","",
IF(IF(Tabla19[[#This Row],[Comp4]]=0,0,1)*$D87-Tabla19[[#This Row],[Asign4]]=0,0,Tabla19[[#This Row],[Comp4]]))</f>
        <v/>
      </c>
      <c r="S87" s="85" t="str">
        <f>IF(Tabla19[[#This Row],[Comp5]]="","",
IF(IF(Tabla19[[#This Row],[Comp5]]=0,0,1)*$D87-Tabla19[[#This Row],[Asign5]]=0,0,Tabla19[[#This Row],[Comp5]]))</f>
        <v/>
      </c>
    </row>
    <row r="88" spans="5:19" x14ac:dyDescent="0.3">
      <c r="E88" s="99" t="str">
        <f>IF($A88="","",INDEX(ListadoProductos[],MATCH('2.C_Datos'!$C88,ListadoProductos[Productos],0),MATCH('2.C_Datos'!E$3,ListadoProductos[#Headers],0)))</f>
        <v/>
      </c>
      <c r="F88" s="99" t="str">
        <f>IF($A88="","",INDEX(ListadoProductos[],MATCH('2.C_Datos'!$C88,ListadoProductos[Productos],0),MATCH('2.C_Datos'!F$3,ListadoProductos[#Headers],0)))</f>
        <v/>
      </c>
      <c r="G88" s="99" t="str">
        <f>IF($A88="","",INDEX(ListadoProductos[],MATCH('2.C_Datos'!$C88,ListadoProductos[Productos],0),MATCH('2.C_Datos'!G$3,ListadoProductos[#Headers],0)))</f>
        <v/>
      </c>
      <c r="H88" s="99" t="str">
        <f>IF($A88="","",INDEX(ListadoProductos[],MATCH('2.C_Datos'!$C88,ListadoProductos[Productos],0),MATCH('2.C_Datos'!H$3,ListadoProductos[#Headers],0)))</f>
        <v/>
      </c>
      <c r="I88" s="99" t="str">
        <f>IF($A88="","",INDEX(ListadoProductos[],MATCH('2.C_Datos'!$C88,ListadoProductos[Productos],0),MATCH('2.C_Datos'!I$3,ListadoProductos[#Headers],0)))</f>
        <v/>
      </c>
      <c r="J88" s="99" t="str">
        <f>IF(Tabla19[[#This Row],[Comp1]]="","",COUNTIFS(TablaMaq1[Componente],Tabla19[[#This Row],[Comp1]],TablaMaq1[ID_Pedido],'2.C_Datos'!A88)+
COUNTIFS(TablaMaq2[Componente],Tabla19[[#This Row],[Comp1]],TablaMaq2[ID_Pedido],'2.C_Datos'!A88)+
COUNTIFS(TablaMaq3[Componente],Tabla19[[#This Row],[Comp1]],TablaMaq3[ID_Pedido],'2.C_Datos'!A88)+
COUNTIFS(TablaMaq4[Componente],Tabla19[[#This Row],[Comp1]],TablaMaq4[ID_Pedido],'2.C_Datos'!A88))</f>
        <v/>
      </c>
      <c r="K88" s="99" t="str">
        <f>IF(Tabla19[[#This Row],[Comp2]]="","",COUNTIFS(TablaMaq1[Componente],Tabla19[[#This Row],[Comp2]],TablaMaq1[ID_Pedido],'2.C_Datos'!A88)+
COUNTIFS(TablaMaq2[Componente],Tabla19[[#This Row],[Comp2]],TablaMaq2[ID_Pedido],'2.C_Datos'!A88)+
COUNTIFS(TablaMaq3[Componente],Tabla19[[#This Row],[Comp2]],TablaMaq3[ID_Pedido],'2.C_Datos'!A88)+
COUNTIFS(TablaMaq4[Componente],Tabla19[[#This Row],[Comp2]],TablaMaq4[ID_Pedido],'2.C_Datos'!A88))</f>
        <v/>
      </c>
      <c r="L88" s="99" t="str">
        <f>IF(Tabla19[[#This Row],[Comp3]]="","",COUNTIFS(TablaMaq1[Componente],Tabla19[[#This Row],[Comp3]],TablaMaq1[ID_Pedido],'2.C_Datos'!A88)+
COUNTIFS(TablaMaq2[Componente],Tabla19[[#This Row],[Comp3]],TablaMaq2[ID_Pedido],'2.C_Datos'!A88)+
COUNTIFS(TablaMaq3[Componente],Tabla19[[#This Row],[Comp3]],TablaMaq3[ID_Pedido],'2.C_Datos'!A88)+
COUNTIFS(TablaMaq4[Componente],Tabla19[[#This Row],[Comp3]],TablaMaq4[ID_Pedido],'2.C_Datos'!A88))</f>
        <v/>
      </c>
      <c r="M88" s="99" t="str">
        <f>IF(Tabla19[[#This Row],[Comp4]]="","",COUNTIFS(TablaMaq1[Componente],Tabla19[[#This Row],[Comp4]],TablaMaq1[ID_Pedido],'2.C_Datos'!A88)+
COUNTIFS(TablaMaq2[Componente],Tabla19[[#This Row],[Comp4]],TablaMaq2[ID_Pedido],'2.C_Datos'!A88)+
COUNTIFS(TablaMaq3[Componente],Tabla19[[#This Row],[Comp4]],TablaMaq3[ID_Pedido],'2.C_Datos'!A88)+
COUNTIFS(TablaMaq4[Componente],Tabla19[[#This Row],[Comp4]],TablaMaq4[ID_Pedido],'2.C_Datos'!A88))</f>
        <v/>
      </c>
      <c r="N88" s="99" t="str">
        <f>IF(Tabla19[[#This Row],[Comp5]]="","",COUNTIFS(TablaMaq1[Componente],Tabla19[[#This Row],[Comp5]],TablaMaq1[ID_Pedido],'2.C_Datos'!A88)+
COUNTIFS(TablaMaq1[Componente],Tabla19[[#This Row],[Comp5]],TablaMaq2[ID_Pedido],'2.C_Datos'!A88)+
COUNTIFS(TablaMaq1[Componente],Tabla19[[#This Row],[Comp5]],TablaMaq3[ID_Pedido],'2.C_Datos'!A88)+
COUNTIFS(TablaMaq1[Componente],Tabla19[[#This Row],[Comp5]],TablaMaq4[ID_Pedido],'2.C_Datos'!A88))</f>
        <v/>
      </c>
      <c r="O88" s="85" t="str">
        <f>IF(Tabla19[[#This Row],[Comp1]]="","",
IF(IF(Tabla19[[#This Row],[Comp1]]=0,0,1)*$D88-Tabla19[[#This Row],[Asign1]]=0,0,Tabla19[[#This Row],[Comp1]]))</f>
        <v/>
      </c>
      <c r="P88" s="85" t="str">
        <f>IF(Tabla19[[#This Row],[Comp2]]="","",
IF(IF(Tabla19[[#This Row],[Comp2]]=0,0,1)*$D88-Tabla19[[#This Row],[Asign2]]=0,0,Tabla19[[#This Row],[Comp2]]))</f>
        <v/>
      </c>
      <c r="Q88" s="85" t="str">
        <f>IF(Tabla19[[#This Row],[Comp3]]="","",
IF(IF(Tabla19[[#This Row],[Comp3]]=0,0,1)*$D88-Tabla19[[#This Row],[Asign3]]=0,0,Tabla19[[#This Row],[Comp3]]))</f>
        <v/>
      </c>
      <c r="R88" s="85" t="str">
        <f>IF(Tabla19[[#This Row],[Comp4]]="","",
IF(IF(Tabla19[[#This Row],[Comp4]]=0,0,1)*$D88-Tabla19[[#This Row],[Asign4]]=0,0,Tabla19[[#This Row],[Comp4]]))</f>
        <v/>
      </c>
      <c r="S88" s="85" t="str">
        <f>IF(Tabla19[[#This Row],[Comp5]]="","",
IF(IF(Tabla19[[#This Row],[Comp5]]=0,0,1)*$D88-Tabla19[[#This Row],[Asign5]]=0,0,Tabla19[[#This Row],[Comp5]]))</f>
        <v/>
      </c>
    </row>
    <row r="89" spans="5:19" x14ac:dyDescent="0.3">
      <c r="E89" s="99" t="str">
        <f>IF($A89="","",INDEX(ListadoProductos[],MATCH('2.C_Datos'!$C89,ListadoProductos[Productos],0),MATCH('2.C_Datos'!E$3,ListadoProductos[#Headers],0)))</f>
        <v/>
      </c>
      <c r="F89" s="99" t="str">
        <f>IF($A89="","",INDEX(ListadoProductos[],MATCH('2.C_Datos'!$C89,ListadoProductos[Productos],0),MATCH('2.C_Datos'!F$3,ListadoProductos[#Headers],0)))</f>
        <v/>
      </c>
      <c r="G89" s="99" t="str">
        <f>IF($A89="","",INDEX(ListadoProductos[],MATCH('2.C_Datos'!$C89,ListadoProductos[Productos],0),MATCH('2.C_Datos'!G$3,ListadoProductos[#Headers],0)))</f>
        <v/>
      </c>
      <c r="H89" s="99" t="str">
        <f>IF($A89="","",INDEX(ListadoProductos[],MATCH('2.C_Datos'!$C89,ListadoProductos[Productos],0),MATCH('2.C_Datos'!H$3,ListadoProductos[#Headers],0)))</f>
        <v/>
      </c>
      <c r="I89" s="99" t="str">
        <f>IF($A89="","",INDEX(ListadoProductos[],MATCH('2.C_Datos'!$C89,ListadoProductos[Productos],0),MATCH('2.C_Datos'!I$3,ListadoProductos[#Headers],0)))</f>
        <v/>
      </c>
      <c r="J89" s="99" t="str">
        <f>IF(Tabla19[[#This Row],[Comp1]]="","",COUNTIFS(TablaMaq1[Componente],Tabla19[[#This Row],[Comp1]],TablaMaq1[ID_Pedido],'2.C_Datos'!A89)+
COUNTIFS(TablaMaq2[Componente],Tabla19[[#This Row],[Comp1]],TablaMaq2[ID_Pedido],'2.C_Datos'!A89)+
COUNTIFS(TablaMaq3[Componente],Tabla19[[#This Row],[Comp1]],TablaMaq3[ID_Pedido],'2.C_Datos'!A89)+
COUNTIFS(TablaMaq4[Componente],Tabla19[[#This Row],[Comp1]],TablaMaq4[ID_Pedido],'2.C_Datos'!A89))</f>
        <v/>
      </c>
      <c r="K89" s="99" t="str">
        <f>IF(Tabla19[[#This Row],[Comp2]]="","",COUNTIFS(TablaMaq1[Componente],Tabla19[[#This Row],[Comp2]],TablaMaq1[ID_Pedido],'2.C_Datos'!A89)+
COUNTIFS(TablaMaq2[Componente],Tabla19[[#This Row],[Comp2]],TablaMaq2[ID_Pedido],'2.C_Datos'!A89)+
COUNTIFS(TablaMaq3[Componente],Tabla19[[#This Row],[Comp2]],TablaMaq3[ID_Pedido],'2.C_Datos'!A89)+
COUNTIFS(TablaMaq4[Componente],Tabla19[[#This Row],[Comp2]],TablaMaq4[ID_Pedido],'2.C_Datos'!A89))</f>
        <v/>
      </c>
      <c r="L89" s="99" t="str">
        <f>IF(Tabla19[[#This Row],[Comp3]]="","",COUNTIFS(TablaMaq1[Componente],Tabla19[[#This Row],[Comp3]],TablaMaq1[ID_Pedido],'2.C_Datos'!A89)+
COUNTIFS(TablaMaq2[Componente],Tabla19[[#This Row],[Comp3]],TablaMaq2[ID_Pedido],'2.C_Datos'!A89)+
COUNTIFS(TablaMaq3[Componente],Tabla19[[#This Row],[Comp3]],TablaMaq3[ID_Pedido],'2.C_Datos'!A89)+
COUNTIFS(TablaMaq4[Componente],Tabla19[[#This Row],[Comp3]],TablaMaq4[ID_Pedido],'2.C_Datos'!A89))</f>
        <v/>
      </c>
      <c r="M89" s="99" t="str">
        <f>IF(Tabla19[[#This Row],[Comp4]]="","",COUNTIFS(TablaMaq1[Componente],Tabla19[[#This Row],[Comp4]],TablaMaq1[ID_Pedido],'2.C_Datos'!A89)+
COUNTIFS(TablaMaq2[Componente],Tabla19[[#This Row],[Comp4]],TablaMaq2[ID_Pedido],'2.C_Datos'!A89)+
COUNTIFS(TablaMaq3[Componente],Tabla19[[#This Row],[Comp4]],TablaMaq3[ID_Pedido],'2.C_Datos'!A89)+
COUNTIFS(TablaMaq4[Componente],Tabla19[[#This Row],[Comp4]],TablaMaq4[ID_Pedido],'2.C_Datos'!A89))</f>
        <v/>
      </c>
      <c r="N89" s="99" t="str">
        <f>IF(Tabla19[[#This Row],[Comp5]]="","",COUNTIFS(TablaMaq1[Componente],Tabla19[[#This Row],[Comp5]],TablaMaq1[ID_Pedido],'2.C_Datos'!A89)+
COUNTIFS(TablaMaq1[Componente],Tabla19[[#This Row],[Comp5]],TablaMaq2[ID_Pedido],'2.C_Datos'!A89)+
COUNTIFS(TablaMaq1[Componente],Tabla19[[#This Row],[Comp5]],TablaMaq3[ID_Pedido],'2.C_Datos'!A89)+
COUNTIFS(TablaMaq1[Componente],Tabla19[[#This Row],[Comp5]],TablaMaq4[ID_Pedido],'2.C_Datos'!A89))</f>
        <v/>
      </c>
      <c r="O89" s="85" t="str">
        <f>IF(Tabla19[[#This Row],[Comp1]]="","",
IF(IF(Tabla19[[#This Row],[Comp1]]=0,0,1)*$D89-Tabla19[[#This Row],[Asign1]]=0,0,Tabla19[[#This Row],[Comp1]]))</f>
        <v/>
      </c>
      <c r="P89" s="85" t="str">
        <f>IF(Tabla19[[#This Row],[Comp2]]="","",
IF(IF(Tabla19[[#This Row],[Comp2]]=0,0,1)*$D89-Tabla19[[#This Row],[Asign2]]=0,0,Tabla19[[#This Row],[Comp2]]))</f>
        <v/>
      </c>
      <c r="Q89" s="85" t="str">
        <f>IF(Tabla19[[#This Row],[Comp3]]="","",
IF(IF(Tabla19[[#This Row],[Comp3]]=0,0,1)*$D89-Tabla19[[#This Row],[Asign3]]=0,0,Tabla19[[#This Row],[Comp3]]))</f>
        <v/>
      </c>
      <c r="R89" s="85" t="str">
        <f>IF(Tabla19[[#This Row],[Comp4]]="","",
IF(IF(Tabla19[[#This Row],[Comp4]]=0,0,1)*$D89-Tabla19[[#This Row],[Asign4]]=0,0,Tabla19[[#This Row],[Comp4]]))</f>
        <v/>
      </c>
      <c r="S89" s="85" t="str">
        <f>IF(Tabla19[[#This Row],[Comp5]]="","",
IF(IF(Tabla19[[#This Row],[Comp5]]=0,0,1)*$D89-Tabla19[[#This Row],[Asign5]]=0,0,Tabla19[[#This Row],[Comp5]]))</f>
        <v/>
      </c>
    </row>
    <row r="90" spans="5:19" x14ac:dyDescent="0.3">
      <c r="E90" s="99" t="str">
        <f>IF($A90="","",INDEX(ListadoProductos[],MATCH('2.C_Datos'!$C90,ListadoProductos[Productos],0),MATCH('2.C_Datos'!E$3,ListadoProductos[#Headers],0)))</f>
        <v/>
      </c>
      <c r="F90" s="99" t="str">
        <f>IF($A90="","",INDEX(ListadoProductos[],MATCH('2.C_Datos'!$C90,ListadoProductos[Productos],0),MATCH('2.C_Datos'!F$3,ListadoProductos[#Headers],0)))</f>
        <v/>
      </c>
      <c r="G90" s="99" t="str">
        <f>IF($A90="","",INDEX(ListadoProductos[],MATCH('2.C_Datos'!$C90,ListadoProductos[Productos],0),MATCH('2.C_Datos'!G$3,ListadoProductos[#Headers],0)))</f>
        <v/>
      </c>
      <c r="H90" s="99" t="str">
        <f>IF($A90="","",INDEX(ListadoProductos[],MATCH('2.C_Datos'!$C90,ListadoProductos[Productos],0),MATCH('2.C_Datos'!H$3,ListadoProductos[#Headers],0)))</f>
        <v/>
      </c>
      <c r="I90" s="99" t="str">
        <f>IF($A90="","",INDEX(ListadoProductos[],MATCH('2.C_Datos'!$C90,ListadoProductos[Productos],0),MATCH('2.C_Datos'!I$3,ListadoProductos[#Headers],0)))</f>
        <v/>
      </c>
      <c r="J90" s="99" t="str">
        <f>IF(Tabla19[[#This Row],[Comp1]]="","",COUNTIFS(TablaMaq1[Componente],Tabla19[[#This Row],[Comp1]],TablaMaq1[ID_Pedido],'2.C_Datos'!A90)+
COUNTIFS(TablaMaq2[Componente],Tabla19[[#This Row],[Comp1]],TablaMaq2[ID_Pedido],'2.C_Datos'!A90)+
COUNTIFS(TablaMaq3[Componente],Tabla19[[#This Row],[Comp1]],TablaMaq3[ID_Pedido],'2.C_Datos'!A90)+
COUNTIFS(TablaMaq4[Componente],Tabla19[[#This Row],[Comp1]],TablaMaq4[ID_Pedido],'2.C_Datos'!A90))</f>
        <v/>
      </c>
      <c r="K90" s="99" t="str">
        <f>IF(Tabla19[[#This Row],[Comp2]]="","",COUNTIFS(TablaMaq1[Componente],Tabla19[[#This Row],[Comp2]],TablaMaq1[ID_Pedido],'2.C_Datos'!A90)+
COUNTIFS(TablaMaq2[Componente],Tabla19[[#This Row],[Comp2]],TablaMaq2[ID_Pedido],'2.C_Datos'!A90)+
COUNTIFS(TablaMaq3[Componente],Tabla19[[#This Row],[Comp2]],TablaMaq3[ID_Pedido],'2.C_Datos'!A90)+
COUNTIFS(TablaMaq4[Componente],Tabla19[[#This Row],[Comp2]],TablaMaq4[ID_Pedido],'2.C_Datos'!A90))</f>
        <v/>
      </c>
      <c r="L90" s="99" t="str">
        <f>IF(Tabla19[[#This Row],[Comp3]]="","",COUNTIFS(TablaMaq1[Componente],Tabla19[[#This Row],[Comp3]],TablaMaq1[ID_Pedido],'2.C_Datos'!A90)+
COUNTIFS(TablaMaq2[Componente],Tabla19[[#This Row],[Comp3]],TablaMaq2[ID_Pedido],'2.C_Datos'!A90)+
COUNTIFS(TablaMaq3[Componente],Tabla19[[#This Row],[Comp3]],TablaMaq3[ID_Pedido],'2.C_Datos'!A90)+
COUNTIFS(TablaMaq4[Componente],Tabla19[[#This Row],[Comp3]],TablaMaq4[ID_Pedido],'2.C_Datos'!A90))</f>
        <v/>
      </c>
      <c r="M90" s="99" t="str">
        <f>IF(Tabla19[[#This Row],[Comp4]]="","",COUNTIFS(TablaMaq1[Componente],Tabla19[[#This Row],[Comp4]],TablaMaq1[ID_Pedido],'2.C_Datos'!A90)+
COUNTIFS(TablaMaq2[Componente],Tabla19[[#This Row],[Comp4]],TablaMaq2[ID_Pedido],'2.C_Datos'!A90)+
COUNTIFS(TablaMaq3[Componente],Tabla19[[#This Row],[Comp4]],TablaMaq3[ID_Pedido],'2.C_Datos'!A90)+
COUNTIFS(TablaMaq4[Componente],Tabla19[[#This Row],[Comp4]],TablaMaq4[ID_Pedido],'2.C_Datos'!A90))</f>
        <v/>
      </c>
      <c r="N90" s="99" t="str">
        <f>IF(Tabla19[[#This Row],[Comp5]]="","",COUNTIFS(TablaMaq1[Componente],Tabla19[[#This Row],[Comp5]],TablaMaq1[ID_Pedido],'2.C_Datos'!A90)+
COUNTIFS(TablaMaq1[Componente],Tabla19[[#This Row],[Comp5]],TablaMaq2[ID_Pedido],'2.C_Datos'!A90)+
COUNTIFS(TablaMaq1[Componente],Tabla19[[#This Row],[Comp5]],TablaMaq3[ID_Pedido],'2.C_Datos'!A90)+
COUNTIFS(TablaMaq1[Componente],Tabla19[[#This Row],[Comp5]],TablaMaq4[ID_Pedido],'2.C_Datos'!A90))</f>
        <v/>
      </c>
      <c r="O90" s="85" t="str">
        <f>IF(Tabla19[[#This Row],[Comp1]]="","",
IF(IF(Tabla19[[#This Row],[Comp1]]=0,0,1)*$D90-Tabla19[[#This Row],[Asign1]]=0,0,Tabla19[[#This Row],[Comp1]]))</f>
        <v/>
      </c>
      <c r="P90" s="85" t="str">
        <f>IF(Tabla19[[#This Row],[Comp2]]="","",
IF(IF(Tabla19[[#This Row],[Comp2]]=0,0,1)*$D90-Tabla19[[#This Row],[Asign2]]=0,0,Tabla19[[#This Row],[Comp2]]))</f>
        <v/>
      </c>
      <c r="Q90" s="85" t="str">
        <f>IF(Tabla19[[#This Row],[Comp3]]="","",
IF(IF(Tabla19[[#This Row],[Comp3]]=0,0,1)*$D90-Tabla19[[#This Row],[Asign3]]=0,0,Tabla19[[#This Row],[Comp3]]))</f>
        <v/>
      </c>
      <c r="R90" s="85" t="str">
        <f>IF(Tabla19[[#This Row],[Comp4]]="","",
IF(IF(Tabla19[[#This Row],[Comp4]]=0,0,1)*$D90-Tabla19[[#This Row],[Asign4]]=0,0,Tabla19[[#This Row],[Comp4]]))</f>
        <v/>
      </c>
      <c r="S90" s="85" t="str">
        <f>IF(Tabla19[[#This Row],[Comp5]]="","",
IF(IF(Tabla19[[#This Row],[Comp5]]=0,0,1)*$D90-Tabla19[[#This Row],[Asign5]]=0,0,Tabla19[[#This Row],[Comp5]]))</f>
        <v/>
      </c>
    </row>
    <row r="91" spans="5:19" x14ac:dyDescent="0.3">
      <c r="E91" s="99" t="str">
        <f>IF($A91="","",INDEX(ListadoProductos[],MATCH('2.C_Datos'!$C91,ListadoProductos[Productos],0),MATCH('2.C_Datos'!E$3,ListadoProductos[#Headers],0)))</f>
        <v/>
      </c>
      <c r="F91" s="99" t="str">
        <f>IF($A91="","",INDEX(ListadoProductos[],MATCH('2.C_Datos'!$C91,ListadoProductos[Productos],0),MATCH('2.C_Datos'!F$3,ListadoProductos[#Headers],0)))</f>
        <v/>
      </c>
      <c r="G91" s="99" t="str">
        <f>IF($A91="","",INDEX(ListadoProductos[],MATCH('2.C_Datos'!$C91,ListadoProductos[Productos],0),MATCH('2.C_Datos'!G$3,ListadoProductos[#Headers],0)))</f>
        <v/>
      </c>
      <c r="H91" s="99" t="str">
        <f>IF($A91="","",INDEX(ListadoProductos[],MATCH('2.C_Datos'!$C91,ListadoProductos[Productos],0),MATCH('2.C_Datos'!H$3,ListadoProductos[#Headers],0)))</f>
        <v/>
      </c>
      <c r="I91" s="99" t="str">
        <f>IF($A91="","",INDEX(ListadoProductos[],MATCH('2.C_Datos'!$C91,ListadoProductos[Productos],0),MATCH('2.C_Datos'!I$3,ListadoProductos[#Headers],0)))</f>
        <v/>
      </c>
      <c r="J91" s="99" t="str">
        <f>IF(Tabla19[[#This Row],[Comp1]]="","",COUNTIFS(TablaMaq1[Componente],Tabla19[[#This Row],[Comp1]],TablaMaq1[ID_Pedido],'2.C_Datos'!A91)+
COUNTIFS(TablaMaq2[Componente],Tabla19[[#This Row],[Comp1]],TablaMaq2[ID_Pedido],'2.C_Datos'!A91)+
COUNTIFS(TablaMaq3[Componente],Tabla19[[#This Row],[Comp1]],TablaMaq3[ID_Pedido],'2.C_Datos'!A91)+
COUNTIFS(TablaMaq4[Componente],Tabla19[[#This Row],[Comp1]],TablaMaq4[ID_Pedido],'2.C_Datos'!A91))</f>
        <v/>
      </c>
      <c r="K91" s="99" t="str">
        <f>IF(Tabla19[[#This Row],[Comp2]]="","",COUNTIFS(TablaMaq1[Componente],Tabla19[[#This Row],[Comp2]],TablaMaq1[ID_Pedido],'2.C_Datos'!A91)+
COUNTIFS(TablaMaq2[Componente],Tabla19[[#This Row],[Comp2]],TablaMaq2[ID_Pedido],'2.C_Datos'!A91)+
COUNTIFS(TablaMaq3[Componente],Tabla19[[#This Row],[Comp2]],TablaMaq3[ID_Pedido],'2.C_Datos'!A91)+
COUNTIFS(TablaMaq4[Componente],Tabla19[[#This Row],[Comp2]],TablaMaq4[ID_Pedido],'2.C_Datos'!A91))</f>
        <v/>
      </c>
      <c r="L91" s="99" t="str">
        <f>IF(Tabla19[[#This Row],[Comp3]]="","",COUNTIFS(TablaMaq1[Componente],Tabla19[[#This Row],[Comp3]],TablaMaq1[ID_Pedido],'2.C_Datos'!A91)+
COUNTIFS(TablaMaq2[Componente],Tabla19[[#This Row],[Comp3]],TablaMaq2[ID_Pedido],'2.C_Datos'!A91)+
COUNTIFS(TablaMaq3[Componente],Tabla19[[#This Row],[Comp3]],TablaMaq3[ID_Pedido],'2.C_Datos'!A91)+
COUNTIFS(TablaMaq4[Componente],Tabla19[[#This Row],[Comp3]],TablaMaq4[ID_Pedido],'2.C_Datos'!A91))</f>
        <v/>
      </c>
      <c r="M91" s="99" t="str">
        <f>IF(Tabla19[[#This Row],[Comp4]]="","",COUNTIFS(TablaMaq1[Componente],Tabla19[[#This Row],[Comp4]],TablaMaq1[ID_Pedido],'2.C_Datos'!A91)+
COUNTIFS(TablaMaq2[Componente],Tabla19[[#This Row],[Comp4]],TablaMaq2[ID_Pedido],'2.C_Datos'!A91)+
COUNTIFS(TablaMaq3[Componente],Tabla19[[#This Row],[Comp4]],TablaMaq3[ID_Pedido],'2.C_Datos'!A91)+
COUNTIFS(TablaMaq4[Componente],Tabla19[[#This Row],[Comp4]],TablaMaq4[ID_Pedido],'2.C_Datos'!A91))</f>
        <v/>
      </c>
      <c r="N91" s="99" t="str">
        <f>IF(Tabla19[[#This Row],[Comp5]]="","",COUNTIFS(TablaMaq1[Componente],Tabla19[[#This Row],[Comp5]],TablaMaq1[ID_Pedido],'2.C_Datos'!A91)+
COUNTIFS(TablaMaq1[Componente],Tabla19[[#This Row],[Comp5]],TablaMaq2[ID_Pedido],'2.C_Datos'!A91)+
COUNTIFS(TablaMaq1[Componente],Tabla19[[#This Row],[Comp5]],TablaMaq3[ID_Pedido],'2.C_Datos'!A91)+
COUNTIFS(TablaMaq1[Componente],Tabla19[[#This Row],[Comp5]],TablaMaq4[ID_Pedido],'2.C_Datos'!A91))</f>
        <v/>
      </c>
      <c r="O91" s="85" t="str">
        <f>IF(Tabla19[[#This Row],[Comp1]]="","",
IF(IF(Tabla19[[#This Row],[Comp1]]=0,0,1)*$D91-Tabla19[[#This Row],[Asign1]]=0,0,Tabla19[[#This Row],[Comp1]]))</f>
        <v/>
      </c>
      <c r="P91" s="85" t="str">
        <f>IF(Tabla19[[#This Row],[Comp2]]="","",
IF(IF(Tabla19[[#This Row],[Comp2]]=0,0,1)*$D91-Tabla19[[#This Row],[Asign2]]=0,0,Tabla19[[#This Row],[Comp2]]))</f>
        <v/>
      </c>
      <c r="Q91" s="85" t="str">
        <f>IF(Tabla19[[#This Row],[Comp3]]="","",
IF(IF(Tabla19[[#This Row],[Comp3]]=0,0,1)*$D91-Tabla19[[#This Row],[Asign3]]=0,0,Tabla19[[#This Row],[Comp3]]))</f>
        <v/>
      </c>
      <c r="R91" s="85" t="str">
        <f>IF(Tabla19[[#This Row],[Comp4]]="","",
IF(IF(Tabla19[[#This Row],[Comp4]]=0,0,1)*$D91-Tabla19[[#This Row],[Asign4]]=0,0,Tabla19[[#This Row],[Comp4]]))</f>
        <v/>
      </c>
      <c r="S91" s="85" t="str">
        <f>IF(Tabla19[[#This Row],[Comp5]]="","",
IF(IF(Tabla19[[#This Row],[Comp5]]=0,0,1)*$D91-Tabla19[[#This Row],[Asign5]]=0,0,Tabla19[[#This Row],[Comp5]]))</f>
        <v/>
      </c>
    </row>
    <row r="92" spans="5:19" x14ac:dyDescent="0.3">
      <c r="E92" s="99" t="str">
        <f>IF($A92="","",INDEX(ListadoProductos[],MATCH('2.C_Datos'!$C92,ListadoProductos[Productos],0),MATCH('2.C_Datos'!E$3,ListadoProductos[#Headers],0)))</f>
        <v/>
      </c>
      <c r="F92" s="99" t="str">
        <f>IF($A92="","",INDEX(ListadoProductos[],MATCH('2.C_Datos'!$C92,ListadoProductos[Productos],0),MATCH('2.C_Datos'!F$3,ListadoProductos[#Headers],0)))</f>
        <v/>
      </c>
      <c r="G92" s="99" t="str">
        <f>IF($A92="","",INDEX(ListadoProductos[],MATCH('2.C_Datos'!$C92,ListadoProductos[Productos],0),MATCH('2.C_Datos'!G$3,ListadoProductos[#Headers],0)))</f>
        <v/>
      </c>
      <c r="H92" s="99" t="str">
        <f>IF($A92="","",INDEX(ListadoProductos[],MATCH('2.C_Datos'!$C92,ListadoProductos[Productos],0),MATCH('2.C_Datos'!H$3,ListadoProductos[#Headers],0)))</f>
        <v/>
      </c>
      <c r="I92" s="99" t="str">
        <f>IF($A92="","",INDEX(ListadoProductos[],MATCH('2.C_Datos'!$C92,ListadoProductos[Productos],0),MATCH('2.C_Datos'!I$3,ListadoProductos[#Headers],0)))</f>
        <v/>
      </c>
      <c r="J92" s="99" t="str">
        <f>IF(Tabla19[[#This Row],[Comp1]]="","",COUNTIFS(TablaMaq1[Componente],Tabla19[[#This Row],[Comp1]],TablaMaq1[ID_Pedido],'2.C_Datos'!A92)+
COUNTIFS(TablaMaq2[Componente],Tabla19[[#This Row],[Comp1]],TablaMaq2[ID_Pedido],'2.C_Datos'!A92)+
COUNTIFS(TablaMaq3[Componente],Tabla19[[#This Row],[Comp1]],TablaMaq3[ID_Pedido],'2.C_Datos'!A92)+
COUNTIFS(TablaMaq4[Componente],Tabla19[[#This Row],[Comp1]],TablaMaq4[ID_Pedido],'2.C_Datos'!A92))</f>
        <v/>
      </c>
      <c r="K92" s="99" t="str">
        <f>IF(Tabla19[[#This Row],[Comp2]]="","",COUNTIFS(TablaMaq1[Componente],Tabla19[[#This Row],[Comp2]],TablaMaq1[ID_Pedido],'2.C_Datos'!A92)+
COUNTIFS(TablaMaq2[Componente],Tabla19[[#This Row],[Comp2]],TablaMaq2[ID_Pedido],'2.C_Datos'!A92)+
COUNTIFS(TablaMaq3[Componente],Tabla19[[#This Row],[Comp2]],TablaMaq3[ID_Pedido],'2.C_Datos'!A92)+
COUNTIFS(TablaMaq4[Componente],Tabla19[[#This Row],[Comp2]],TablaMaq4[ID_Pedido],'2.C_Datos'!A92))</f>
        <v/>
      </c>
      <c r="L92" s="99" t="str">
        <f>IF(Tabla19[[#This Row],[Comp3]]="","",COUNTIFS(TablaMaq1[Componente],Tabla19[[#This Row],[Comp3]],TablaMaq1[ID_Pedido],'2.C_Datos'!A92)+
COUNTIFS(TablaMaq2[Componente],Tabla19[[#This Row],[Comp3]],TablaMaq2[ID_Pedido],'2.C_Datos'!A92)+
COUNTIFS(TablaMaq3[Componente],Tabla19[[#This Row],[Comp3]],TablaMaq3[ID_Pedido],'2.C_Datos'!A92)+
COUNTIFS(TablaMaq4[Componente],Tabla19[[#This Row],[Comp3]],TablaMaq4[ID_Pedido],'2.C_Datos'!A92))</f>
        <v/>
      </c>
      <c r="M92" s="99" t="str">
        <f>IF(Tabla19[[#This Row],[Comp4]]="","",COUNTIFS(TablaMaq1[Componente],Tabla19[[#This Row],[Comp4]],TablaMaq1[ID_Pedido],'2.C_Datos'!A92)+
COUNTIFS(TablaMaq2[Componente],Tabla19[[#This Row],[Comp4]],TablaMaq2[ID_Pedido],'2.C_Datos'!A92)+
COUNTIFS(TablaMaq3[Componente],Tabla19[[#This Row],[Comp4]],TablaMaq3[ID_Pedido],'2.C_Datos'!A92)+
COUNTIFS(TablaMaq4[Componente],Tabla19[[#This Row],[Comp4]],TablaMaq4[ID_Pedido],'2.C_Datos'!A92))</f>
        <v/>
      </c>
      <c r="N92" s="99" t="str">
        <f>IF(Tabla19[[#This Row],[Comp5]]="","",COUNTIFS(TablaMaq1[Componente],Tabla19[[#This Row],[Comp5]],TablaMaq1[ID_Pedido],'2.C_Datos'!A92)+
COUNTIFS(TablaMaq1[Componente],Tabla19[[#This Row],[Comp5]],TablaMaq2[ID_Pedido],'2.C_Datos'!A92)+
COUNTIFS(TablaMaq1[Componente],Tabla19[[#This Row],[Comp5]],TablaMaq3[ID_Pedido],'2.C_Datos'!A92)+
COUNTIFS(TablaMaq1[Componente],Tabla19[[#This Row],[Comp5]],TablaMaq4[ID_Pedido],'2.C_Datos'!A92))</f>
        <v/>
      </c>
      <c r="O92" s="85" t="str">
        <f>IF(Tabla19[[#This Row],[Comp1]]="","",
IF(IF(Tabla19[[#This Row],[Comp1]]=0,0,1)*$D92-Tabla19[[#This Row],[Asign1]]=0,0,Tabla19[[#This Row],[Comp1]]))</f>
        <v/>
      </c>
      <c r="P92" s="85" t="str">
        <f>IF(Tabla19[[#This Row],[Comp2]]="","",
IF(IF(Tabla19[[#This Row],[Comp2]]=0,0,1)*$D92-Tabla19[[#This Row],[Asign2]]=0,0,Tabla19[[#This Row],[Comp2]]))</f>
        <v/>
      </c>
      <c r="Q92" s="85" t="str">
        <f>IF(Tabla19[[#This Row],[Comp3]]="","",
IF(IF(Tabla19[[#This Row],[Comp3]]=0,0,1)*$D92-Tabla19[[#This Row],[Asign3]]=0,0,Tabla19[[#This Row],[Comp3]]))</f>
        <v/>
      </c>
      <c r="R92" s="85" t="str">
        <f>IF(Tabla19[[#This Row],[Comp4]]="","",
IF(IF(Tabla19[[#This Row],[Comp4]]=0,0,1)*$D92-Tabla19[[#This Row],[Asign4]]=0,0,Tabla19[[#This Row],[Comp4]]))</f>
        <v/>
      </c>
      <c r="S92" s="85" t="str">
        <f>IF(Tabla19[[#This Row],[Comp5]]="","",
IF(IF(Tabla19[[#This Row],[Comp5]]=0,0,1)*$D92-Tabla19[[#This Row],[Asign5]]=0,0,Tabla19[[#This Row],[Comp5]]))</f>
        <v/>
      </c>
    </row>
    <row r="93" spans="5:19" x14ac:dyDescent="0.3">
      <c r="E93" s="99" t="str">
        <f>IF($A93="","",INDEX(ListadoProductos[],MATCH('2.C_Datos'!$C93,ListadoProductos[Productos],0),MATCH('2.C_Datos'!E$3,ListadoProductos[#Headers],0)))</f>
        <v/>
      </c>
      <c r="F93" s="99" t="str">
        <f>IF($A93="","",INDEX(ListadoProductos[],MATCH('2.C_Datos'!$C93,ListadoProductos[Productos],0),MATCH('2.C_Datos'!F$3,ListadoProductos[#Headers],0)))</f>
        <v/>
      </c>
      <c r="G93" s="99" t="str">
        <f>IF($A93="","",INDEX(ListadoProductos[],MATCH('2.C_Datos'!$C93,ListadoProductos[Productos],0),MATCH('2.C_Datos'!G$3,ListadoProductos[#Headers],0)))</f>
        <v/>
      </c>
      <c r="H93" s="99" t="str">
        <f>IF($A93="","",INDEX(ListadoProductos[],MATCH('2.C_Datos'!$C93,ListadoProductos[Productos],0),MATCH('2.C_Datos'!H$3,ListadoProductos[#Headers],0)))</f>
        <v/>
      </c>
      <c r="I93" s="99" t="str">
        <f>IF($A93="","",INDEX(ListadoProductos[],MATCH('2.C_Datos'!$C93,ListadoProductos[Productos],0),MATCH('2.C_Datos'!I$3,ListadoProductos[#Headers],0)))</f>
        <v/>
      </c>
      <c r="J93" s="99" t="str">
        <f>IF(Tabla19[[#This Row],[Comp1]]="","",COUNTIFS(TablaMaq1[Componente],Tabla19[[#This Row],[Comp1]],TablaMaq1[ID_Pedido],'2.C_Datos'!A93)+
COUNTIFS(TablaMaq2[Componente],Tabla19[[#This Row],[Comp1]],TablaMaq2[ID_Pedido],'2.C_Datos'!A93)+
COUNTIFS(TablaMaq3[Componente],Tabla19[[#This Row],[Comp1]],TablaMaq3[ID_Pedido],'2.C_Datos'!A93)+
COUNTIFS(TablaMaq4[Componente],Tabla19[[#This Row],[Comp1]],TablaMaq4[ID_Pedido],'2.C_Datos'!A93))</f>
        <v/>
      </c>
      <c r="K93" s="99" t="str">
        <f>IF(Tabla19[[#This Row],[Comp2]]="","",COUNTIFS(TablaMaq1[Componente],Tabla19[[#This Row],[Comp2]],TablaMaq1[ID_Pedido],'2.C_Datos'!A93)+
COUNTIFS(TablaMaq2[Componente],Tabla19[[#This Row],[Comp2]],TablaMaq2[ID_Pedido],'2.C_Datos'!A93)+
COUNTIFS(TablaMaq3[Componente],Tabla19[[#This Row],[Comp2]],TablaMaq3[ID_Pedido],'2.C_Datos'!A93)+
COUNTIFS(TablaMaq4[Componente],Tabla19[[#This Row],[Comp2]],TablaMaq4[ID_Pedido],'2.C_Datos'!A93))</f>
        <v/>
      </c>
      <c r="L93" s="99" t="str">
        <f>IF(Tabla19[[#This Row],[Comp3]]="","",COUNTIFS(TablaMaq1[Componente],Tabla19[[#This Row],[Comp3]],TablaMaq1[ID_Pedido],'2.C_Datos'!A93)+
COUNTIFS(TablaMaq2[Componente],Tabla19[[#This Row],[Comp3]],TablaMaq2[ID_Pedido],'2.C_Datos'!A93)+
COUNTIFS(TablaMaq3[Componente],Tabla19[[#This Row],[Comp3]],TablaMaq3[ID_Pedido],'2.C_Datos'!A93)+
COUNTIFS(TablaMaq4[Componente],Tabla19[[#This Row],[Comp3]],TablaMaq4[ID_Pedido],'2.C_Datos'!A93))</f>
        <v/>
      </c>
      <c r="M93" s="99" t="str">
        <f>IF(Tabla19[[#This Row],[Comp4]]="","",COUNTIFS(TablaMaq1[Componente],Tabla19[[#This Row],[Comp4]],TablaMaq1[ID_Pedido],'2.C_Datos'!A93)+
COUNTIFS(TablaMaq2[Componente],Tabla19[[#This Row],[Comp4]],TablaMaq2[ID_Pedido],'2.C_Datos'!A93)+
COUNTIFS(TablaMaq3[Componente],Tabla19[[#This Row],[Comp4]],TablaMaq3[ID_Pedido],'2.C_Datos'!A93)+
COUNTIFS(TablaMaq4[Componente],Tabla19[[#This Row],[Comp4]],TablaMaq4[ID_Pedido],'2.C_Datos'!A93))</f>
        <v/>
      </c>
      <c r="N93" s="99" t="str">
        <f>IF(Tabla19[[#This Row],[Comp5]]="","",COUNTIFS(TablaMaq1[Componente],Tabla19[[#This Row],[Comp5]],TablaMaq1[ID_Pedido],'2.C_Datos'!A93)+
COUNTIFS(TablaMaq1[Componente],Tabla19[[#This Row],[Comp5]],TablaMaq2[ID_Pedido],'2.C_Datos'!A93)+
COUNTIFS(TablaMaq1[Componente],Tabla19[[#This Row],[Comp5]],TablaMaq3[ID_Pedido],'2.C_Datos'!A93)+
COUNTIFS(TablaMaq1[Componente],Tabla19[[#This Row],[Comp5]],TablaMaq4[ID_Pedido],'2.C_Datos'!A93))</f>
        <v/>
      </c>
      <c r="O93" s="85" t="str">
        <f>IF(Tabla19[[#This Row],[Comp1]]="","",
IF(IF(Tabla19[[#This Row],[Comp1]]=0,0,1)*$D93-Tabla19[[#This Row],[Asign1]]=0,0,Tabla19[[#This Row],[Comp1]]))</f>
        <v/>
      </c>
      <c r="P93" s="85" t="str">
        <f>IF(Tabla19[[#This Row],[Comp2]]="","",
IF(IF(Tabla19[[#This Row],[Comp2]]=0,0,1)*$D93-Tabla19[[#This Row],[Asign2]]=0,0,Tabla19[[#This Row],[Comp2]]))</f>
        <v/>
      </c>
      <c r="Q93" s="85" t="str">
        <f>IF(Tabla19[[#This Row],[Comp3]]="","",
IF(IF(Tabla19[[#This Row],[Comp3]]=0,0,1)*$D93-Tabla19[[#This Row],[Asign3]]=0,0,Tabla19[[#This Row],[Comp3]]))</f>
        <v/>
      </c>
      <c r="R93" s="85" t="str">
        <f>IF(Tabla19[[#This Row],[Comp4]]="","",
IF(IF(Tabla19[[#This Row],[Comp4]]=0,0,1)*$D93-Tabla19[[#This Row],[Asign4]]=0,0,Tabla19[[#This Row],[Comp4]]))</f>
        <v/>
      </c>
      <c r="S93" s="85" t="str">
        <f>IF(Tabla19[[#This Row],[Comp5]]="","",
IF(IF(Tabla19[[#This Row],[Comp5]]=0,0,1)*$D93-Tabla19[[#This Row],[Asign5]]=0,0,Tabla19[[#This Row],[Comp5]]))</f>
        <v/>
      </c>
    </row>
    <row r="94" spans="5:19" x14ac:dyDescent="0.3">
      <c r="E94" s="99" t="str">
        <f>IF($A94="","",INDEX(ListadoProductos[],MATCH('2.C_Datos'!$C94,ListadoProductos[Productos],0),MATCH('2.C_Datos'!E$3,ListadoProductos[#Headers],0)))</f>
        <v/>
      </c>
      <c r="F94" s="99" t="str">
        <f>IF($A94="","",INDEX(ListadoProductos[],MATCH('2.C_Datos'!$C94,ListadoProductos[Productos],0),MATCH('2.C_Datos'!F$3,ListadoProductos[#Headers],0)))</f>
        <v/>
      </c>
      <c r="G94" s="99" t="str">
        <f>IF($A94="","",INDEX(ListadoProductos[],MATCH('2.C_Datos'!$C94,ListadoProductos[Productos],0),MATCH('2.C_Datos'!G$3,ListadoProductos[#Headers],0)))</f>
        <v/>
      </c>
      <c r="H94" s="99" t="str">
        <f>IF($A94="","",INDEX(ListadoProductos[],MATCH('2.C_Datos'!$C94,ListadoProductos[Productos],0),MATCH('2.C_Datos'!H$3,ListadoProductos[#Headers],0)))</f>
        <v/>
      </c>
      <c r="I94" s="99" t="str">
        <f>IF($A94="","",INDEX(ListadoProductos[],MATCH('2.C_Datos'!$C94,ListadoProductos[Productos],0),MATCH('2.C_Datos'!I$3,ListadoProductos[#Headers],0)))</f>
        <v/>
      </c>
      <c r="J94" s="99" t="str">
        <f>IF(Tabla19[[#This Row],[Comp1]]="","",COUNTIFS(TablaMaq1[Componente],Tabla19[[#This Row],[Comp1]],TablaMaq1[ID_Pedido],'2.C_Datos'!A94)+
COUNTIFS(TablaMaq2[Componente],Tabla19[[#This Row],[Comp1]],TablaMaq2[ID_Pedido],'2.C_Datos'!A94)+
COUNTIFS(TablaMaq3[Componente],Tabla19[[#This Row],[Comp1]],TablaMaq3[ID_Pedido],'2.C_Datos'!A94)+
COUNTIFS(TablaMaq4[Componente],Tabla19[[#This Row],[Comp1]],TablaMaq4[ID_Pedido],'2.C_Datos'!A94))</f>
        <v/>
      </c>
      <c r="K94" s="99" t="str">
        <f>IF(Tabla19[[#This Row],[Comp2]]="","",COUNTIFS(TablaMaq1[Componente],Tabla19[[#This Row],[Comp2]],TablaMaq1[ID_Pedido],'2.C_Datos'!A94)+
COUNTIFS(TablaMaq2[Componente],Tabla19[[#This Row],[Comp2]],TablaMaq2[ID_Pedido],'2.C_Datos'!A94)+
COUNTIFS(TablaMaq3[Componente],Tabla19[[#This Row],[Comp2]],TablaMaq3[ID_Pedido],'2.C_Datos'!A94)+
COUNTIFS(TablaMaq4[Componente],Tabla19[[#This Row],[Comp2]],TablaMaq4[ID_Pedido],'2.C_Datos'!A94))</f>
        <v/>
      </c>
      <c r="L94" s="99" t="str">
        <f>IF(Tabla19[[#This Row],[Comp3]]="","",COUNTIFS(TablaMaq1[Componente],Tabla19[[#This Row],[Comp3]],TablaMaq1[ID_Pedido],'2.C_Datos'!A94)+
COUNTIFS(TablaMaq2[Componente],Tabla19[[#This Row],[Comp3]],TablaMaq2[ID_Pedido],'2.C_Datos'!A94)+
COUNTIFS(TablaMaq3[Componente],Tabla19[[#This Row],[Comp3]],TablaMaq3[ID_Pedido],'2.C_Datos'!A94)+
COUNTIFS(TablaMaq4[Componente],Tabla19[[#This Row],[Comp3]],TablaMaq4[ID_Pedido],'2.C_Datos'!A94))</f>
        <v/>
      </c>
      <c r="M94" s="99" t="str">
        <f>IF(Tabla19[[#This Row],[Comp4]]="","",COUNTIFS(TablaMaq1[Componente],Tabla19[[#This Row],[Comp4]],TablaMaq1[ID_Pedido],'2.C_Datos'!A94)+
COUNTIFS(TablaMaq2[Componente],Tabla19[[#This Row],[Comp4]],TablaMaq2[ID_Pedido],'2.C_Datos'!A94)+
COUNTIFS(TablaMaq3[Componente],Tabla19[[#This Row],[Comp4]],TablaMaq3[ID_Pedido],'2.C_Datos'!A94)+
COUNTIFS(TablaMaq4[Componente],Tabla19[[#This Row],[Comp4]],TablaMaq4[ID_Pedido],'2.C_Datos'!A94))</f>
        <v/>
      </c>
      <c r="N94" s="99" t="str">
        <f>IF(Tabla19[[#This Row],[Comp5]]="","",COUNTIFS(TablaMaq1[Componente],Tabla19[[#This Row],[Comp5]],TablaMaq1[ID_Pedido],'2.C_Datos'!A94)+
COUNTIFS(TablaMaq1[Componente],Tabla19[[#This Row],[Comp5]],TablaMaq2[ID_Pedido],'2.C_Datos'!A94)+
COUNTIFS(TablaMaq1[Componente],Tabla19[[#This Row],[Comp5]],TablaMaq3[ID_Pedido],'2.C_Datos'!A94)+
COUNTIFS(TablaMaq1[Componente],Tabla19[[#This Row],[Comp5]],TablaMaq4[ID_Pedido],'2.C_Datos'!A94))</f>
        <v/>
      </c>
      <c r="O94" s="85" t="str">
        <f>IF(Tabla19[[#This Row],[Comp1]]="","",
IF(IF(Tabla19[[#This Row],[Comp1]]=0,0,1)*$D94-Tabla19[[#This Row],[Asign1]]=0,0,Tabla19[[#This Row],[Comp1]]))</f>
        <v/>
      </c>
      <c r="P94" s="85" t="str">
        <f>IF(Tabla19[[#This Row],[Comp2]]="","",
IF(IF(Tabla19[[#This Row],[Comp2]]=0,0,1)*$D94-Tabla19[[#This Row],[Asign2]]=0,0,Tabla19[[#This Row],[Comp2]]))</f>
        <v/>
      </c>
      <c r="Q94" s="85" t="str">
        <f>IF(Tabla19[[#This Row],[Comp3]]="","",
IF(IF(Tabla19[[#This Row],[Comp3]]=0,0,1)*$D94-Tabla19[[#This Row],[Asign3]]=0,0,Tabla19[[#This Row],[Comp3]]))</f>
        <v/>
      </c>
      <c r="R94" s="85" t="str">
        <f>IF(Tabla19[[#This Row],[Comp4]]="","",
IF(IF(Tabla19[[#This Row],[Comp4]]=0,0,1)*$D94-Tabla19[[#This Row],[Asign4]]=0,0,Tabla19[[#This Row],[Comp4]]))</f>
        <v/>
      </c>
      <c r="S94" s="85" t="str">
        <f>IF(Tabla19[[#This Row],[Comp5]]="","",
IF(IF(Tabla19[[#This Row],[Comp5]]=0,0,1)*$D94-Tabla19[[#This Row],[Asign5]]=0,0,Tabla19[[#This Row],[Comp5]]))</f>
        <v/>
      </c>
    </row>
    <row r="95" spans="5:19" x14ac:dyDescent="0.3">
      <c r="E95" s="99" t="str">
        <f>IF($A95="","",INDEX(ListadoProductos[],MATCH('2.C_Datos'!$C95,ListadoProductos[Productos],0),MATCH('2.C_Datos'!E$3,ListadoProductos[#Headers],0)))</f>
        <v/>
      </c>
      <c r="F95" s="99" t="str">
        <f>IF($A95="","",INDEX(ListadoProductos[],MATCH('2.C_Datos'!$C95,ListadoProductos[Productos],0),MATCH('2.C_Datos'!F$3,ListadoProductos[#Headers],0)))</f>
        <v/>
      </c>
      <c r="G95" s="99" t="str">
        <f>IF($A95="","",INDEX(ListadoProductos[],MATCH('2.C_Datos'!$C95,ListadoProductos[Productos],0),MATCH('2.C_Datos'!G$3,ListadoProductos[#Headers],0)))</f>
        <v/>
      </c>
      <c r="H95" s="99" t="str">
        <f>IF($A95="","",INDEX(ListadoProductos[],MATCH('2.C_Datos'!$C95,ListadoProductos[Productos],0),MATCH('2.C_Datos'!H$3,ListadoProductos[#Headers],0)))</f>
        <v/>
      </c>
      <c r="I95" s="99" t="str">
        <f>IF($A95="","",INDEX(ListadoProductos[],MATCH('2.C_Datos'!$C95,ListadoProductos[Productos],0),MATCH('2.C_Datos'!I$3,ListadoProductos[#Headers],0)))</f>
        <v/>
      </c>
      <c r="J95" s="99" t="str">
        <f>IF(Tabla19[[#This Row],[Comp1]]="","",COUNTIFS(TablaMaq1[Componente],Tabla19[[#This Row],[Comp1]],TablaMaq1[ID_Pedido],'2.C_Datos'!A95)+
COUNTIFS(TablaMaq2[Componente],Tabla19[[#This Row],[Comp1]],TablaMaq2[ID_Pedido],'2.C_Datos'!A95)+
COUNTIFS(TablaMaq3[Componente],Tabla19[[#This Row],[Comp1]],TablaMaq3[ID_Pedido],'2.C_Datos'!A95)+
COUNTIFS(TablaMaq4[Componente],Tabla19[[#This Row],[Comp1]],TablaMaq4[ID_Pedido],'2.C_Datos'!A95))</f>
        <v/>
      </c>
      <c r="K95" s="99" t="str">
        <f>IF(Tabla19[[#This Row],[Comp2]]="","",COUNTIFS(TablaMaq1[Componente],Tabla19[[#This Row],[Comp2]],TablaMaq1[ID_Pedido],'2.C_Datos'!A95)+
COUNTIFS(TablaMaq2[Componente],Tabla19[[#This Row],[Comp2]],TablaMaq2[ID_Pedido],'2.C_Datos'!A95)+
COUNTIFS(TablaMaq3[Componente],Tabla19[[#This Row],[Comp2]],TablaMaq3[ID_Pedido],'2.C_Datos'!A95)+
COUNTIFS(TablaMaq4[Componente],Tabla19[[#This Row],[Comp2]],TablaMaq4[ID_Pedido],'2.C_Datos'!A95))</f>
        <v/>
      </c>
      <c r="L95" s="99" t="str">
        <f>IF(Tabla19[[#This Row],[Comp3]]="","",COUNTIFS(TablaMaq1[Componente],Tabla19[[#This Row],[Comp3]],TablaMaq1[ID_Pedido],'2.C_Datos'!A95)+
COUNTIFS(TablaMaq2[Componente],Tabla19[[#This Row],[Comp3]],TablaMaq2[ID_Pedido],'2.C_Datos'!A95)+
COUNTIFS(TablaMaq3[Componente],Tabla19[[#This Row],[Comp3]],TablaMaq3[ID_Pedido],'2.C_Datos'!A95)+
COUNTIFS(TablaMaq4[Componente],Tabla19[[#This Row],[Comp3]],TablaMaq4[ID_Pedido],'2.C_Datos'!A95))</f>
        <v/>
      </c>
      <c r="M95" s="99" t="str">
        <f>IF(Tabla19[[#This Row],[Comp4]]="","",COUNTIFS(TablaMaq1[Componente],Tabla19[[#This Row],[Comp4]],TablaMaq1[ID_Pedido],'2.C_Datos'!A95)+
COUNTIFS(TablaMaq2[Componente],Tabla19[[#This Row],[Comp4]],TablaMaq2[ID_Pedido],'2.C_Datos'!A95)+
COUNTIFS(TablaMaq3[Componente],Tabla19[[#This Row],[Comp4]],TablaMaq3[ID_Pedido],'2.C_Datos'!A95)+
COUNTIFS(TablaMaq4[Componente],Tabla19[[#This Row],[Comp4]],TablaMaq4[ID_Pedido],'2.C_Datos'!A95))</f>
        <v/>
      </c>
      <c r="N95" s="99" t="str">
        <f>IF(Tabla19[[#This Row],[Comp5]]="","",COUNTIFS(TablaMaq1[Componente],Tabla19[[#This Row],[Comp5]],TablaMaq1[ID_Pedido],'2.C_Datos'!A95)+
COUNTIFS(TablaMaq1[Componente],Tabla19[[#This Row],[Comp5]],TablaMaq2[ID_Pedido],'2.C_Datos'!A95)+
COUNTIFS(TablaMaq1[Componente],Tabla19[[#This Row],[Comp5]],TablaMaq3[ID_Pedido],'2.C_Datos'!A95)+
COUNTIFS(TablaMaq1[Componente],Tabla19[[#This Row],[Comp5]],TablaMaq4[ID_Pedido],'2.C_Datos'!A95))</f>
        <v/>
      </c>
      <c r="O95" s="85" t="str">
        <f>IF(Tabla19[[#This Row],[Comp1]]="","",
IF(IF(Tabla19[[#This Row],[Comp1]]=0,0,1)*$D95-Tabla19[[#This Row],[Asign1]]=0,0,Tabla19[[#This Row],[Comp1]]))</f>
        <v/>
      </c>
      <c r="P95" s="85" t="str">
        <f>IF(Tabla19[[#This Row],[Comp2]]="","",
IF(IF(Tabla19[[#This Row],[Comp2]]=0,0,1)*$D95-Tabla19[[#This Row],[Asign2]]=0,0,Tabla19[[#This Row],[Comp2]]))</f>
        <v/>
      </c>
      <c r="Q95" s="85" t="str">
        <f>IF(Tabla19[[#This Row],[Comp3]]="","",
IF(IF(Tabla19[[#This Row],[Comp3]]=0,0,1)*$D95-Tabla19[[#This Row],[Asign3]]=0,0,Tabla19[[#This Row],[Comp3]]))</f>
        <v/>
      </c>
      <c r="R95" s="85" t="str">
        <f>IF(Tabla19[[#This Row],[Comp4]]="","",
IF(IF(Tabla19[[#This Row],[Comp4]]=0,0,1)*$D95-Tabla19[[#This Row],[Asign4]]=0,0,Tabla19[[#This Row],[Comp4]]))</f>
        <v/>
      </c>
      <c r="S95" s="85" t="str">
        <f>IF(Tabla19[[#This Row],[Comp5]]="","",
IF(IF(Tabla19[[#This Row],[Comp5]]=0,0,1)*$D95-Tabla19[[#This Row],[Asign5]]=0,0,Tabla19[[#This Row],[Comp5]]))</f>
        <v/>
      </c>
    </row>
    <row r="96" spans="5:19" x14ac:dyDescent="0.3">
      <c r="E96" s="99" t="str">
        <f>IF($A96="","",INDEX(ListadoProductos[],MATCH('2.C_Datos'!$C96,ListadoProductos[Productos],0),MATCH('2.C_Datos'!E$3,ListadoProductos[#Headers],0)))</f>
        <v/>
      </c>
      <c r="F96" s="99" t="str">
        <f>IF($A96="","",INDEX(ListadoProductos[],MATCH('2.C_Datos'!$C96,ListadoProductos[Productos],0),MATCH('2.C_Datos'!F$3,ListadoProductos[#Headers],0)))</f>
        <v/>
      </c>
      <c r="G96" s="99" t="str">
        <f>IF($A96="","",INDEX(ListadoProductos[],MATCH('2.C_Datos'!$C96,ListadoProductos[Productos],0),MATCH('2.C_Datos'!G$3,ListadoProductos[#Headers],0)))</f>
        <v/>
      </c>
      <c r="H96" s="99" t="str">
        <f>IF($A96="","",INDEX(ListadoProductos[],MATCH('2.C_Datos'!$C96,ListadoProductos[Productos],0),MATCH('2.C_Datos'!H$3,ListadoProductos[#Headers],0)))</f>
        <v/>
      </c>
      <c r="I96" s="99" t="str">
        <f>IF($A96="","",INDEX(ListadoProductos[],MATCH('2.C_Datos'!$C96,ListadoProductos[Productos],0),MATCH('2.C_Datos'!I$3,ListadoProductos[#Headers],0)))</f>
        <v/>
      </c>
      <c r="J96" s="99" t="str">
        <f>IF(Tabla19[[#This Row],[Comp1]]="","",COUNTIFS(TablaMaq1[Componente],Tabla19[[#This Row],[Comp1]],TablaMaq1[ID_Pedido],'2.C_Datos'!A96)+
COUNTIFS(TablaMaq2[Componente],Tabla19[[#This Row],[Comp1]],TablaMaq2[ID_Pedido],'2.C_Datos'!A96)+
COUNTIFS(TablaMaq3[Componente],Tabla19[[#This Row],[Comp1]],TablaMaq3[ID_Pedido],'2.C_Datos'!A96)+
COUNTIFS(TablaMaq4[Componente],Tabla19[[#This Row],[Comp1]],TablaMaq4[ID_Pedido],'2.C_Datos'!A96))</f>
        <v/>
      </c>
      <c r="K96" s="99" t="str">
        <f>IF(Tabla19[[#This Row],[Comp2]]="","",COUNTIFS(TablaMaq1[Componente],Tabla19[[#This Row],[Comp2]],TablaMaq1[ID_Pedido],'2.C_Datos'!A96)+
COUNTIFS(TablaMaq2[Componente],Tabla19[[#This Row],[Comp2]],TablaMaq2[ID_Pedido],'2.C_Datos'!A96)+
COUNTIFS(TablaMaq3[Componente],Tabla19[[#This Row],[Comp2]],TablaMaq3[ID_Pedido],'2.C_Datos'!A96)+
COUNTIFS(TablaMaq4[Componente],Tabla19[[#This Row],[Comp2]],TablaMaq4[ID_Pedido],'2.C_Datos'!A96))</f>
        <v/>
      </c>
      <c r="L96" s="99" t="str">
        <f>IF(Tabla19[[#This Row],[Comp3]]="","",COUNTIFS(TablaMaq1[Componente],Tabla19[[#This Row],[Comp3]],TablaMaq1[ID_Pedido],'2.C_Datos'!A96)+
COUNTIFS(TablaMaq2[Componente],Tabla19[[#This Row],[Comp3]],TablaMaq2[ID_Pedido],'2.C_Datos'!A96)+
COUNTIFS(TablaMaq3[Componente],Tabla19[[#This Row],[Comp3]],TablaMaq3[ID_Pedido],'2.C_Datos'!A96)+
COUNTIFS(TablaMaq4[Componente],Tabla19[[#This Row],[Comp3]],TablaMaq4[ID_Pedido],'2.C_Datos'!A96))</f>
        <v/>
      </c>
      <c r="M96" s="99" t="str">
        <f>IF(Tabla19[[#This Row],[Comp4]]="","",COUNTIFS(TablaMaq1[Componente],Tabla19[[#This Row],[Comp4]],TablaMaq1[ID_Pedido],'2.C_Datos'!A96)+
COUNTIFS(TablaMaq2[Componente],Tabla19[[#This Row],[Comp4]],TablaMaq2[ID_Pedido],'2.C_Datos'!A96)+
COUNTIFS(TablaMaq3[Componente],Tabla19[[#This Row],[Comp4]],TablaMaq3[ID_Pedido],'2.C_Datos'!A96)+
COUNTIFS(TablaMaq4[Componente],Tabla19[[#This Row],[Comp4]],TablaMaq4[ID_Pedido],'2.C_Datos'!A96))</f>
        <v/>
      </c>
      <c r="N96" s="99" t="str">
        <f>IF(Tabla19[[#This Row],[Comp5]]="","",COUNTIFS(TablaMaq1[Componente],Tabla19[[#This Row],[Comp5]],TablaMaq1[ID_Pedido],'2.C_Datos'!A96)+
COUNTIFS(TablaMaq1[Componente],Tabla19[[#This Row],[Comp5]],TablaMaq2[ID_Pedido],'2.C_Datos'!A96)+
COUNTIFS(TablaMaq1[Componente],Tabla19[[#This Row],[Comp5]],TablaMaq3[ID_Pedido],'2.C_Datos'!A96)+
COUNTIFS(TablaMaq1[Componente],Tabla19[[#This Row],[Comp5]],TablaMaq4[ID_Pedido],'2.C_Datos'!A96))</f>
        <v/>
      </c>
      <c r="O96" s="85" t="str">
        <f>IF(Tabla19[[#This Row],[Comp1]]="","",
IF(IF(Tabla19[[#This Row],[Comp1]]=0,0,1)*$D96-Tabla19[[#This Row],[Asign1]]=0,0,Tabla19[[#This Row],[Comp1]]))</f>
        <v/>
      </c>
      <c r="P96" s="85" t="str">
        <f>IF(Tabla19[[#This Row],[Comp2]]="","",
IF(IF(Tabla19[[#This Row],[Comp2]]=0,0,1)*$D96-Tabla19[[#This Row],[Asign2]]=0,0,Tabla19[[#This Row],[Comp2]]))</f>
        <v/>
      </c>
      <c r="Q96" s="85" t="str">
        <f>IF(Tabla19[[#This Row],[Comp3]]="","",
IF(IF(Tabla19[[#This Row],[Comp3]]=0,0,1)*$D96-Tabla19[[#This Row],[Asign3]]=0,0,Tabla19[[#This Row],[Comp3]]))</f>
        <v/>
      </c>
      <c r="R96" s="85" t="str">
        <f>IF(Tabla19[[#This Row],[Comp4]]="","",
IF(IF(Tabla19[[#This Row],[Comp4]]=0,0,1)*$D96-Tabla19[[#This Row],[Asign4]]=0,0,Tabla19[[#This Row],[Comp4]]))</f>
        <v/>
      </c>
      <c r="S96" s="85" t="str">
        <f>IF(Tabla19[[#This Row],[Comp5]]="","",
IF(IF(Tabla19[[#This Row],[Comp5]]=0,0,1)*$D96-Tabla19[[#This Row],[Asign5]]=0,0,Tabla19[[#This Row],[Comp5]]))</f>
        <v/>
      </c>
    </row>
    <row r="97" spans="5:19" x14ac:dyDescent="0.3">
      <c r="E97" s="99" t="str">
        <f>IF($A97="","",INDEX(ListadoProductos[],MATCH('2.C_Datos'!$C97,ListadoProductos[Productos],0),MATCH('2.C_Datos'!E$3,ListadoProductos[#Headers],0)))</f>
        <v/>
      </c>
      <c r="F97" s="99" t="str">
        <f>IF($A97="","",INDEX(ListadoProductos[],MATCH('2.C_Datos'!$C97,ListadoProductos[Productos],0),MATCH('2.C_Datos'!F$3,ListadoProductos[#Headers],0)))</f>
        <v/>
      </c>
      <c r="G97" s="99" t="str">
        <f>IF($A97="","",INDEX(ListadoProductos[],MATCH('2.C_Datos'!$C97,ListadoProductos[Productos],0),MATCH('2.C_Datos'!G$3,ListadoProductos[#Headers],0)))</f>
        <v/>
      </c>
      <c r="H97" s="99" t="str">
        <f>IF($A97="","",INDEX(ListadoProductos[],MATCH('2.C_Datos'!$C97,ListadoProductos[Productos],0),MATCH('2.C_Datos'!H$3,ListadoProductos[#Headers],0)))</f>
        <v/>
      </c>
      <c r="I97" s="99" t="str">
        <f>IF($A97="","",INDEX(ListadoProductos[],MATCH('2.C_Datos'!$C97,ListadoProductos[Productos],0),MATCH('2.C_Datos'!I$3,ListadoProductos[#Headers],0)))</f>
        <v/>
      </c>
      <c r="J97" s="99" t="str">
        <f>IF(Tabla19[[#This Row],[Comp1]]="","",COUNTIFS(TablaMaq1[Componente],Tabla19[[#This Row],[Comp1]],TablaMaq1[ID_Pedido],'2.C_Datos'!A97)+
COUNTIFS(TablaMaq2[Componente],Tabla19[[#This Row],[Comp1]],TablaMaq2[ID_Pedido],'2.C_Datos'!A97)+
COUNTIFS(TablaMaq3[Componente],Tabla19[[#This Row],[Comp1]],TablaMaq3[ID_Pedido],'2.C_Datos'!A97)+
COUNTIFS(TablaMaq4[Componente],Tabla19[[#This Row],[Comp1]],TablaMaq4[ID_Pedido],'2.C_Datos'!A97))</f>
        <v/>
      </c>
      <c r="K97" s="99" t="str">
        <f>IF(Tabla19[[#This Row],[Comp2]]="","",COUNTIFS(TablaMaq1[Componente],Tabla19[[#This Row],[Comp2]],TablaMaq1[ID_Pedido],'2.C_Datos'!A97)+
COUNTIFS(TablaMaq2[Componente],Tabla19[[#This Row],[Comp2]],TablaMaq2[ID_Pedido],'2.C_Datos'!A97)+
COUNTIFS(TablaMaq3[Componente],Tabla19[[#This Row],[Comp2]],TablaMaq3[ID_Pedido],'2.C_Datos'!A97)+
COUNTIFS(TablaMaq4[Componente],Tabla19[[#This Row],[Comp2]],TablaMaq4[ID_Pedido],'2.C_Datos'!A97))</f>
        <v/>
      </c>
      <c r="L97" s="99" t="str">
        <f>IF(Tabla19[[#This Row],[Comp3]]="","",COUNTIFS(TablaMaq1[Componente],Tabla19[[#This Row],[Comp3]],TablaMaq1[ID_Pedido],'2.C_Datos'!A97)+
COUNTIFS(TablaMaq2[Componente],Tabla19[[#This Row],[Comp3]],TablaMaq2[ID_Pedido],'2.C_Datos'!A97)+
COUNTIFS(TablaMaq3[Componente],Tabla19[[#This Row],[Comp3]],TablaMaq3[ID_Pedido],'2.C_Datos'!A97)+
COUNTIFS(TablaMaq4[Componente],Tabla19[[#This Row],[Comp3]],TablaMaq4[ID_Pedido],'2.C_Datos'!A97))</f>
        <v/>
      </c>
      <c r="M97" s="99" t="str">
        <f>IF(Tabla19[[#This Row],[Comp4]]="","",COUNTIFS(TablaMaq1[Componente],Tabla19[[#This Row],[Comp4]],TablaMaq1[ID_Pedido],'2.C_Datos'!A97)+
COUNTIFS(TablaMaq2[Componente],Tabla19[[#This Row],[Comp4]],TablaMaq2[ID_Pedido],'2.C_Datos'!A97)+
COUNTIFS(TablaMaq3[Componente],Tabla19[[#This Row],[Comp4]],TablaMaq3[ID_Pedido],'2.C_Datos'!A97)+
COUNTIFS(TablaMaq4[Componente],Tabla19[[#This Row],[Comp4]],TablaMaq4[ID_Pedido],'2.C_Datos'!A97))</f>
        <v/>
      </c>
      <c r="N97" s="99" t="str">
        <f>IF(Tabla19[[#This Row],[Comp5]]="","",COUNTIFS(TablaMaq1[Componente],Tabla19[[#This Row],[Comp5]],TablaMaq1[ID_Pedido],'2.C_Datos'!A97)+
COUNTIFS(TablaMaq1[Componente],Tabla19[[#This Row],[Comp5]],TablaMaq2[ID_Pedido],'2.C_Datos'!A97)+
COUNTIFS(TablaMaq1[Componente],Tabla19[[#This Row],[Comp5]],TablaMaq3[ID_Pedido],'2.C_Datos'!A97)+
COUNTIFS(TablaMaq1[Componente],Tabla19[[#This Row],[Comp5]],TablaMaq4[ID_Pedido],'2.C_Datos'!A97))</f>
        <v/>
      </c>
      <c r="O97" s="85" t="str">
        <f>IF(Tabla19[[#This Row],[Comp1]]="","",
IF(IF(Tabla19[[#This Row],[Comp1]]=0,0,1)*$D97-Tabla19[[#This Row],[Asign1]]=0,0,Tabla19[[#This Row],[Comp1]]))</f>
        <v/>
      </c>
      <c r="P97" s="85" t="str">
        <f>IF(Tabla19[[#This Row],[Comp2]]="","",
IF(IF(Tabla19[[#This Row],[Comp2]]=0,0,1)*$D97-Tabla19[[#This Row],[Asign2]]=0,0,Tabla19[[#This Row],[Comp2]]))</f>
        <v/>
      </c>
      <c r="Q97" s="85" t="str">
        <f>IF(Tabla19[[#This Row],[Comp3]]="","",
IF(IF(Tabla19[[#This Row],[Comp3]]=0,0,1)*$D97-Tabla19[[#This Row],[Asign3]]=0,0,Tabla19[[#This Row],[Comp3]]))</f>
        <v/>
      </c>
      <c r="R97" s="85" t="str">
        <f>IF(Tabla19[[#This Row],[Comp4]]="","",
IF(IF(Tabla19[[#This Row],[Comp4]]=0,0,1)*$D97-Tabla19[[#This Row],[Asign4]]=0,0,Tabla19[[#This Row],[Comp4]]))</f>
        <v/>
      </c>
      <c r="S97" s="85" t="str">
        <f>IF(Tabla19[[#This Row],[Comp5]]="","",
IF(IF(Tabla19[[#This Row],[Comp5]]=0,0,1)*$D97-Tabla19[[#This Row],[Asign5]]=0,0,Tabla19[[#This Row],[Comp5]]))</f>
        <v/>
      </c>
    </row>
    <row r="98" spans="5:19" x14ac:dyDescent="0.3">
      <c r="E98" s="99" t="str">
        <f>IF($A98="","",INDEX(ListadoProductos[],MATCH('2.C_Datos'!$C98,ListadoProductos[Productos],0),MATCH('2.C_Datos'!E$3,ListadoProductos[#Headers],0)))</f>
        <v/>
      </c>
      <c r="F98" s="99" t="str">
        <f>IF($A98="","",INDEX(ListadoProductos[],MATCH('2.C_Datos'!$C98,ListadoProductos[Productos],0),MATCH('2.C_Datos'!F$3,ListadoProductos[#Headers],0)))</f>
        <v/>
      </c>
      <c r="G98" s="99" t="str">
        <f>IF($A98="","",INDEX(ListadoProductos[],MATCH('2.C_Datos'!$C98,ListadoProductos[Productos],0),MATCH('2.C_Datos'!G$3,ListadoProductos[#Headers],0)))</f>
        <v/>
      </c>
      <c r="H98" s="99" t="str">
        <f>IF($A98="","",INDEX(ListadoProductos[],MATCH('2.C_Datos'!$C98,ListadoProductos[Productos],0),MATCH('2.C_Datos'!H$3,ListadoProductos[#Headers],0)))</f>
        <v/>
      </c>
      <c r="I98" s="99" t="str">
        <f>IF($A98="","",INDEX(ListadoProductos[],MATCH('2.C_Datos'!$C98,ListadoProductos[Productos],0),MATCH('2.C_Datos'!I$3,ListadoProductos[#Headers],0)))</f>
        <v/>
      </c>
      <c r="J98" s="99" t="str">
        <f>IF(Tabla19[[#This Row],[Comp1]]="","",COUNTIFS(TablaMaq1[Componente],Tabla19[[#This Row],[Comp1]],TablaMaq1[ID_Pedido],'2.C_Datos'!A98)+
COUNTIFS(TablaMaq2[Componente],Tabla19[[#This Row],[Comp1]],TablaMaq2[ID_Pedido],'2.C_Datos'!A98)+
COUNTIFS(TablaMaq3[Componente],Tabla19[[#This Row],[Comp1]],TablaMaq3[ID_Pedido],'2.C_Datos'!A98)+
COUNTIFS(TablaMaq4[Componente],Tabla19[[#This Row],[Comp1]],TablaMaq4[ID_Pedido],'2.C_Datos'!A98))</f>
        <v/>
      </c>
      <c r="K98" s="99" t="str">
        <f>IF(Tabla19[[#This Row],[Comp2]]="","",COUNTIFS(TablaMaq1[Componente],Tabla19[[#This Row],[Comp2]],TablaMaq1[ID_Pedido],'2.C_Datos'!A98)+
COUNTIFS(TablaMaq2[Componente],Tabla19[[#This Row],[Comp2]],TablaMaq2[ID_Pedido],'2.C_Datos'!A98)+
COUNTIFS(TablaMaq3[Componente],Tabla19[[#This Row],[Comp2]],TablaMaq3[ID_Pedido],'2.C_Datos'!A98)+
COUNTIFS(TablaMaq4[Componente],Tabla19[[#This Row],[Comp2]],TablaMaq4[ID_Pedido],'2.C_Datos'!A98))</f>
        <v/>
      </c>
      <c r="L98" s="99" t="str">
        <f>IF(Tabla19[[#This Row],[Comp3]]="","",COUNTIFS(TablaMaq1[Componente],Tabla19[[#This Row],[Comp3]],TablaMaq1[ID_Pedido],'2.C_Datos'!A98)+
COUNTIFS(TablaMaq2[Componente],Tabla19[[#This Row],[Comp3]],TablaMaq2[ID_Pedido],'2.C_Datos'!A98)+
COUNTIFS(TablaMaq3[Componente],Tabla19[[#This Row],[Comp3]],TablaMaq3[ID_Pedido],'2.C_Datos'!A98)+
COUNTIFS(TablaMaq4[Componente],Tabla19[[#This Row],[Comp3]],TablaMaq4[ID_Pedido],'2.C_Datos'!A98))</f>
        <v/>
      </c>
      <c r="M98" s="99" t="str">
        <f>IF(Tabla19[[#This Row],[Comp4]]="","",COUNTIFS(TablaMaq1[Componente],Tabla19[[#This Row],[Comp4]],TablaMaq1[ID_Pedido],'2.C_Datos'!A98)+
COUNTIFS(TablaMaq2[Componente],Tabla19[[#This Row],[Comp4]],TablaMaq2[ID_Pedido],'2.C_Datos'!A98)+
COUNTIFS(TablaMaq3[Componente],Tabla19[[#This Row],[Comp4]],TablaMaq3[ID_Pedido],'2.C_Datos'!A98)+
COUNTIFS(TablaMaq4[Componente],Tabla19[[#This Row],[Comp4]],TablaMaq4[ID_Pedido],'2.C_Datos'!A98))</f>
        <v/>
      </c>
      <c r="N98" s="99" t="str">
        <f>IF(Tabla19[[#This Row],[Comp5]]="","",COUNTIFS(TablaMaq1[Componente],Tabla19[[#This Row],[Comp5]],TablaMaq1[ID_Pedido],'2.C_Datos'!A98)+
COUNTIFS(TablaMaq1[Componente],Tabla19[[#This Row],[Comp5]],TablaMaq2[ID_Pedido],'2.C_Datos'!A98)+
COUNTIFS(TablaMaq1[Componente],Tabla19[[#This Row],[Comp5]],TablaMaq3[ID_Pedido],'2.C_Datos'!A98)+
COUNTIFS(TablaMaq1[Componente],Tabla19[[#This Row],[Comp5]],TablaMaq4[ID_Pedido],'2.C_Datos'!A98))</f>
        <v/>
      </c>
      <c r="O98" s="85" t="str">
        <f>IF(Tabla19[[#This Row],[Comp1]]="","",
IF(IF(Tabla19[[#This Row],[Comp1]]=0,0,1)*$D98-Tabla19[[#This Row],[Asign1]]=0,0,Tabla19[[#This Row],[Comp1]]))</f>
        <v/>
      </c>
      <c r="P98" s="85" t="str">
        <f>IF(Tabla19[[#This Row],[Comp2]]="","",
IF(IF(Tabla19[[#This Row],[Comp2]]=0,0,1)*$D98-Tabla19[[#This Row],[Asign2]]=0,0,Tabla19[[#This Row],[Comp2]]))</f>
        <v/>
      </c>
      <c r="Q98" s="85" t="str">
        <f>IF(Tabla19[[#This Row],[Comp3]]="","",
IF(IF(Tabla19[[#This Row],[Comp3]]=0,0,1)*$D98-Tabla19[[#This Row],[Asign3]]=0,0,Tabla19[[#This Row],[Comp3]]))</f>
        <v/>
      </c>
      <c r="R98" s="85" t="str">
        <f>IF(Tabla19[[#This Row],[Comp4]]="","",
IF(IF(Tabla19[[#This Row],[Comp4]]=0,0,1)*$D98-Tabla19[[#This Row],[Asign4]]=0,0,Tabla19[[#This Row],[Comp4]]))</f>
        <v/>
      </c>
      <c r="S98" s="85" t="str">
        <f>IF(Tabla19[[#This Row],[Comp5]]="","",
IF(IF(Tabla19[[#This Row],[Comp5]]=0,0,1)*$D98-Tabla19[[#This Row],[Asign5]]=0,0,Tabla19[[#This Row],[Comp5]]))</f>
        <v/>
      </c>
    </row>
    <row r="99" spans="5:19" x14ac:dyDescent="0.3">
      <c r="E99" s="99" t="str">
        <f>IF($A99="","",INDEX(ListadoProductos[],MATCH('2.C_Datos'!$C99,ListadoProductos[Productos],0),MATCH('2.C_Datos'!E$3,ListadoProductos[#Headers],0)))</f>
        <v/>
      </c>
      <c r="F99" s="99" t="str">
        <f>IF($A99="","",INDEX(ListadoProductos[],MATCH('2.C_Datos'!$C99,ListadoProductos[Productos],0),MATCH('2.C_Datos'!F$3,ListadoProductos[#Headers],0)))</f>
        <v/>
      </c>
      <c r="G99" s="99" t="str">
        <f>IF($A99="","",INDEX(ListadoProductos[],MATCH('2.C_Datos'!$C99,ListadoProductos[Productos],0),MATCH('2.C_Datos'!G$3,ListadoProductos[#Headers],0)))</f>
        <v/>
      </c>
      <c r="H99" s="99" t="str">
        <f>IF($A99="","",INDEX(ListadoProductos[],MATCH('2.C_Datos'!$C99,ListadoProductos[Productos],0),MATCH('2.C_Datos'!H$3,ListadoProductos[#Headers],0)))</f>
        <v/>
      </c>
      <c r="I99" s="99" t="str">
        <f>IF($A99="","",INDEX(ListadoProductos[],MATCH('2.C_Datos'!$C99,ListadoProductos[Productos],0),MATCH('2.C_Datos'!I$3,ListadoProductos[#Headers],0)))</f>
        <v/>
      </c>
      <c r="J99" s="99" t="str">
        <f>IF(Tabla19[[#This Row],[Comp1]]="","",COUNTIFS(TablaMaq1[Componente],Tabla19[[#This Row],[Comp1]],TablaMaq1[ID_Pedido],'2.C_Datos'!A99)+
COUNTIFS(TablaMaq2[Componente],Tabla19[[#This Row],[Comp1]],TablaMaq2[ID_Pedido],'2.C_Datos'!A99)+
COUNTIFS(TablaMaq3[Componente],Tabla19[[#This Row],[Comp1]],TablaMaq3[ID_Pedido],'2.C_Datos'!A99)+
COUNTIFS(TablaMaq4[Componente],Tabla19[[#This Row],[Comp1]],TablaMaq4[ID_Pedido],'2.C_Datos'!A99))</f>
        <v/>
      </c>
      <c r="K99" s="99" t="str">
        <f>IF(Tabla19[[#This Row],[Comp2]]="","",COUNTIFS(TablaMaq1[Componente],Tabla19[[#This Row],[Comp2]],TablaMaq1[ID_Pedido],'2.C_Datos'!A99)+
COUNTIFS(TablaMaq2[Componente],Tabla19[[#This Row],[Comp2]],TablaMaq2[ID_Pedido],'2.C_Datos'!A99)+
COUNTIFS(TablaMaq3[Componente],Tabla19[[#This Row],[Comp2]],TablaMaq3[ID_Pedido],'2.C_Datos'!A99)+
COUNTIFS(TablaMaq4[Componente],Tabla19[[#This Row],[Comp2]],TablaMaq4[ID_Pedido],'2.C_Datos'!A99))</f>
        <v/>
      </c>
      <c r="L99" s="99" t="str">
        <f>IF(Tabla19[[#This Row],[Comp3]]="","",COUNTIFS(TablaMaq1[Componente],Tabla19[[#This Row],[Comp3]],TablaMaq1[ID_Pedido],'2.C_Datos'!A99)+
COUNTIFS(TablaMaq2[Componente],Tabla19[[#This Row],[Comp3]],TablaMaq2[ID_Pedido],'2.C_Datos'!A99)+
COUNTIFS(TablaMaq3[Componente],Tabla19[[#This Row],[Comp3]],TablaMaq3[ID_Pedido],'2.C_Datos'!A99)+
COUNTIFS(TablaMaq4[Componente],Tabla19[[#This Row],[Comp3]],TablaMaq4[ID_Pedido],'2.C_Datos'!A99))</f>
        <v/>
      </c>
      <c r="M99" s="99" t="str">
        <f>IF(Tabla19[[#This Row],[Comp4]]="","",COUNTIFS(TablaMaq1[Componente],Tabla19[[#This Row],[Comp4]],TablaMaq1[ID_Pedido],'2.C_Datos'!A99)+
COUNTIFS(TablaMaq2[Componente],Tabla19[[#This Row],[Comp4]],TablaMaq2[ID_Pedido],'2.C_Datos'!A99)+
COUNTIFS(TablaMaq3[Componente],Tabla19[[#This Row],[Comp4]],TablaMaq3[ID_Pedido],'2.C_Datos'!A99)+
COUNTIFS(TablaMaq4[Componente],Tabla19[[#This Row],[Comp4]],TablaMaq4[ID_Pedido],'2.C_Datos'!A99))</f>
        <v/>
      </c>
      <c r="N99" s="99" t="str">
        <f>IF(Tabla19[[#This Row],[Comp5]]="","",COUNTIFS(TablaMaq1[Componente],Tabla19[[#This Row],[Comp5]],TablaMaq1[ID_Pedido],'2.C_Datos'!A99)+
COUNTIFS(TablaMaq1[Componente],Tabla19[[#This Row],[Comp5]],TablaMaq2[ID_Pedido],'2.C_Datos'!A99)+
COUNTIFS(TablaMaq1[Componente],Tabla19[[#This Row],[Comp5]],TablaMaq3[ID_Pedido],'2.C_Datos'!A99)+
COUNTIFS(TablaMaq1[Componente],Tabla19[[#This Row],[Comp5]],TablaMaq4[ID_Pedido],'2.C_Datos'!A99))</f>
        <v/>
      </c>
      <c r="O99" s="85" t="str">
        <f>IF(Tabla19[[#This Row],[Comp1]]="","",
IF(IF(Tabla19[[#This Row],[Comp1]]=0,0,1)*$D99-Tabla19[[#This Row],[Asign1]]=0,0,Tabla19[[#This Row],[Comp1]]))</f>
        <v/>
      </c>
      <c r="P99" s="85" t="str">
        <f>IF(Tabla19[[#This Row],[Comp2]]="","",
IF(IF(Tabla19[[#This Row],[Comp2]]=0,0,1)*$D99-Tabla19[[#This Row],[Asign2]]=0,0,Tabla19[[#This Row],[Comp2]]))</f>
        <v/>
      </c>
      <c r="Q99" s="85" t="str">
        <f>IF(Tabla19[[#This Row],[Comp3]]="","",
IF(IF(Tabla19[[#This Row],[Comp3]]=0,0,1)*$D99-Tabla19[[#This Row],[Asign3]]=0,0,Tabla19[[#This Row],[Comp3]]))</f>
        <v/>
      </c>
      <c r="R99" s="85" t="str">
        <f>IF(Tabla19[[#This Row],[Comp4]]="","",
IF(IF(Tabla19[[#This Row],[Comp4]]=0,0,1)*$D99-Tabla19[[#This Row],[Asign4]]=0,0,Tabla19[[#This Row],[Comp4]]))</f>
        <v/>
      </c>
      <c r="S99" s="85" t="str">
        <f>IF(Tabla19[[#This Row],[Comp5]]="","",
IF(IF(Tabla19[[#This Row],[Comp5]]=0,0,1)*$D99-Tabla19[[#This Row],[Asign5]]=0,0,Tabla19[[#This Row],[Comp5]]))</f>
        <v/>
      </c>
    </row>
    <row r="100" spans="5:19" x14ac:dyDescent="0.3">
      <c r="E100" s="99" t="str">
        <f>IF($A100="","",INDEX(ListadoProductos[],MATCH('2.C_Datos'!$C100,ListadoProductos[Productos],0),MATCH('2.C_Datos'!E$3,ListadoProductos[#Headers],0)))</f>
        <v/>
      </c>
      <c r="F100" s="99" t="str">
        <f>IF($A100="","",INDEX(ListadoProductos[],MATCH('2.C_Datos'!$C100,ListadoProductos[Productos],0),MATCH('2.C_Datos'!F$3,ListadoProductos[#Headers],0)))</f>
        <v/>
      </c>
      <c r="G100" s="99" t="str">
        <f>IF($A100="","",INDEX(ListadoProductos[],MATCH('2.C_Datos'!$C100,ListadoProductos[Productos],0),MATCH('2.C_Datos'!G$3,ListadoProductos[#Headers],0)))</f>
        <v/>
      </c>
      <c r="H100" s="99" t="str">
        <f>IF($A100="","",INDEX(ListadoProductos[],MATCH('2.C_Datos'!$C100,ListadoProductos[Productos],0),MATCH('2.C_Datos'!H$3,ListadoProductos[#Headers],0)))</f>
        <v/>
      </c>
      <c r="I100" s="99" t="str">
        <f>IF($A100="","",INDEX(ListadoProductos[],MATCH('2.C_Datos'!$C100,ListadoProductos[Productos],0),MATCH('2.C_Datos'!I$3,ListadoProductos[#Headers],0)))</f>
        <v/>
      </c>
      <c r="J100" s="99" t="str">
        <f>IF(Tabla19[[#This Row],[Comp1]]="","",COUNTIFS(TablaMaq1[Componente],Tabla19[[#This Row],[Comp1]],TablaMaq1[ID_Pedido],'2.C_Datos'!A100)+
COUNTIFS(TablaMaq2[Componente],Tabla19[[#This Row],[Comp1]],TablaMaq2[ID_Pedido],'2.C_Datos'!A100)+
COUNTIFS(TablaMaq3[Componente],Tabla19[[#This Row],[Comp1]],TablaMaq3[ID_Pedido],'2.C_Datos'!A100)+
COUNTIFS(TablaMaq4[Componente],Tabla19[[#This Row],[Comp1]],TablaMaq4[ID_Pedido],'2.C_Datos'!A100))</f>
        <v/>
      </c>
      <c r="K100" s="99" t="str">
        <f>IF(Tabla19[[#This Row],[Comp2]]="","",COUNTIFS(TablaMaq1[Componente],Tabla19[[#This Row],[Comp2]],TablaMaq1[ID_Pedido],'2.C_Datos'!A100)+
COUNTIFS(TablaMaq2[Componente],Tabla19[[#This Row],[Comp2]],TablaMaq2[ID_Pedido],'2.C_Datos'!A100)+
COUNTIFS(TablaMaq3[Componente],Tabla19[[#This Row],[Comp2]],TablaMaq3[ID_Pedido],'2.C_Datos'!A100)+
COUNTIFS(TablaMaq4[Componente],Tabla19[[#This Row],[Comp2]],TablaMaq4[ID_Pedido],'2.C_Datos'!A100))</f>
        <v/>
      </c>
      <c r="L100" s="99" t="str">
        <f>IF(Tabla19[[#This Row],[Comp3]]="","",COUNTIFS(TablaMaq1[Componente],Tabla19[[#This Row],[Comp3]],TablaMaq1[ID_Pedido],'2.C_Datos'!A100)+
COUNTIFS(TablaMaq2[Componente],Tabla19[[#This Row],[Comp3]],TablaMaq2[ID_Pedido],'2.C_Datos'!A100)+
COUNTIFS(TablaMaq3[Componente],Tabla19[[#This Row],[Comp3]],TablaMaq3[ID_Pedido],'2.C_Datos'!A100)+
COUNTIFS(TablaMaq4[Componente],Tabla19[[#This Row],[Comp3]],TablaMaq4[ID_Pedido],'2.C_Datos'!A100))</f>
        <v/>
      </c>
      <c r="M100" s="99" t="str">
        <f>IF(Tabla19[[#This Row],[Comp4]]="","",COUNTIFS(TablaMaq1[Componente],Tabla19[[#This Row],[Comp4]],TablaMaq1[ID_Pedido],'2.C_Datos'!A100)+
COUNTIFS(TablaMaq2[Componente],Tabla19[[#This Row],[Comp4]],TablaMaq2[ID_Pedido],'2.C_Datos'!A100)+
COUNTIFS(TablaMaq3[Componente],Tabla19[[#This Row],[Comp4]],TablaMaq3[ID_Pedido],'2.C_Datos'!A100)+
COUNTIFS(TablaMaq4[Componente],Tabla19[[#This Row],[Comp4]],TablaMaq4[ID_Pedido],'2.C_Datos'!A100))</f>
        <v/>
      </c>
      <c r="N100" s="99" t="str">
        <f>IF(Tabla19[[#This Row],[Comp5]]="","",COUNTIFS(TablaMaq1[Componente],Tabla19[[#This Row],[Comp5]],TablaMaq1[ID_Pedido],'2.C_Datos'!A100)+
COUNTIFS(TablaMaq1[Componente],Tabla19[[#This Row],[Comp5]],TablaMaq2[ID_Pedido],'2.C_Datos'!A100)+
COUNTIFS(TablaMaq1[Componente],Tabla19[[#This Row],[Comp5]],TablaMaq3[ID_Pedido],'2.C_Datos'!A100)+
COUNTIFS(TablaMaq1[Componente],Tabla19[[#This Row],[Comp5]],TablaMaq4[ID_Pedido],'2.C_Datos'!A100))</f>
        <v/>
      </c>
      <c r="O100" s="85" t="str">
        <f>IF(Tabla19[[#This Row],[Comp1]]="","",
IF(IF(Tabla19[[#This Row],[Comp1]]=0,0,1)*$D100-Tabla19[[#This Row],[Asign1]]=0,0,Tabla19[[#This Row],[Comp1]]))</f>
        <v/>
      </c>
      <c r="P100" s="85" t="str">
        <f>IF(Tabla19[[#This Row],[Comp2]]="","",
IF(IF(Tabla19[[#This Row],[Comp2]]=0,0,1)*$D100-Tabla19[[#This Row],[Asign2]]=0,0,Tabla19[[#This Row],[Comp2]]))</f>
        <v/>
      </c>
      <c r="Q100" s="85" t="str">
        <f>IF(Tabla19[[#This Row],[Comp3]]="","",
IF(IF(Tabla19[[#This Row],[Comp3]]=0,0,1)*$D100-Tabla19[[#This Row],[Asign3]]=0,0,Tabla19[[#This Row],[Comp3]]))</f>
        <v/>
      </c>
      <c r="R100" s="85" t="str">
        <f>IF(Tabla19[[#This Row],[Comp4]]="","",
IF(IF(Tabla19[[#This Row],[Comp4]]=0,0,1)*$D100-Tabla19[[#This Row],[Asign4]]=0,0,Tabla19[[#This Row],[Comp4]]))</f>
        <v/>
      </c>
      <c r="S100" s="85" t="str">
        <f>IF(Tabla19[[#This Row],[Comp5]]="","",
IF(IF(Tabla19[[#This Row],[Comp5]]=0,0,1)*$D100-Tabla19[[#This Row],[Asign5]]=0,0,Tabla19[[#This Row],[Comp5]]))</f>
        <v/>
      </c>
    </row>
    <row r="101" spans="5:19" x14ac:dyDescent="0.3">
      <c r="E101" s="99" t="str">
        <f>IF($A101="","",INDEX(ListadoProductos[],MATCH('2.C_Datos'!$C101,ListadoProductos[Productos],0),MATCH('2.C_Datos'!E$3,ListadoProductos[#Headers],0)))</f>
        <v/>
      </c>
      <c r="F101" s="99" t="str">
        <f>IF($A101="","",INDEX(ListadoProductos[],MATCH('2.C_Datos'!$C101,ListadoProductos[Productos],0),MATCH('2.C_Datos'!F$3,ListadoProductos[#Headers],0)))</f>
        <v/>
      </c>
      <c r="G101" s="99" t="str">
        <f>IF($A101="","",INDEX(ListadoProductos[],MATCH('2.C_Datos'!$C101,ListadoProductos[Productos],0),MATCH('2.C_Datos'!G$3,ListadoProductos[#Headers],0)))</f>
        <v/>
      </c>
      <c r="H101" s="99" t="str">
        <f>IF($A101="","",INDEX(ListadoProductos[],MATCH('2.C_Datos'!$C101,ListadoProductos[Productos],0),MATCH('2.C_Datos'!H$3,ListadoProductos[#Headers],0)))</f>
        <v/>
      </c>
      <c r="I101" s="99" t="str">
        <f>IF($A101="","",INDEX(ListadoProductos[],MATCH('2.C_Datos'!$C101,ListadoProductos[Productos],0),MATCH('2.C_Datos'!I$3,ListadoProductos[#Headers],0)))</f>
        <v/>
      </c>
      <c r="J101" s="99" t="str">
        <f>IF(Tabla19[[#This Row],[Comp1]]="","",COUNTIFS(TablaMaq1[Componente],Tabla19[[#This Row],[Comp1]],TablaMaq1[ID_Pedido],'2.C_Datos'!A101)+
COUNTIFS(TablaMaq2[Componente],Tabla19[[#This Row],[Comp1]],TablaMaq2[ID_Pedido],'2.C_Datos'!A101)+
COUNTIFS(TablaMaq3[Componente],Tabla19[[#This Row],[Comp1]],TablaMaq3[ID_Pedido],'2.C_Datos'!A101)+
COUNTIFS(TablaMaq4[Componente],Tabla19[[#This Row],[Comp1]],TablaMaq4[ID_Pedido],'2.C_Datos'!A101))</f>
        <v/>
      </c>
      <c r="K101" s="99" t="str">
        <f>IF(Tabla19[[#This Row],[Comp2]]="","",COUNTIFS(TablaMaq1[Componente],Tabla19[[#This Row],[Comp2]],TablaMaq1[ID_Pedido],'2.C_Datos'!A101)+
COUNTIFS(TablaMaq2[Componente],Tabla19[[#This Row],[Comp2]],TablaMaq2[ID_Pedido],'2.C_Datos'!A101)+
COUNTIFS(TablaMaq3[Componente],Tabla19[[#This Row],[Comp2]],TablaMaq3[ID_Pedido],'2.C_Datos'!A101)+
COUNTIFS(TablaMaq4[Componente],Tabla19[[#This Row],[Comp2]],TablaMaq4[ID_Pedido],'2.C_Datos'!A101))</f>
        <v/>
      </c>
      <c r="L101" s="99" t="str">
        <f>IF(Tabla19[[#This Row],[Comp3]]="","",COUNTIFS(TablaMaq1[Componente],Tabla19[[#This Row],[Comp3]],TablaMaq1[ID_Pedido],'2.C_Datos'!A101)+
COUNTIFS(TablaMaq2[Componente],Tabla19[[#This Row],[Comp3]],TablaMaq2[ID_Pedido],'2.C_Datos'!A101)+
COUNTIFS(TablaMaq3[Componente],Tabla19[[#This Row],[Comp3]],TablaMaq3[ID_Pedido],'2.C_Datos'!A101)+
COUNTIFS(TablaMaq4[Componente],Tabla19[[#This Row],[Comp3]],TablaMaq4[ID_Pedido],'2.C_Datos'!A101))</f>
        <v/>
      </c>
      <c r="M101" s="99" t="str">
        <f>IF(Tabla19[[#This Row],[Comp4]]="","",COUNTIFS(TablaMaq1[Componente],Tabla19[[#This Row],[Comp4]],TablaMaq1[ID_Pedido],'2.C_Datos'!A101)+
COUNTIFS(TablaMaq2[Componente],Tabla19[[#This Row],[Comp4]],TablaMaq2[ID_Pedido],'2.C_Datos'!A101)+
COUNTIFS(TablaMaq3[Componente],Tabla19[[#This Row],[Comp4]],TablaMaq3[ID_Pedido],'2.C_Datos'!A101)+
COUNTIFS(TablaMaq4[Componente],Tabla19[[#This Row],[Comp4]],TablaMaq4[ID_Pedido],'2.C_Datos'!A101))</f>
        <v/>
      </c>
      <c r="N101" s="99" t="str">
        <f>IF(Tabla19[[#This Row],[Comp5]]="","",COUNTIFS(TablaMaq1[Componente],Tabla19[[#This Row],[Comp5]],TablaMaq1[ID_Pedido],'2.C_Datos'!A101)+
COUNTIFS(TablaMaq1[Componente],Tabla19[[#This Row],[Comp5]],TablaMaq2[ID_Pedido],'2.C_Datos'!A101)+
COUNTIFS(TablaMaq1[Componente],Tabla19[[#This Row],[Comp5]],TablaMaq3[ID_Pedido],'2.C_Datos'!A101)+
COUNTIFS(TablaMaq1[Componente],Tabla19[[#This Row],[Comp5]],TablaMaq4[ID_Pedido],'2.C_Datos'!A101))</f>
        <v/>
      </c>
      <c r="O101" s="85" t="str">
        <f>IF(Tabla19[[#This Row],[Comp1]]="","",
IF(IF(Tabla19[[#This Row],[Comp1]]=0,0,1)*$D101-Tabla19[[#This Row],[Asign1]]=0,0,Tabla19[[#This Row],[Comp1]]))</f>
        <v/>
      </c>
      <c r="P101" s="85" t="str">
        <f>IF(Tabla19[[#This Row],[Comp2]]="","",
IF(IF(Tabla19[[#This Row],[Comp2]]=0,0,1)*$D101-Tabla19[[#This Row],[Asign2]]=0,0,Tabla19[[#This Row],[Comp2]]))</f>
        <v/>
      </c>
      <c r="Q101" s="85" t="str">
        <f>IF(Tabla19[[#This Row],[Comp3]]="","",
IF(IF(Tabla19[[#This Row],[Comp3]]=0,0,1)*$D101-Tabla19[[#This Row],[Asign3]]=0,0,Tabla19[[#This Row],[Comp3]]))</f>
        <v/>
      </c>
      <c r="R101" s="85" t="str">
        <f>IF(Tabla19[[#This Row],[Comp4]]="","",
IF(IF(Tabla19[[#This Row],[Comp4]]=0,0,1)*$D101-Tabla19[[#This Row],[Asign4]]=0,0,Tabla19[[#This Row],[Comp4]]))</f>
        <v/>
      </c>
      <c r="S101" s="85" t="str">
        <f>IF(Tabla19[[#This Row],[Comp5]]="","",
IF(IF(Tabla19[[#This Row],[Comp5]]=0,0,1)*$D101-Tabla19[[#This Row],[Asign5]]=0,0,Tabla19[[#This Row],[Comp5]]))</f>
        <v/>
      </c>
    </row>
    <row r="102" spans="5:19" x14ac:dyDescent="0.3">
      <c r="E102" s="99" t="str">
        <f>IF($A102="","",INDEX(ListadoProductos[],MATCH('2.C_Datos'!$C102,ListadoProductos[Productos],0),MATCH('2.C_Datos'!E$3,ListadoProductos[#Headers],0)))</f>
        <v/>
      </c>
      <c r="F102" s="99" t="str">
        <f>IF($A102="","",INDEX(ListadoProductos[],MATCH('2.C_Datos'!$C102,ListadoProductos[Productos],0),MATCH('2.C_Datos'!F$3,ListadoProductos[#Headers],0)))</f>
        <v/>
      </c>
      <c r="G102" s="99" t="str">
        <f>IF($A102="","",INDEX(ListadoProductos[],MATCH('2.C_Datos'!$C102,ListadoProductos[Productos],0),MATCH('2.C_Datos'!G$3,ListadoProductos[#Headers],0)))</f>
        <v/>
      </c>
      <c r="H102" s="99" t="str">
        <f>IF($A102="","",INDEX(ListadoProductos[],MATCH('2.C_Datos'!$C102,ListadoProductos[Productos],0),MATCH('2.C_Datos'!H$3,ListadoProductos[#Headers],0)))</f>
        <v/>
      </c>
      <c r="I102" s="99" t="str">
        <f>IF($A102="","",INDEX(ListadoProductos[],MATCH('2.C_Datos'!$C102,ListadoProductos[Productos],0),MATCH('2.C_Datos'!I$3,ListadoProductos[#Headers],0)))</f>
        <v/>
      </c>
      <c r="J102" s="99" t="str">
        <f>IF(Tabla19[[#This Row],[Comp1]]="","",COUNTIFS(TablaMaq1[Componente],Tabla19[[#This Row],[Comp1]],TablaMaq1[ID_Pedido],'2.C_Datos'!A102)+
COUNTIFS(TablaMaq2[Componente],Tabla19[[#This Row],[Comp1]],TablaMaq2[ID_Pedido],'2.C_Datos'!A102)+
COUNTIFS(TablaMaq3[Componente],Tabla19[[#This Row],[Comp1]],TablaMaq3[ID_Pedido],'2.C_Datos'!A102)+
COUNTIFS(TablaMaq4[Componente],Tabla19[[#This Row],[Comp1]],TablaMaq4[ID_Pedido],'2.C_Datos'!A102))</f>
        <v/>
      </c>
      <c r="K102" s="99" t="str">
        <f>IF(Tabla19[[#This Row],[Comp2]]="","",COUNTIFS(TablaMaq1[Componente],Tabla19[[#This Row],[Comp2]],TablaMaq1[ID_Pedido],'2.C_Datos'!A102)+
COUNTIFS(TablaMaq2[Componente],Tabla19[[#This Row],[Comp2]],TablaMaq2[ID_Pedido],'2.C_Datos'!A102)+
COUNTIFS(TablaMaq3[Componente],Tabla19[[#This Row],[Comp2]],TablaMaq3[ID_Pedido],'2.C_Datos'!A102)+
COUNTIFS(TablaMaq4[Componente],Tabla19[[#This Row],[Comp2]],TablaMaq4[ID_Pedido],'2.C_Datos'!A102))</f>
        <v/>
      </c>
      <c r="L102" s="99" t="str">
        <f>IF(Tabla19[[#This Row],[Comp3]]="","",COUNTIFS(TablaMaq1[Componente],Tabla19[[#This Row],[Comp3]],TablaMaq1[ID_Pedido],'2.C_Datos'!A102)+
COUNTIFS(TablaMaq2[Componente],Tabla19[[#This Row],[Comp3]],TablaMaq2[ID_Pedido],'2.C_Datos'!A102)+
COUNTIFS(TablaMaq3[Componente],Tabla19[[#This Row],[Comp3]],TablaMaq3[ID_Pedido],'2.C_Datos'!A102)+
COUNTIFS(TablaMaq4[Componente],Tabla19[[#This Row],[Comp3]],TablaMaq4[ID_Pedido],'2.C_Datos'!A102))</f>
        <v/>
      </c>
      <c r="M102" s="99" t="str">
        <f>IF(Tabla19[[#This Row],[Comp4]]="","",COUNTIFS(TablaMaq1[Componente],Tabla19[[#This Row],[Comp4]],TablaMaq1[ID_Pedido],'2.C_Datos'!A102)+
COUNTIFS(TablaMaq2[Componente],Tabla19[[#This Row],[Comp4]],TablaMaq2[ID_Pedido],'2.C_Datos'!A102)+
COUNTIFS(TablaMaq3[Componente],Tabla19[[#This Row],[Comp4]],TablaMaq3[ID_Pedido],'2.C_Datos'!A102)+
COUNTIFS(TablaMaq4[Componente],Tabla19[[#This Row],[Comp4]],TablaMaq4[ID_Pedido],'2.C_Datos'!A102))</f>
        <v/>
      </c>
      <c r="N102" s="99" t="str">
        <f>IF(Tabla19[[#This Row],[Comp5]]="","",COUNTIFS(TablaMaq1[Componente],Tabla19[[#This Row],[Comp5]],TablaMaq1[ID_Pedido],'2.C_Datos'!A102)+
COUNTIFS(TablaMaq1[Componente],Tabla19[[#This Row],[Comp5]],TablaMaq2[ID_Pedido],'2.C_Datos'!A102)+
COUNTIFS(TablaMaq1[Componente],Tabla19[[#This Row],[Comp5]],TablaMaq3[ID_Pedido],'2.C_Datos'!A102)+
COUNTIFS(TablaMaq1[Componente],Tabla19[[#This Row],[Comp5]],TablaMaq4[ID_Pedido],'2.C_Datos'!A102))</f>
        <v/>
      </c>
      <c r="O102" s="85" t="str">
        <f>IF(Tabla19[[#This Row],[Comp1]]="","",
IF(IF(Tabla19[[#This Row],[Comp1]]=0,0,1)*$D102-Tabla19[[#This Row],[Asign1]]=0,0,Tabla19[[#This Row],[Comp1]]))</f>
        <v/>
      </c>
      <c r="P102" s="85" t="str">
        <f>IF(Tabla19[[#This Row],[Comp2]]="","",
IF(IF(Tabla19[[#This Row],[Comp2]]=0,0,1)*$D102-Tabla19[[#This Row],[Asign2]]=0,0,Tabla19[[#This Row],[Comp2]]))</f>
        <v/>
      </c>
      <c r="Q102" s="85" t="str">
        <f>IF(Tabla19[[#This Row],[Comp3]]="","",
IF(IF(Tabla19[[#This Row],[Comp3]]=0,0,1)*$D102-Tabla19[[#This Row],[Asign3]]=0,0,Tabla19[[#This Row],[Comp3]]))</f>
        <v/>
      </c>
      <c r="R102" s="85" t="str">
        <f>IF(Tabla19[[#This Row],[Comp4]]="","",
IF(IF(Tabla19[[#This Row],[Comp4]]=0,0,1)*$D102-Tabla19[[#This Row],[Asign4]]=0,0,Tabla19[[#This Row],[Comp4]]))</f>
        <v/>
      </c>
      <c r="S102" s="85" t="str">
        <f>IF(Tabla19[[#This Row],[Comp5]]="","",
IF(IF(Tabla19[[#This Row],[Comp5]]=0,0,1)*$D102-Tabla19[[#This Row],[Asign5]]=0,0,Tabla19[[#This Row],[Comp5]]))</f>
        <v/>
      </c>
    </row>
    <row r="103" spans="5:19" x14ac:dyDescent="0.3">
      <c r="E103" s="99" t="str">
        <f>IF($A103="","",INDEX(ListadoProductos[],MATCH('2.C_Datos'!$C103,ListadoProductos[Productos],0),MATCH('2.C_Datos'!E$3,ListadoProductos[#Headers],0)))</f>
        <v/>
      </c>
      <c r="F103" s="99" t="str">
        <f>IF($A103="","",INDEX(ListadoProductos[],MATCH('2.C_Datos'!$C103,ListadoProductos[Productos],0),MATCH('2.C_Datos'!F$3,ListadoProductos[#Headers],0)))</f>
        <v/>
      </c>
      <c r="G103" s="99" t="str">
        <f>IF($A103="","",INDEX(ListadoProductos[],MATCH('2.C_Datos'!$C103,ListadoProductos[Productos],0),MATCH('2.C_Datos'!G$3,ListadoProductos[#Headers],0)))</f>
        <v/>
      </c>
      <c r="H103" s="99" t="str">
        <f>IF($A103="","",INDEX(ListadoProductos[],MATCH('2.C_Datos'!$C103,ListadoProductos[Productos],0),MATCH('2.C_Datos'!H$3,ListadoProductos[#Headers],0)))</f>
        <v/>
      </c>
      <c r="I103" s="99" t="str">
        <f>IF($A103="","",INDEX(ListadoProductos[],MATCH('2.C_Datos'!$C103,ListadoProductos[Productos],0),MATCH('2.C_Datos'!I$3,ListadoProductos[#Headers],0)))</f>
        <v/>
      </c>
      <c r="J103" s="99" t="str">
        <f>IF(Tabla19[[#This Row],[Comp1]]="","",COUNTIFS(TablaMaq1[Componente],Tabla19[[#This Row],[Comp1]],TablaMaq1[ID_Pedido],'2.C_Datos'!A103)+
COUNTIFS(TablaMaq2[Componente],Tabla19[[#This Row],[Comp1]],TablaMaq2[ID_Pedido],'2.C_Datos'!A103)+
COUNTIFS(TablaMaq3[Componente],Tabla19[[#This Row],[Comp1]],TablaMaq3[ID_Pedido],'2.C_Datos'!A103)+
COUNTIFS(TablaMaq4[Componente],Tabla19[[#This Row],[Comp1]],TablaMaq4[ID_Pedido],'2.C_Datos'!A103))</f>
        <v/>
      </c>
      <c r="K103" s="99" t="str">
        <f>IF(Tabla19[[#This Row],[Comp2]]="","",COUNTIFS(TablaMaq1[Componente],Tabla19[[#This Row],[Comp2]],TablaMaq1[ID_Pedido],'2.C_Datos'!A103)+
COUNTIFS(TablaMaq2[Componente],Tabla19[[#This Row],[Comp2]],TablaMaq2[ID_Pedido],'2.C_Datos'!A103)+
COUNTIFS(TablaMaq3[Componente],Tabla19[[#This Row],[Comp2]],TablaMaq3[ID_Pedido],'2.C_Datos'!A103)+
COUNTIFS(TablaMaq4[Componente],Tabla19[[#This Row],[Comp2]],TablaMaq4[ID_Pedido],'2.C_Datos'!A103))</f>
        <v/>
      </c>
      <c r="L103" s="99" t="str">
        <f>IF(Tabla19[[#This Row],[Comp3]]="","",COUNTIFS(TablaMaq1[Componente],Tabla19[[#This Row],[Comp3]],TablaMaq1[ID_Pedido],'2.C_Datos'!A103)+
COUNTIFS(TablaMaq2[Componente],Tabla19[[#This Row],[Comp3]],TablaMaq2[ID_Pedido],'2.C_Datos'!A103)+
COUNTIFS(TablaMaq3[Componente],Tabla19[[#This Row],[Comp3]],TablaMaq3[ID_Pedido],'2.C_Datos'!A103)+
COUNTIFS(TablaMaq4[Componente],Tabla19[[#This Row],[Comp3]],TablaMaq4[ID_Pedido],'2.C_Datos'!A103))</f>
        <v/>
      </c>
      <c r="M103" s="99" t="str">
        <f>IF(Tabla19[[#This Row],[Comp4]]="","",COUNTIFS(TablaMaq1[Componente],Tabla19[[#This Row],[Comp4]],TablaMaq1[ID_Pedido],'2.C_Datos'!A103)+
COUNTIFS(TablaMaq2[Componente],Tabla19[[#This Row],[Comp4]],TablaMaq2[ID_Pedido],'2.C_Datos'!A103)+
COUNTIFS(TablaMaq3[Componente],Tabla19[[#This Row],[Comp4]],TablaMaq3[ID_Pedido],'2.C_Datos'!A103)+
COUNTIFS(TablaMaq4[Componente],Tabla19[[#This Row],[Comp4]],TablaMaq4[ID_Pedido],'2.C_Datos'!A103))</f>
        <v/>
      </c>
      <c r="N103" s="99" t="str">
        <f>IF(Tabla19[[#This Row],[Comp5]]="","",COUNTIFS(TablaMaq1[Componente],Tabla19[[#This Row],[Comp5]],TablaMaq1[ID_Pedido],'2.C_Datos'!A103)+
COUNTIFS(TablaMaq1[Componente],Tabla19[[#This Row],[Comp5]],TablaMaq2[ID_Pedido],'2.C_Datos'!A103)+
COUNTIFS(TablaMaq1[Componente],Tabla19[[#This Row],[Comp5]],TablaMaq3[ID_Pedido],'2.C_Datos'!A103)+
COUNTIFS(TablaMaq1[Componente],Tabla19[[#This Row],[Comp5]],TablaMaq4[ID_Pedido],'2.C_Datos'!A103))</f>
        <v/>
      </c>
      <c r="O103" s="85" t="str">
        <f>IF(Tabla19[[#This Row],[Comp1]]="","",
IF(IF(Tabla19[[#This Row],[Comp1]]=0,0,1)*$D103-Tabla19[[#This Row],[Asign1]]=0,0,Tabla19[[#This Row],[Comp1]]))</f>
        <v/>
      </c>
      <c r="P103" s="85" t="str">
        <f>IF(Tabla19[[#This Row],[Comp2]]="","",
IF(IF(Tabla19[[#This Row],[Comp2]]=0,0,1)*$D103-Tabla19[[#This Row],[Asign2]]=0,0,Tabla19[[#This Row],[Comp2]]))</f>
        <v/>
      </c>
      <c r="Q103" s="85" t="str">
        <f>IF(Tabla19[[#This Row],[Comp3]]="","",
IF(IF(Tabla19[[#This Row],[Comp3]]=0,0,1)*$D103-Tabla19[[#This Row],[Asign3]]=0,0,Tabla19[[#This Row],[Comp3]]))</f>
        <v/>
      </c>
      <c r="R103" s="85" t="str">
        <f>IF(Tabla19[[#This Row],[Comp4]]="","",
IF(IF(Tabla19[[#This Row],[Comp4]]=0,0,1)*$D103-Tabla19[[#This Row],[Asign4]]=0,0,Tabla19[[#This Row],[Comp4]]))</f>
        <v/>
      </c>
      <c r="S103" s="85" t="str">
        <f>IF(Tabla19[[#This Row],[Comp5]]="","",
IF(IF(Tabla19[[#This Row],[Comp5]]=0,0,1)*$D103-Tabla19[[#This Row],[Asign5]]=0,0,Tabla19[[#This Row],[Comp5]]))</f>
        <v/>
      </c>
    </row>
    <row r="104" spans="5:19" x14ac:dyDescent="0.3">
      <c r="E104" s="99" t="str">
        <f>IF($A104="","",INDEX(ListadoProductos[],MATCH('2.C_Datos'!$C104,ListadoProductos[Productos],0),MATCH('2.C_Datos'!E$3,ListadoProductos[#Headers],0)))</f>
        <v/>
      </c>
      <c r="F104" s="99" t="str">
        <f>IF($A104="","",INDEX(ListadoProductos[],MATCH('2.C_Datos'!$C104,ListadoProductos[Productos],0),MATCH('2.C_Datos'!F$3,ListadoProductos[#Headers],0)))</f>
        <v/>
      </c>
      <c r="G104" s="99" t="str">
        <f>IF($A104="","",INDEX(ListadoProductos[],MATCH('2.C_Datos'!$C104,ListadoProductos[Productos],0),MATCH('2.C_Datos'!G$3,ListadoProductos[#Headers],0)))</f>
        <v/>
      </c>
      <c r="H104" s="99" t="str">
        <f>IF($A104="","",INDEX(ListadoProductos[],MATCH('2.C_Datos'!$C104,ListadoProductos[Productos],0),MATCH('2.C_Datos'!H$3,ListadoProductos[#Headers],0)))</f>
        <v/>
      </c>
      <c r="I104" s="99" t="str">
        <f>IF($A104="","",INDEX(ListadoProductos[],MATCH('2.C_Datos'!$C104,ListadoProductos[Productos],0),MATCH('2.C_Datos'!I$3,ListadoProductos[#Headers],0)))</f>
        <v/>
      </c>
      <c r="J104" s="99" t="str">
        <f>IF(Tabla19[[#This Row],[Comp1]]="","",COUNTIFS(TablaMaq1[Componente],Tabla19[[#This Row],[Comp1]],TablaMaq1[ID_Pedido],'2.C_Datos'!A104)+
COUNTIFS(TablaMaq2[Componente],Tabla19[[#This Row],[Comp1]],TablaMaq2[ID_Pedido],'2.C_Datos'!A104)+
COUNTIFS(TablaMaq3[Componente],Tabla19[[#This Row],[Comp1]],TablaMaq3[ID_Pedido],'2.C_Datos'!A104)+
COUNTIFS(TablaMaq4[Componente],Tabla19[[#This Row],[Comp1]],TablaMaq4[ID_Pedido],'2.C_Datos'!A104))</f>
        <v/>
      </c>
      <c r="K104" s="99" t="str">
        <f>IF(Tabla19[[#This Row],[Comp2]]="","",COUNTIFS(TablaMaq1[Componente],Tabla19[[#This Row],[Comp2]],TablaMaq1[ID_Pedido],'2.C_Datos'!A104)+
COUNTIFS(TablaMaq2[Componente],Tabla19[[#This Row],[Comp2]],TablaMaq2[ID_Pedido],'2.C_Datos'!A104)+
COUNTIFS(TablaMaq3[Componente],Tabla19[[#This Row],[Comp2]],TablaMaq3[ID_Pedido],'2.C_Datos'!A104)+
COUNTIFS(TablaMaq4[Componente],Tabla19[[#This Row],[Comp2]],TablaMaq4[ID_Pedido],'2.C_Datos'!A104))</f>
        <v/>
      </c>
      <c r="L104" s="99" t="str">
        <f>IF(Tabla19[[#This Row],[Comp3]]="","",COUNTIFS(TablaMaq1[Componente],Tabla19[[#This Row],[Comp3]],TablaMaq1[ID_Pedido],'2.C_Datos'!A104)+
COUNTIFS(TablaMaq2[Componente],Tabla19[[#This Row],[Comp3]],TablaMaq2[ID_Pedido],'2.C_Datos'!A104)+
COUNTIFS(TablaMaq3[Componente],Tabla19[[#This Row],[Comp3]],TablaMaq3[ID_Pedido],'2.C_Datos'!A104)+
COUNTIFS(TablaMaq4[Componente],Tabla19[[#This Row],[Comp3]],TablaMaq4[ID_Pedido],'2.C_Datos'!A104))</f>
        <v/>
      </c>
      <c r="M104" s="99" t="str">
        <f>IF(Tabla19[[#This Row],[Comp4]]="","",COUNTIFS(TablaMaq1[Componente],Tabla19[[#This Row],[Comp4]],TablaMaq1[ID_Pedido],'2.C_Datos'!A104)+
COUNTIFS(TablaMaq2[Componente],Tabla19[[#This Row],[Comp4]],TablaMaq2[ID_Pedido],'2.C_Datos'!A104)+
COUNTIFS(TablaMaq3[Componente],Tabla19[[#This Row],[Comp4]],TablaMaq3[ID_Pedido],'2.C_Datos'!A104)+
COUNTIFS(TablaMaq4[Componente],Tabla19[[#This Row],[Comp4]],TablaMaq4[ID_Pedido],'2.C_Datos'!A104))</f>
        <v/>
      </c>
      <c r="N104" s="99" t="str">
        <f>IF(Tabla19[[#This Row],[Comp5]]="","",COUNTIFS(TablaMaq1[Componente],Tabla19[[#This Row],[Comp5]],TablaMaq1[ID_Pedido],'2.C_Datos'!A104)+
COUNTIFS(TablaMaq1[Componente],Tabla19[[#This Row],[Comp5]],TablaMaq2[ID_Pedido],'2.C_Datos'!A104)+
COUNTIFS(TablaMaq1[Componente],Tabla19[[#This Row],[Comp5]],TablaMaq3[ID_Pedido],'2.C_Datos'!A104)+
COUNTIFS(TablaMaq1[Componente],Tabla19[[#This Row],[Comp5]],TablaMaq4[ID_Pedido],'2.C_Datos'!A104))</f>
        <v/>
      </c>
      <c r="O104" s="85" t="str">
        <f>IF(Tabla19[[#This Row],[Comp1]]="","",
IF(IF(Tabla19[[#This Row],[Comp1]]=0,0,1)*$D104-Tabla19[[#This Row],[Asign1]]=0,0,Tabla19[[#This Row],[Comp1]]))</f>
        <v/>
      </c>
      <c r="P104" s="85" t="str">
        <f>IF(Tabla19[[#This Row],[Comp2]]="","",
IF(IF(Tabla19[[#This Row],[Comp2]]=0,0,1)*$D104-Tabla19[[#This Row],[Asign2]]=0,0,Tabla19[[#This Row],[Comp2]]))</f>
        <v/>
      </c>
      <c r="Q104" s="85" t="str">
        <f>IF(Tabla19[[#This Row],[Comp3]]="","",
IF(IF(Tabla19[[#This Row],[Comp3]]=0,0,1)*$D104-Tabla19[[#This Row],[Asign3]]=0,0,Tabla19[[#This Row],[Comp3]]))</f>
        <v/>
      </c>
      <c r="R104" s="85" t="str">
        <f>IF(Tabla19[[#This Row],[Comp4]]="","",
IF(IF(Tabla19[[#This Row],[Comp4]]=0,0,1)*$D104-Tabla19[[#This Row],[Asign4]]=0,0,Tabla19[[#This Row],[Comp4]]))</f>
        <v/>
      </c>
      <c r="S104" s="85" t="str">
        <f>IF(Tabla19[[#This Row],[Comp5]]="","",
IF(IF(Tabla19[[#This Row],[Comp5]]=0,0,1)*$D104-Tabla19[[#This Row],[Asign5]]=0,0,Tabla19[[#This Row],[Comp5]]))</f>
        <v/>
      </c>
    </row>
    <row r="105" spans="5:19" x14ac:dyDescent="0.3">
      <c r="E105" s="99" t="str">
        <f>IF($A105="","",INDEX(ListadoProductos[],MATCH('2.C_Datos'!$C105,ListadoProductos[Productos],0),MATCH('2.C_Datos'!E$3,ListadoProductos[#Headers],0)))</f>
        <v/>
      </c>
      <c r="F105" s="99" t="str">
        <f>IF($A105="","",INDEX(ListadoProductos[],MATCH('2.C_Datos'!$C105,ListadoProductos[Productos],0),MATCH('2.C_Datos'!F$3,ListadoProductos[#Headers],0)))</f>
        <v/>
      </c>
      <c r="G105" s="99" t="str">
        <f>IF($A105="","",INDEX(ListadoProductos[],MATCH('2.C_Datos'!$C105,ListadoProductos[Productos],0),MATCH('2.C_Datos'!G$3,ListadoProductos[#Headers],0)))</f>
        <v/>
      </c>
      <c r="H105" s="99" t="str">
        <f>IF($A105="","",INDEX(ListadoProductos[],MATCH('2.C_Datos'!$C105,ListadoProductos[Productos],0),MATCH('2.C_Datos'!H$3,ListadoProductos[#Headers],0)))</f>
        <v/>
      </c>
      <c r="I105" s="99" t="str">
        <f>IF($A105="","",INDEX(ListadoProductos[],MATCH('2.C_Datos'!$C105,ListadoProductos[Productos],0),MATCH('2.C_Datos'!I$3,ListadoProductos[#Headers],0)))</f>
        <v/>
      </c>
      <c r="J105" s="99" t="str">
        <f>IF(Tabla19[[#This Row],[Comp1]]="","",COUNTIFS(TablaMaq1[Componente],Tabla19[[#This Row],[Comp1]],TablaMaq1[ID_Pedido],'2.C_Datos'!A105)+
COUNTIFS(TablaMaq2[Componente],Tabla19[[#This Row],[Comp1]],TablaMaq2[ID_Pedido],'2.C_Datos'!A105)+
COUNTIFS(TablaMaq3[Componente],Tabla19[[#This Row],[Comp1]],TablaMaq3[ID_Pedido],'2.C_Datos'!A105)+
COUNTIFS(TablaMaq4[Componente],Tabla19[[#This Row],[Comp1]],TablaMaq4[ID_Pedido],'2.C_Datos'!A105))</f>
        <v/>
      </c>
      <c r="K105" s="99" t="str">
        <f>IF(Tabla19[[#This Row],[Comp2]]="","",COUNTIFS(TablaMaq1[Componente],Tabla19[[#This Row],[Comp2]],TablaMaq1[ID_Pedido],'2.C_Datos'!A105)+
COUNTIFS(TablaMaq2[Componente],Tabla19[[#This Row],[Comp2]],TablaMaq2[ID_Pedido],'2.C_Datos'!A105)+
COUNTIFS(TablaMaq3[Componente],Tabla19[[#This Row],[Comp2]],TablaMaq3[ID_Pedido],'2.C_Datos'!A105)+
COUNTIFS(TablaMaq4[Componente],Tabla19[[#This Row],[Comp2]],TablaMaq4[ID_Pedido],'2.C_Datos'!A105))</f>
        <v/>
      </c>
      <c r="L105" s="99" t="str">
        <f>IF(Tabla19[[#This Row],[Comp3]]="","",COUNTIFS(TablaMaq1[Componente],Tabla19[[#This Row],[Comp3]],TablaMaq1[ID_Pedido],'2.C_Datos'!A105)+
COUNTIFS(TablaMaq2[Componente],Tabla19[[#This Row],[Comp3]],TablaMaq2[ID_Pedido],'2.C_Datos'!A105)+
COUNTIFS(TablaMaq3[Componente],Tabla19[[#This Row],[Comp3]],TablaMaq3[ID_Pedido],'2.C_Datos'!A105)+
COUNTIFS(TablaMaq4[Componente],Tabla19[[#This Row],[Comp3]],TablaMaq4[ID_Pedido],'2.C_Datos'!A105))</f>
        <v/>
      </c>
      <c r="M105" s="99" t="str">
        <f>IF(Tabla19[[#This Row],[Comp4]]="","",COUNTIFS(TablaMaq1[Componente],Tabla19[[#This Row],[Comp4]],TablaMaq1[ID_Pedido],'2.C_Datos'!A105)+
COUNTIFS(TablaMaq2[Componente],Tabla19[[#This Row],[Comp4]],TablaMaq2[ID_Pedido],'2.C_Datos'!A105)+
COUNTIFS(TablaMaq3[Componente],Tabla19[[#This Row],[Comp4]],TablaMaq3[ID_Pedido],'2.C_Datos'!A105)+
COUNTIFS(TablaMaq4[Componente],Tabla19[[#This Row],[Comp4]],TablaMaq4[ID_Pedido],'2.C_Datos'!A105))</f>
        <v/>
      </c>
      <c r="N105" s="99" t="str">
        <f>IF(Tabla19[[#This Row],[Comp5]]="","",COUNTIFS(TablaMaq1[Componente],Tabla19[[#This Row],[Comp5]],TablaMaq1[ID_Pedido],'2.C_Datos'!A105)+
COUNTIFS(TablaMaq1[Componente],Tabla19[[#This Row],[Comp5]],TablaMaq2[ID_Pedido],'2.C_Datos'!A105)+
COUNTIFS(TablaMaq1[Componente],Tabla19[[#This Row],[Comp5]],TablaMaq3[ID_Pedido],'2.C_Datos'!A105)+
COUNTIFS(TablaMaq1[Componente],Tabla19[[#This Row],[Comp5]],TablaMaq4[ID_Pedido],'2.C_Datos'!A105))</f>
        <v/>
      </c>
      <c r="O105" s="85" t="str">
        <f>IF(Tabla19[[#This Row],[Comp1]]="","",
IF(IF(Tabla19[[#This Row],[Comp1]]=0,0,1)*$D105-Tabla19[[#This Row],[Asign1]]=0,0,Tabla19[[#This Row],[Comp1]]))</f>
        <v/>
      </c>
      <c r="P105" s="85" t="str">
        <f>IF(Tabla19[[#This Row],[Comp2]]="","",
IF(IF(Tabla19[[#This Row],[Comp2]]=0,0,1)*$D105-Tabla19[[#This Row],[Asign2]]=0,0,Tabla19[[#This Row],[Comp2]]))</f>
        <v/>
      </c>
      <c r="Q105" s="85" t="str">
        <f>IF(Tabla19[[#This Row],[Comp3]]="","",
IF(IF(Tabla19[[#This Row],[Comp3]]=0,0,1)*$D105-Tabla19[[#This Row],[Asign3]]=0,0,Tabla19[[#This Row],[Comp3]]))</f>
        <v/>
      </c>
      <c r="R105" s="85" t="str">
        <f>IF(Tabla19[[#This Row],[Comp4]]="","",
IF(IF(Tabla19[[#This Row],[Comp4]]=0,0,1)*$D105-Tabla19[[#This Row],[Asign4]]=0,0,Tabla19[[#This Row],[Comp4]]))</f>
        <v/>
      </c>
      <c r="S105" s="85" t="str">
        <f>IF(Tabla19[[#This Row],[Comp5]]="","",
IF(IF(Tabla19[[#This Row],[Comp5]]=0,0,1)*$D105-Tabla19[[#This Row],[Asign5]]=0,0,Tabla19[[#This Row],[Comp5]]))</f>
        <v/>
      </c>
    </row>
    <row r="106" spans="5:19" x14ac:dyDescent="0.3">
      <c r="E106" s="99" t="str">
        <f>IF($A106="","",INDEX(ListadoProductos[],MATCH('2.C_Datos'!$C106,ListadoProductos[Productos],0),MATCH('2.C_Datos'!E$3,ListadoProductos[#Headers],0)))</f>
        <v/>
      </c>
      <c r="F106" s="99" t="str">
        <f>IF($A106="","",INDEX(ListadoProductos[],MATCH('2.C_Datos'!$C106,ListadoProductos[Productos],0),MATCH('2.C_Datos'!F$3,ListadoProductos[#Headers],0)))</f>
        <v/>
      </c>
      <c r="G106" s="99" t="str">
        <f>IF($A106="","",INDEX(ListadoProductos[],MATCH('2.C_Datos'!$C106,ListadoProductos[Productos],0),MATCH('2.C_Datos'!G$3,ListadoProductos[#Headers],0)))</f>
        <v/>
      </c>
      <c r="H106" s="99" t="str">
        <f>IF($A106="","",INDEX(ListadoProductos[],MATCH('2.C_Datos'!$C106,ListadoProductos[Productos],0),MATCH('2.C_Datos'!H$3,ListadoProductos[#Headers],0)))</f>
        <v/>
      </c>
      <c r="I106" s="99" t="str">
        <f>IF($A106="","",INDEX(ListadoProductos[],MATCH('2.C_Datos'!$C106,ListadoProductos[Productos],0),MATCH('2.C_Datos'!I$3,ListadoProductos[#Headers],0)))</f>
        <v/>
      </c>
      <c r="J106" s="99" t="str">
        <f>IF(Tabla19[[#This Row],[Comp1]]="","",COUNTIFS(TablaMaq1[Componente],Tabla19[[#This Row],[Comp1]],TablaMaq1[ID_Pedido],'2.C_Datos'!A106)+
COUNTIFS(TablaMaq2[Componente],Tabla19[[#This Row],[Comp1]],TablaMaq2[ID_Pedido],'2.C_Datos'!A106)+
COUNTIFS(TablaMaq3[Componente],Tabla19[[#This Row],[Comp1]],TablaMaq3[ID_Pedido],'2.C_Datos'!A106)+
COUNTIFS(TablaMaq4[Componente],Tabla19[[#This Row],[Comp1]],TablaMaq4[ID_Pedido],'2.C_Datos'!A106))</f>
        <v/>
      </c>
      <c r="K106" s="99" t="str">
        <f>IF(Tabla19[[#This Row],[Comp2]]="","",COUNTIFS(TablaMaq1[Componente],Tabla19[[#This Row],[Comp2]],TablaMaq1[ID_Pedido],'2.C_Datos'!A106)+
COUNTIFS(TablaMaq2[Componente],Tabla19[[#This Row],[Comp2]],TablaMaq2[ID_Pedido],'2.C_Datos'!A106)+
COUNTIFS(TablaMaq3[Componente],Tabla19[[#This Row],[Comp2]],TablaMaq3[ID_Pedido],'2.C_Datos'!A106)+
COUNTIFS(TablaMaq4[Componente],Tabla19[[#This Row],[Comp2]],TablaMaq4[ID_Pedido],'2.C_Datos'!A106))</f>
        <v/>
      </c>
      <c r="L106" s="99" t="str">
        <f>IF(Tabla19[[#This Row],[Comp3]]="","",COUNTIFS(TablaMaq1[Componente],Tabla19[[#This Row],[Comp3]],TablaMaq1[ID_Pedido],'2.C_Datos'!A106)+
COUNTIFS(TablaMaq2[Componente],Tabla19[[#This Row],[Comp3]],TablaMaq2[ID_Pedido],'2.C_Datos'!A106)+
COUNTIFS(TablaMaq3[Componente],Tabla19[[#This Row],[Comp3]],TablaMaq3[ID_Pedido],'2.C_Datos'!A106)+
COUNTIFS(TablaMaq4[Componente],Tabla19[[#This Row],[Comp3]],TablaMaq4[ID_Pedido],'2.C_Datos'!A106))</f>
        <v/>
      </c>
      <c r="M106" s="99" t="str">
        <f>IF(Tabla19[[#This Row],[Comp4]]="","",COUNTIFS(TablaMaq1[Componente],Tabla19[[#This Row],[Comp4]],TablaMaq1[ID_Pedido],'2.C_Datos'!A106)+
COUNTIFS(TablaMaq2[Componente],Tabla19[[#This Row],[Comp4]],TablaMaq2[ID_Pedido],'2.C_Datos'!A106)+
COUNTIFS(TablaMaq3[Componente],Tabla19[[#This Row],[Comp4]],TablaMaq3[ID_Pedido],'2.C_Datos'!A106)+
COUNTIFS(TablaMaq4[Componente],Tabla19[[#This Row],[Comp4]],TablaMaq4[ID_Pedido],'2.C_Datos'!A106))</f>
        <v/>
      </c>
      <c r="N106" s="99" t="str">
        <f>IF(Tabla19[[#This Row],[Comp5]]="","",COUNTIFS(TablaMaq1[Componente],Tabla19[[#This Row],[Comp5]],TablaMaq1[ID_Pedido],'2.C_Datos'!A106)+
COUNTIFS(TablaMaq1[Componente],Tabla19[[#This Row],[Comp5]],TablaMaq2[ID_Pedido],'2.C_Datos'!A106)+
COUNTIFS(TablaMaq1[Componente],Tabla19[[#This Row],[Comp5]],TablaMaq3[ID_Pedido],'2.C_Datos'!A106)+
COUNTIFS(TablaMaq1[Componente],Tabla19[[#This Row],[Comp5]],TablaMaq4[ID_Pedido],'2.C_Datos'!A106))</f>
        <v/>
      </c>
      <c r="O106" s="85" t="str">
        <f>IF(Tabla19[[#This Row],[Comp1]]="","",
IF(IF(Tabla19[[#This Row],[Comp1]]=0,0,1)*$D106-Tabla19[[#This Row],[Asign1]]=0,0,Tabla19[[#This Row],[Comp1]]))</f>
        <v/>
      </c>
      <c r="P106" s="85" t="str">
        <f>IF(Tabla19[[#This Row],[Comp2]]="","",
IF(IF(Tabla19[[#This Row],[Comp2]]=0,0,1)*$D106-Tabla19[[#This Row],[Asign2]]=0,0,Tabla19[[#This Row],[Comp2]]))</f>
        <v/>
      </c>
      <c r="Q106" s="85" t="str">
        <f>IF(Tabla19[[#This Row],[Comp3]]="","",
IF(IF(Tabla19[[#This Row],[Comp3]]=0,0,1)*$D106-Tabla19[[#This Row],[Asign3]]=0,0,Tabla19[[#This Row],[Comp3]]))</f>
        <v/>
      </c>
      <c r="R106" s="85" t="str">
        <f>IF(Tabla19[[#This Row],[Comp4]]="","",
IF(IF(Tabla19[[#This Row],[Comp4]]=0,0,1)*$D106-Tabla19[[#This Row],[Asign4]]=0,0,Tabla19[[#This Row],[Comp4]]))</f>
        <v/>
      </c>
      <c r="S106" s="85" t="str">
        <f>IF(Tabla19[[#This Row],[Comp5]]="","",
IF(IF(Tabla19[[#This Row],[Comp5]]=0,0,1)*$D106-Tabla19[[#This Row],[Asign5]]=0,0,Tabla19[[#This Row],[Comp5]]))</f>
        <v/>
      </c>
    </row>
    <row r="107" spans="5:19" x14ac:dyDescent="0.3">
      <c r="E107" s="99" t="str">
        <f>IF($A107="","",INDEX(ListadoProductos[],MATCH('2.C_Datos'!$C107,ListadoProductos[Productos],0),MATCH('2.C_Datos'!E$3,ListadoProductos[#Headers],0)))</f>
        <v/>
      </c>
      <c r="F107" s="99" t="str">
        <f>IF($A107="","",INDEX(ListadoProductos[],MATCH('2.C_Datos'!$C107,ListadoProductos[Productos],0),MATCH('2.C_Datos'!F$3,ListadoProductos[#Headers],0)))</f>
        <v/>
      </c>
      <c r="G107" s="99" t="str">
        <f>IF($A107="","",INDEX(ListadoProductos[],MATCH('2.C_Datos'!$C107,ListadoProductos[Productos],0),MATCH('2.C_Datos'!G$3,ListadoProductos[#Headers],0)))</f>
        <v/>
      </c>
      <c r="H107" s="99" t="str">
        <f>IF($A107="","",INDEX(ListadoProductos[],MATCH('2.C_Datos'!$C107,ListadoProductos[Productos],0),MATCH('2.C_Datos'!H$3,ListadoProductos[#Headers],0)))</f>
        <v/>
      </c>
      <c r="I107" s="99" t="str">
        <f>IF($A107="","",INDEX(ListadoProductos[],MATCH('2.C_Datos'!$C107,ListadoProductos[Productos],0),MATCH('2.C_Datos'!I$3,ListadoProductos[#Headers],0)))</f>
        <v/>
      </c>
      <c r="J107" s="99" t="str">
        <f>IF(Tabla19[[#This Row],[Comp1]]="","",COUNTIFS(TablaMaq1[Componente],Tabla19[[#This Row],[Comp1]],TablaMaq1[ID_Pedido],'2.C_Datos'!A107)+
COUNTIFS(TablaMaq2[Componente],Tabla19[[#This Row],[Comp1]],TablaMaq2[ID_Pedido],'2.C_Datos'!A107)+
COUNTIFS(TablaMaq3[Componente],Tabla19[[#This Row],[Comp1]],TablaMaq3[ID_Pedido],'2.C_Datos'!A107)+
COUNTIFS(TablaMaq4[Componente],Tabla19[[#This Row],[Comp1]],TablaMaq4[ID_Pedido],'2.C_Datos'!A107))</f>
        <v/>
      </c>
      <c r="K107" s="99" t="str">
        <f>IF(Tabla19[[#This Row],[Comp2]]="","",COUNTIFS(TablaMaq1[Componente],Tabla19[[#This Row],[Comp2]],TablaMaq1[ID_Pedido],'2.C_Datos'!A107)+
COUNTIFS(TablaMaq2[Componente],Tabla19[[#This Row],[Comp2]],TablaMaq2[ID_Pedido],'2.C_Datos'!A107)+
COUNTIFS(TablaMaq3[Componente],Tabla19[[#This Row],[Comp2]],TablaMaq3[ID_Pedido],'2.C_Datos'!A107)+
COUNTIFS(TablaMaq4[Componente],Tabla19[[#This Row],[Comp2]],TablaMaq4[ID_Pedido],'2.C_Datos'!A107))</f>
        <v/>
      </c>
      <c r="L107" s="99" t="str">
        <f>IF(Tabla19[[#This Row],[Comp3]]="","",COUNTIFS(TablaMaq1[Componente],Tabla19[[#This Row],[Comp3]],TablaMaq1[ID_Pedido],'2.C_Datos'!A107)+
COUNTIFS(TablaMaq2[Componente],Tabla19[[#This Row],[Comp3]],TablaMaq2[ID_Pedido],'2.C_Datos'!A107)+
COUNTIFS(TablaMaq3[Componente],Tabla19[[#This Row],[Comp3]],TablaMaq3[ID_Pedido],'2.C_Datos'!A107)+
COUNTIFS(TablaMaq4[Componente],Tabla19[[#This Row],[Comp3]],TablaMaq4[ID_Pedido],'2.C_Datos'!A107))</f>
        <v/>
      </c>
      <c r="M107" s="99" t="str">
        <f>IF(Tabla19[[#This Row],[Comp4]]="","",COUNTIFS(TablaMaq1[Componente],Tabla19[[#This Row],[Comp4]],TablaMaq1[ID_Pedido],'2.C_Datos'!A107)+
COUNTIFS(TablaMaq2[Componente],Tabla19[[#This Row],[Comp4]],TablaMaq2[ID_Pedido],'2.C_Datos'!A107)+
COUNTIFS(TablaMaq3[Componente],Tabla19[[#This Row],[Comp4]],TablaMaq3[ID_Pedido],'2.C_Datos'!A107)+
COUNTIFS(TablaMaq4[Componente],Tabla19[[#This Row],[Comp4]],TablaMaq4[ID_Pedido],'2.C_Datos'!A107))</f>
        <v/>
      </c>
      <c r="N107" s="99" t="str">
        <f>IF(Tabla19[[#This Row],[Comp5]]="","",COUNTIFS(TablaMaq1[Componente],Tabla19[[#This Row],[Comp5]],TablaMaq1[ID_Pedido],'2.C_Datos'!A107)+
COUNTIFS(TablaMaq1[Componente],Tabla19[[#This Row],[Comp5]],TablaMaq2[ID_Pedido],'2.C_Datos'!A107)+
COUNTIFS(TablaMaq1[Componente],Tabla19[[#This Row],[Comp5]],TablaMaq3[ID_Pedido],'2.C_Datos'!A107)+
COUNTIFS(TablaMaq1[Componente],Tabla19[[#This Row],[Comp5]],TablaMaq4[ID_Pedido],'2.C_Datos'!A107))</f>
        <v/>
      </c>
      <c r="O107" s="85" t="str">
        <f>IF(Tabla19[[#This Row],[Comp1]]="","",
IF(IF(Tabla19[[#This Row],[Comp1]]=0,0,1)*$D107-Tabla19[[#This Row],[Asign1]]=0,0,Tabla19[[#This Row],[Comp1]]))</f>
        <v/>
      </c>
      <c r="P107" s="85" t="str">
        <f>IF(Tabla19[[#This Row],[Comp2]]="","",
IF(IF(Tabla19[[#This Row],[Comp2]]=0,0,1)*$D107-Tabla19[[#This Row],[Asign2]]=0,0,Tabla19[[#This Row],[Comp2]]))</f>
        <v/>
      </c>
      <c r="Q107" s="85" t="str">
        <f>IF(Tabla19[[#This Row],[Comp3]]="","",
IF(IF(Tabla19[[#This Row],[Comp3]]=0,0,1)*$D107-Tabla19[[#This Row],[Asign3]]=0,0,Tabla19[[#This Row],[Comp3]]))</f>
        <v/>
      </c>
      <c r="R107" s="85" t="str">
        <f>IF(Tabla19[[#This Row],[Comp4]]="","",
IF(IF(Tabla19[[#This Row],[Comp4]]=0,0,1)*$D107-Tabla19[[#This Row],[Asign4]]=0,0,Tabla19[[#This Row],[Comp4]]))</f>
        <v/>
      </c>
      <c r="S107" s="85" t="str">
        <f>IF(Tabla19[[#This Row],[Comp5]]="","",
IF(IF(Tabla19[[#This Row],[Comp5]]=0,0,1)*$D107-Tabla19[[#This Row],[Asign5]]=0,0,Tabla19[[#This Row],[Comp5]]))</f>
        <v/>
      </c>
    </row>
    <row r="108" spans="5:19" x14ac:dyDescent="0.3">
      <c r="E108" s="99" t="str">
        <f>IF($A108="","",INDEX(ListadoProductos[],MATCH('2.C_Datos'!$C108,ListadoProductos[Productos],0),MATCH('2.C_Datos'!E$3,ListadoProductos[#Headers],0)))</f>
        <v/>
      </c>
      <c r="F108" s="99" t="str">
        <f>IF($A108="","",INDEX(ListadoProductos[],MATCH('2.C_Datos'!$C108,ListadoProductos[Productos],0),MATCH('2.C_Datos'!F$3,ListadoProductos[#Headers],0)))</f>
        <v/>
      </c>
      <c r="G108" s="99" t="str">
        <f>IF($A108="","",INDEX(ListadoProductos[],MATCH('2.C_Datos'!$C108,ListadoProductos[Productos],0),MATCH('2.C_Datos'!G$3,ListadoProductos[#Headers],0)))</f>
        <v/>
      </c>
      <c r="H108" s="99" t="str">
        <f>IF($A108="","",INDEX(ListadoProductos[],MATCH('2.C_Datos'!$C108,ListadoProductos[Productos],0),MATCH('2.C_Datos'!H$3,ListadoProductos[#Headers],0)))</f>
        <v/>
      </c>
      <c r="I108" s="99" t="str">
        <f>IF($A108="","",INDEX(ListadoProductos[],MATCH('2.C_Datos'!$C108,ListadoProductos[Productos],0),MATCH('2.C_Datos'!I$3,ListadoProductos[#Headers],0)))</f>
        <v/>
      </c>
      <c r="J108" s="99" t="str">
        <f>IF(Tabla19[[#This Row],[Comp1]]="","",COUNTIFS(TablaMaq1[Componente],Tabla19[[#This Row],[Comp1]],TablaMaq1[ID_Pedido],'2.C_Datos'!A108)+
COUNTIFS(TablaMaq2[Componente],Tabla19[[#This Row],[Comp1]],TablaMaq2[ID_Pedido],'2.C_Datos'!A108)+
COUNTIFS(TablaMaq3[Componente],Tabla19[[#This Row],[Comp1]],TablaMaq3[ID_Pedido],'2.C_Datos'!A108)+
COUNTIFS(TablaMaq4[Componente],Tabla19[[#This Row],[Comp1]],TablaMaq4[ID_Pedido],'2.C_Datos'!A108))</f>
        <v/>
      </c>
      <c r="K108" s="99" t="str">
        <f>IF(Tabla19[[#This Row],[Comp2]]="","",COUNTIFS(TablaMaq1[Componente],Tabla19[[#This Row],[Comp2]],TablaMaq1[ID_Pedido],'2.C_Datos'!A108)+
COUNTIFS(TablaMaq2[Componente],Tabla19[[#This Row],[Comp2]],TablaMaq2[ID_Pedido],'2.C_Datos'!A108)+
COUNTIFS(TablaMaq3[Componente],Tabla19[[#This Row],[Comp2]],TablaMaq3[ID_Pedido],'2.C_Datos'!A108)+
COUNTIFS(TablaMaq4[Componente],Tabla19[[#This Row],[Comp2]],TablaMaq4[ID_Pedido],'2.C_Datos'!A108))</f>
        <v/>
      </c>
      <c r="L108" s="99" t="str">
        <f>IF(Tabla19[[#This Row],[Comp3]]="","",COUNTIFS(TablaMaq1[Componente],Tabla19[[#This Row],[Comp3]],TablaMaq1[ID_Pedido],'2.C_Datos'!A108)+
COUNTIFS(TablaMaq2[Componente],Tabla19[[#This Row],[Comp3]],TablaMaq2[ID_Pedido],'2.C_Datos'!A108)+
COUNTIFS(TablaMaq3[Componente],Tabla19[[#This Row],[Comp3]],TablaMaq3[ID_Pedido],'2.C_Datos'!A108)+
COUNTIFS(TablaMaq4[Componente],Tabla19[[#This Row],[Comp3]],TablaMaq4[ID_Pedido],'2.C_Datos'!A108))</f>
        <v/>
      </c>
      <c r="M108" s="99" t="str">
        <f>IF(Tabla19[[#This Row],[Comp4]]="","",COUNTIFS(TablaMaq1[Componente],Tabla19[[#This Row],[Comp4]],TablaMaq1[ID_Pedido],'2.C_Datos'!A108)+
COUNTIFS(TablaMaq2[Componente],Tabla19[[#This Row],[Comp4]],TablaMaq2[ID_Pedido],'2.C_Datos'!A108)+
COUNTIFS(TablaMaq3[Componente],Tabla19[[#This Row],[Comp4]],TablaMaq3[ID_Pedido],'2.C_Datos'!A108)+
COUNTIFS(TablaMaq4[Componente],Tabla19[[#This Row],[Comp4]],TablaMaq4[ID_Pedido],'2.C_Datos'!A108))</f>
        <v/>
      </c>
      <c r="N108" s="99" t="str">
        <f>IF(Tabla19[[#This Row],[Comp5]]="","",COUNTIFS(TablaMaq1[Componente],Tabla19[[#This Row],[Comp5]],TablaMaq1[ID_Pedido],'2.C_Datos'!A108)+
COUNTIFS(TablaMaq1[Componente],Tabla19[[#This Row],[Comp5]],TablaMaq2[ID_Pedido],'2.C_Datos'!A108)+
COUNTIFS(TablaMaq1[Componente],Tabla19[[#This Row],[Comp5]],TablaMaq3[ID_Pedido],'2.C_Datos'!A108)+
COUNTIFS(TablaMaq1[Componente],Tabla19[[#This Row],[Comp5]],TablaMaq4[ID_Pedido],'2.C_Datos'!A108))</f>
        <v/>
      </c>
      <c r="O108" s="85" t="str">
        <f>IF(Tabla19[[#This Row],[Comp1]]="","",
IF(IF(Tabla19[[#This Row],[Comp1]]=0,0,1)*$D108-Tabla19[[#This Row],[Asign1]]=0,0,Tabla19[[#This Row],[Comp1]]))</f>
        <v/>
      </c>
      <c r="P108" s="85" t="str">
        <f>IF(Tabla19[[#This Row],[Comp2]]="","",
IF(IF(Tabla19[[#This Row],[Comp2]]=0,0,1)*$D108-Tabla19[[#This Row],[Asign2]]=0,0,Tabla19[[#This Row],[Comp2]]))</f>
        <v/>
      </c>
      <c r="Q108" s="85" t="str">
        <f>IF(Tabla19[[#This Row],[Comp3]]="","",
IF(IF(Tabla19[[#This Row],[Comp3]]=0,0,1)*$D108-Tabla19[[#This Row],[Asign3]]=0,0,Tabla19[[#This Row],[Comp3]]))</f>
        <v/>
      </c>
      <c r="R108" s="85" t="str">
        <f>IF(Tabla19[[#This Row],[Comp4]]="","",
IF(IF(Tabla19[[#This Row],[Comp4]]=0,0,1)*$D108-Tabla19[[#This Row],[Asign4]]=0,0,Tabla19[[#This Row],[Comp4]]))</f>
        <v/>
      </c>
      <c r="S108" s="85" t="str">
        <f>IF(Tabla19[[#This Row],[Comp5]]="","",
IF(IF(Tabla19[[#This Row],[Comp5]]=0,0,1)*$D108-Tabla19[[#This Row],[Asign5]]=0,0,Tabla19[[#This Row],[Comp5]]))</f>
        <v/>
      </c>
    </row>
    <row r="109" spans="5:19" x14ac:dyDescent="0.3">
      <c r="E109" s="99" t="str">
        <f>IF($A109="","",INDEX(ListadoProductos[],MATCH('2.C_Datos'!$C109,ListadoProductos[Productos],0),MATCH('2.C_Datos'!E$3,ListadoProductos[#Headers],0)))</f>
        <v/>
      </c>
      <c r="F109" s="99" t="str">
        <f>IF($A109="","",INDEX(ListadoProductos[],MATCH('2.C_Datos'!$C109,ListadoProductos[Productos],0),MATCH('2.C_Datos'!F$3,ListadoProductos[#Headers],0)))</f>
        <v/>
      </c>
      <c r="G109" s="99" t="str">
        <f>IF($A109="","",INDEX(ListadoProductos[],MATCH('2.C_Datos'!$C109,ListadoProductos[Productos],0),MATCH('2.C_Datos'!G$3,ListadoProductos[#Headers],0)))</f>
        <v/>
      </c>
      <c r="H109" s="99" t="str">
        <f>IF($A109="","",INDEX(ListadoProductos[],MATCH('2.C_Datos'!$C109,ListadoProductos[Productos],0),MATCH('2.C_Datos'!H$3,ListadoProductos[#Headers],0)))</f>
        <v/>
      </c>
      <c r="I109" s="99" t="str">
        <f>IF($A109="","",INDEX(ListadoProductos[],MATCH('2.C_Datos'!$C109,ListadoProductos[Productos],0),MATCH('2.C_Datos'!I$3,ListadoProductos[#Headers],0)))</f>
        <v/>
      </c>
      <c r="J109" s="99" t="str">
        <f>IF(Tabla19[[#This Row],[Comp1]]="","",COUNTIFS(TablaMaq1[Componente],Tabla19[[#This Row],[Comp1]],TablaMaq1[ID_Pedido],'2.C_Datos'!A109)+
COUNTIFS(TablaMaq2[Componente],Tabla19[[#This Row],[Comp1]],TablaMaq2[ID_Pedido],'2.C_Datos'!A109)+
COUNTIFS(TablaMaq3[Componente],Tabla19[[#This Row],[Comp1]],TablaMaq3[ID_Pedido],'2.C_Datos'!A109)+
COUNTIFS(TablaMaq4[Componente],Tabla19[[#This Row],[Comp1]],TablaMaq4[ID_Pedido],'2.C_Datos'!A109))</f>
        <v/>
      </c>
      <c r="K109" s="99" t="str">
        <f>IF(Tabla19[[#This Row],[Comp2]]="","",COUNTIFS(TablaMaq1[Componente],Tabla19[[#This Row],[Comp2]],TablaMaq1[ID_Pedido],'2.C_Datos'!A109)+
COUNTIFS(TablaMaq2[Componente],Tabla19[[#This Row],[Comp2]],TablaMaq2[ID_Pedido],'2.C_Datos'!A109)+
COUNTIFS(TablaMaq3[Componente],Tabla19[[#This Row],[Comp2]],TablaMaq3[ID_Pedido],'2.C_Datos'!A109)+
COUNTIFS(TablaMaq4[Componente],Tabla19[[#This Row],[Comp2]],TablaMaq4[ID_Pedido],'2.C_Datos'!A109))</f>
        <v/>
      </c>
      <c r="L109" s="99" t="str">
        <f>IF(Tabla19[[#This Row],[Comp3]]="","",COUNTIFS(TablaMaq1[Componente],Tabla19[[#This Row],[Comp3]],TablaMaq1[ID_Pedido],'2.C_Datos'!A109)+
COUNTIFS(TablaMaq2[Componente],Tabla19[[#This Row],[Comp3]],TablaMaq2[ID_Pedido],'2.C_Datos'!A109)+
COUNTIFS(TablaMaq3[Componente],Tabla19[[#This Row],[Comp3]],TablaMaq3[ID_Pedido],'2.C_Datos'!A109)+
COUNTIFS(TablaMaq4[Componente],Tabla19[[#This Row],[Comp3]],TablaMaq4[ID_Pedido],'2.C_Datos'!A109))</f>
        <v/>
      </c>
      <c r="M109" s="99" t="str">
        <f>IF(Tabla19[[#This Row],[Comp4]]="","",COUNTIFS(TablaMaq1[Componente],Tabla19[[#This Row],[Comp4]],TablaMaq1[ID_Pedido],'2.C_Datos'!A109)+
COUNTIFS(TablaMaq2[Componente],Tabla19[[#This Row],[Comp4]],TablaMaq2[ID_Pedido],'2.C_Datos'!A109)+
COUNTIFS(TablaMaq3[Componente],Tabla19[[#This Row],[Comp4]],TablaMaq3[ID_Pedido],'2.C_Datos'!A109)+
COUNTIFS(TablaMaq4[Componente],Tabla19[[#This Row],[Comp4]],TablaMaq4[ID_Pedido],'2.C_Datos'!A109))</f>
        <v/>
      </c>
      <c r="N109" s="99" t="str">
        <f>IF(Tabla19[[#This Row],[Comp5]]="","",COUNTIFS(TablaMaq1[Componente],Tabla19[[#This Row],[Comp5]],TablaMaq1[ID_Pedido],'2.C_Datos'!A109)+
COUNTIFS(TablaMaq1[Componente],Tabla19[[#This Row],[Comp5]],TablaMaq2[ID_Pedido],'2.C_Datos'!A109)+
COUNTIFS(TablaMaq1[Componente],Tabla19[[#This Row],[Comp5]],TablaMaq3[ID_Pedido],'2.C_Datos'!A109)+
COUNTIFS(TablaMaq1[Componente],Tabla19[[#This Row],[Comp5]],TablaMaq4[ID_Pedido],'2.C_Datos'!A109))</f>
        <v/>
      </c>
      <c r="O109" s="85" t="str">
        <f>IF(Tabla19[[#This Row],[Comp1]]="","",
IF(IF(Tabla19[[#This Row],[Comp1]]=0,0,1)*$D109-Tabla19[[#This Row],[Asign1]]=0,0,Tabla19[[#This Row],[Comp1]]))</f>
        <v/>
      </c>
      <c r="P109" s="85" t="str">
        <f>IF(Tabla19[[#This Row],[Comp2]]="","",
IF(IF(Tabla19[[#This Row],[Comp2]]=0,0,1)*$D109-Tabla19[[#This Row],[Asign2]]=0,0,Tabla19[[#This Row],[Comp2]]))</f>
        <v/>
      </c>
      <c r="Q109" s="85" t="str">
        <f>IF(Tabla19[[#This Row],[Comp3]]="","",
IF(IF(Tabla19[[#This Row],[Comp3]]=0,0,1)*$D109-Tabla19[[#This Row],[Asign3]]=0,0,Tabla19[[#This Row],[Comp3]]))</f>
        <v/>
      </c>
      <c r="R109" s="85" t="str">
        <f>IF(Tabla19[[#This Row],[Comp4]]="","",
IF(IF(Tabla19[[#This Row],[Comp4]]=0,0,1)*$D109-Tabla19[[#This Row],[Asign4]]=0,0,Tabla19[[#This Row],[Comp4]]))</f>
        <v/>
      </c>
      <c r="S109" s="85" t="str">
        <f>IF(Tabla19[[#This Row],[Comp5]]="","",
IF(IF(Tabla19[[#This Row],[Comp5]]=0,0,1)*$D109-Tabla19[[#This Row],[Asign5]]=0,0,Tabla19[[#This Row],[Comp5]]))</f>
        <v/>
      </c>
    </row>
    <row r="110" spans="5:19" x14ac:dyDescent="0.3">
      <c r="E110" s="99" t="str">
        <f>IF($A110="","",INDEX(ListadoProductos[],MATCH('2.C_Datos'!$C110,ListadoProductos[Productos],0),MATCH('2.C_Datos'!E$3,ListadoProductos[#Headers],0)))</f>
        <v/>
      </c>
      <c r="F110" s="99" t="str">
        <f>IF($A110="","",INDEX(ListadoProductos[],MATCH('2.C_Datos'!$C110,ListadoProductos[Productos],0),MATCH('2.C_Datos'!F$3,ListadoProductos[#Headers],0)))</f>
        <v/>
      </c>
      <c r="G110" s="99" t="str">
        <f>IF($A110="","",INDEX(ListadoProductos[],MATCH('2.C_Datos'!$C110,ListadoProductos[Productos],0),MATCH('2.C_Datos'!G$3,ListadoProductos[#Headers],0)))</f>
        <v/>
      </c>
      <c r="H110" s="99" t="str">
        <f>IF($A110="","",INDEX(ListadoProductos[],MATCH('2.C_Datos'!$C110,ListadoProductos[Productos],0),MATCH('2.C_Datos'!H$3,ListadoProductos[#Headers],0)))</f>
        <v/>
      </c>
      <c r="I110" s="99" t="str">
        <f>IF($A110="","",INDEX(ListadoProductos[],MATCH('2.C_Datos'!$C110,ListadoProductos[Productos],0),MATCH('2.C_Datos'!I$3,ListadoProductos[#Headers],0)))</f>
        <v/>
      </c>
      <c r="J110" s="99" t="str">
        <f>IF(Tabla19[[#This Row],[Comp1]]="","",COUNTIFS(TablaMaq1[Componente],Tabla19[[#This Row],[Comp1]],TablaMaq1[ID_Pedido],'2.C_Datos'!A110)+
COUNTIFS(TablaMaq2[Componente],Tabla19[[#This Row],[Comp1]],TablaMaq2[ID_Pedido],'2.C_Datos'!A110)+
COUNTIFS(TablaMaq3[Componente],Tabla19[[#This Row],[Comp1]],TablaMaq3[ID_Pedido],'2.C_Datos'!A110)+
COUNTIFS(TablaMaq4[Componente],Tabla19[[#This Row],[Comp1]],TablaMaq4[ID_Pedido],'2.C_Datos'!A110))</f>
        <v/>
      </c>
      <c r="K110" s="99" t="str">
        <f>IF(Tabla19[[#This Row],[Comp2]]="","",COUNTIFS(TablaMaq1[Componente],Tabla19[[#This Row],[Comp2]],TablaMaq1[ID_Pedido],'2.C_Datos'!A110)+
COUNTIFS(TablaMaq2[Componente],Tabla19[[#This Row],[Comp2]],TablaMaq2[ID_Pedido],'2.C_Datos'!A110)+
COUNTIFS(TablaMaq3[Componente],Tabla19[[#This Row],[Comp2]],TablaMaq3[ID_Pedido],'2.C_Datos'!A110)+
COUNTIFS(TablaMaq4[Componente],Tabla19[[#This Row],[Comp2]],TablaMaq4[ID_Pedido],'2.C_Datos'!A110))</f>
        <v/>
      </c>
      <c r="L110" s="99" t="str">
        <f>IF(Tabla19[[#This Row],[Comp3]]="","",COUNTIFS(TablaMaq1[Componente],Tabla19[[#This Row],[Comp3]],TablaMaq1[ID_Pedido],'2.C_Datos'!A110)+
COUNTIFS(TablaMaq2[Componente],Tabla19[[#This Row],[Comp3]],TablaMaq2[ID_Pedido],'2.C_Datos'!A110)+
COUNTIFS(TablaMaq3[Componente],Tabla19[[#This Row],[Comp3]],TablaMaq3[ID_Pedido],'2.C_Datos'!A110)+
COUNTIFS(TablaMaq4[Componente],Tabla19[[#This Row],[Comp3]],TablaMaq4[ID_Pedido],'2.C_Datos'!A110))</f>
        <v/>
      </c>
      <c r="M110" s="99" t="str">
        <f>IF(Tabla19[[#This Row],[Comp4]]="","",COUNTIFS(TablaMaq1[Componente],Tabla19[[#This Row],[Comp4]],TablaMaq1[ID_Pedido],'2.C_Datos'!A110)+
COUNTIFS(TablaMaq2[Componente],Tabla19[[#This Row],[Comp4]],TablaMaq2[ID_Pedido],'2.C_Datos'!A110)+
COUNTIFS(TablaMaq3[Componente],Tabla19[[#This Row],[Comp4]],TablaMaq3[ID_Pedido],'2.C_Datos'!A110)+
COUNTIFS(TablaMaq4[Componente],Tabla19[[#This Row],[Comp4]],TablaMaq4[ID_Pedido],'2.C_Datos'!A110))</f>
        <v/>
      </c>
      <c r="N110" s="99" t="str">
        <f>IF(Tabla19[[#This Row],[Comp5]]="","",COUNTIFS(TablaMaq1[Componente],Tabla19[[#This Row],[Comp5]],TablaMaq1[ID_Pedido],'2.C_Datos'!A110)+
COUNTIFS(TablaMaq1[Componente],Tabla19[[#This Row],[Comp5]],TablaMaq2[ID_Pedido],'2.C_Datos'!A110)+
COUNTIFS(TablaMaq1[Componente],Tabla19[[#This Row],[Comp5]],TablaMaq3[ID_Pedido],'2.C_Datos'!A110)+
COUNTIFS(TablaMaq1[Componente],Tabla19[[#This Row],[Comp5]],TablaMaq4[ID_Pedido],'2.C_Datos'!A110))</f>
        <v/>
      </c>
      <c r="O110" s="85" t="str">
        <f>IF(Tabla19[[#This Row],[Comp1]]="","",
IF(IF(Tabla19[[#This Row],[Comp1]]=0,0,1)*$D110-Tabla19[[#This Row],[Asign1]]=0,0,Tabla19[[#This Row],[Comp1]]))</f>
        <v/>
      </c>
      <c r="P110" s="85" t="str">
        <f>IF(Tabla19[[#This Row],[Comp2]]="","",
IF(IF(Tabla19[[#This Row],[Comp2]]=0,0,1)*$D110-Tabla19[[#This Row],[Asign2]]=0,0,Tabla19[[#This Row],[Comp2]]))</f>
        <v/>
      </c>
      <c r="Q110" s="85" t="str">
        <f>IF(Tabla19[[#This Row],[Comp3]]="","",
IF(IF(Tabla19[[#This Row],[Comp3]]=0,0,1)*$D110-Tabla19[[#This Row],[Asign3]]=0,0,Tabla19[[#This Row],[Comp3]]))</f>
        <v/>
      </c>
      <c r="R110" s="85" t="str">
        <f>IF(Tabla19[[#This Row],[Comp4]]="","",
IF(IF(Tabla19[[#This Row],[Comp4]]=0,0,1)*$D110-Tabla19[[#This Row],[Asign4]]=0,0,Tabla19[[#This Row],[Comp4]]))</f>
        <v/>
      </c>
      <c r="S110" s="85" t="str">
        <f>IF(Tabla19[[#This Row],[Comp5]]="","",
IF(IF(Tabla19[[#This Row],[Comp5]]=0,0,1)*$D110-Tabla19[[#This Row],[Asign5]]=0,0,Tabla19[[#This Row],[Comp5]]))</f>
        <v/>
      </c>
    </row>
    <row r="111" spans="5:19" x14ac:dyDescent="0.3">
      <c r="E111" s="99" t="str">
        <f>IF($A111="","",INDEX(ListadoProductos[],MATCH('2.C_Datos'!$C111,ListadoProductos[Productos],0),MATCH('2.C_Datos'!E$3,ListadoProductos[#Headers],0)))</f>
        <v/>
      </c>
      <c r="F111" s="99" t="str">
        <f>IF($A111="","",INDEX(ListadoProductos[],MATCH('2.C_Datos'!$C111,ListadoProductos[Productos],0),MATCH('2.C_Datos'!F$3,ListadoProductos[#Headers],0)))</f>
        <v/>
      </c>
      <c r="G111" s="99" t="str">
        <f>IF($A111="","",INDEX(ListadoProductos[],MATCH('2.C_Datos'!$C111,ListadoProductos[Productos],0),MATCH('2.C_Datos'!G$3,ListadoProductos[#Headers],0)))</f>
        <v/>
      </c>
      <c r="H111" s="99" t="str">
        <f>IF($A111="","",INDEX(ListadoProductos[],MATCH('2.C_Datos'!$C111,ListadoProductos[Productos],0),MATCH('2.C_Datos'!H$3,ListadoProductos[#Headers],0)))</f>
        <v/>
      </c>
      <c r="I111" s="99" t="str">
        <f>IF($A111="","",INDEX(ListadoProductos[],MATCH('2.C_Datos'!$C111,ListadoProductos[Productos],0),MATCH('2.C_Datos'!I$3,ListadoProductos[#Headers],0)))</f>
        <v/>
      </c>
      <c r="J111" s="99" t="str">
        <f>IF(Tabla19[[#This Row],[Comp1]]="","",COUNTIFS(TablaMaq1[Componente],Tabla19[[#This Row],[Comp1]],TablaMaq1[ID_Pedido],'2.C_Datos'!A111)+
COUNTIFS(TablaMaq2[Componente],Tabla19[[#This Row],[Comp1]],TablaMaq2[ID_Pedido],'2.C_Datos'!A111)+
COUNTIFS(TablaMaq3[Componente],Tabla19[[#This Row],[Comp1]],TablaMaq3[ID_Pedido],'2.C_Datos'!A111)+
COUNTIFS(TablaMaq4[Componente],Tabla19[[#This Row],[Comp1]],TablaMaq4[ID_Pedido],'2.C_Datos'!A111))</f>
        <v/>
      </c>
      <c r="K111" s="99" t="str">
        <f>IF(Tabla19[[#This Row],[Comp2]]="","",COUNTIFS(TablaMaq1[Componente],Tabla19[[#This Row],[Comp2]],TablaMaq1[ID_Pedido],'2.C_Datos'!A111)+
COUNTIFS(TablaMaq2[Componente],Tabla19[[#This Row],[Comp2]],TablaMaq2[ID_Pedido],'2.C_Datos'!A111)+
COUNTIFS(TablaMaq3[Componente],Tabla19[[#This Row],[Comp2]],TablaMaq3[ID_Pedido],'2.C_Datos'!A111)+
COUNTIFS(TablaMaq4[Componente],Tabla19[[#This Row],[Comp2]],TablaMaq4[ID_Pedido],'2.C_Datos'!A111))</f>
        <v/>
      </c>
      <c r="L111" s="99" t="str">
        <f>IF(Tabla19[[#This Row],[Comp3]]="","",COUNTIFS(TablaMaq1[Componente],Tabla19[[#This Row],[Comp3]],TablaMaq1[ID_Pedido],'2.C_Datos'!A111)+
COUNTIFS(TablaMaq2[Componente],Tabla19[[#This Row],[Comp3]],TablaMaq2[ID_Pedido],'2.C_Datos'!A111)+
COUNTIFS(TablaMaq3[Componente],Tabla19[[#This Row],[Comp3]],TablaMaq3[ID_Pedido],'2.C_Datos'!A111)+
COUNTIFS(TablaMaq4[Componente],Tabla19[[#This Row],[Comp3]],TablaMaq4[ID_Pedido],'2.C_Datos'!A111))</f>
        <v/>
      </c>
      <c r="M111" s="99" t="str">
        <f>IF(Tabla19[[#This Row],[Comp4]]="","",COUNTIFS(TablaMaq1[Componente],Tabla19[[#This Row],[Comp4]],TablaMaq1[ID_Pedido],'2.C_Datos'!A111)+
COUNTIFS(TablaMaq2[Componente],Tabla19[[#This Row],[Comp4]],TablaMaq2[ID_Pedido],'2.C_Datos'!A111)+
COUNTIFS(TablaMaq3[Componente],Tabla19[[#This Row],[Comp4]],TablaMaq3[ID_Pedido],'2.C_Datos'!A111)+
COUNTIFS(TablaMaq4[Componente],Tabla19[[#This Row],[Comp4]],TablaMaq4[ID_Pedido],'2.C_Datos'!A111))</f>
        <v/>
      </c>
      <c r="N111" s="99" t="str">
        <f>IF(Tabla19[[#This Row],[Comp5]]="","",COUNTIFS(TablaMaq1[Componente],Tabla19[[#This Row],[Comp5]],TablaMaq1[ID_Pedido],'2.C_Datos'!A111)+
COUNTIFS(TablaMaq1[Componente],Tabla19[[#This Row],[Comp5]],TablaMaq2[ID_Pedido],'2.C_Datos'!A111)+
COUNTIFS(TablaMaq1[Componente],Tabla19[[#This Row],[Comp5]],TablaMaq3[ID_Pedido],'2.C_Datos'!A111)+
COUNTIFS(TablaMaq1[Componente],Tabla19[[#This Row],[Comp5]],TablaMaq4[ID_Pedido],'2.C_Datos'!A111))</f>
        <v/>
      </c>
      <c r="O111" s="85" t="str">
        <f>IF(Tabla19[[#This Row],[Comp1]]="","",
IF(IF(Tabla19[[#This Row],[Comp1]]=0,0,1)*$D111-Tabla19[[#This Row],[Asign1]]=0,0,Tabla19[[#This Row],[Comp1]]))</f>
        <v/>
      </c>
      <c r="P111" s="85" t="str">
        <f>IF(Tabla19[[#This Row],[Comp2]]="","",
IF(IF(Tabla19[[#This Row],[Comp2]]=0,0,1)*$D111-Tabla19[[#This Row],[Asign2]]=0,0,Tabla19[[#This Row],[Comp2]]))</f>
        <v/>
      </c>
      <c r="Q111" s="85" t="str">
        <f>IF(Tabla19[[#This Row],[Comp3]]="","",
IF(IF(Tabla19[[#This Row],[Comp3]]=0,0,1)*$D111-Tabla19[[#This Row],[Asign3]]=0,0,Tabla19[[#This Row],[Comp3]]))</f>
        <v/>
      </c>
      <c r="R111" s="85" t="str">
        <f>IF(Tabla19[[#This Row],[Comp4]]="","",
IF(IF(Tabla19[[#This Row],[Comp4]]=0,0,1)*$D111-Tabla19[[#This Row],[Asign4]]=0,0,Tabla19[[#This Row],[Comp4]]))</f>
        <v/>
      </c>
      <c r="S111" s="85" t="str">
        <f>IF(Tabla19[[#This Row],[Comp5]]="","",
IF(IF(Tabla19[[#This Row],[Comp5]]=0,0,1)*$D111-Tabla19[[#This Row],[Asign5]]=0,0,Tabla19[[#This Row],[Comp5]]))</f>
        <v/>
      </c>
    </row>
    <row r="112" spans="5:19" x14ac:dyDescent="0.3">
      <c r="E112" s="99" t="str">
        <f>IF($A112="","",INDEX(ListadoProductos[],MATCH('2.C_Datos'!$C112,ListadoProductos[Productos],0),MATCH('2.C_Datos'!E$3,ListadoProductos[#Headers],0)))</f>
        <v/>
      </c>
      <c r="F112" s="99" t="str">
        <f>IF($A112="","",INDEX(ListadoProductos[],MATCH('2.C_Datos'!$C112,ListadoProductos[Productos],0),MATCH('2.C_Datos'!F$3,ListadoProductos[#Headers],0)))</f>
        <v/>
      </c>
      <c r="G112" s="99" t="str">
        <f>IF($A112="","",INDEX(ListadoProductos[],MATCH('2.C_Datos'!$C112,ListadoProductos[Productos],0),MATCH('2.C_Datos'!G$3,ListadoProductos[#Headers],0)))</f>
        <v/>
      </c>
      <c r="H112" s="99" t="str">
        <f>IF($A112="","",INDEX(ListadoProductos[],MATCH('2.C_Datos'!$C112,ListadoProductos[Productos],0),MATCH('2.C_Datos'!H$3,ListadoProductos[#Headers],0)))</f>
        <v/>
      </c>
      <c r="I112" s="99" t="str">
        <f>IF($A112="","",INDEX(ListadoProductos[],MATCH('2.C_Datos'!$C112,ListadoProductos[Productos],0),MATCH('2.C_Datos'!I$3,ListadoProductos[#Headers],0)))</f>
        <v/>
      </c>
      <c r="J112" s="99" t="str">
        <f>IF(Tabla19[[#This Row],[Comp1]]="","",COUNTIFS(TablaMaq1[Componente],Tabla19[[#This Row],[Comp1]],TablaMaq1[ID_Pedido],'2.C_Datos'!A112)+
COUNTIFS(TablaMaq2[Componente],Tabla19[[#This Row],[Comp1]],TablaMaq2[ID_Pedido],'2.C_Datos'!A112)+
COUNTIFS(TablaMaq3[Componente],Tabla19[[#This Row],[Comp1]],TablaMaq3[ID_Pedido],'2.C_Datos'!A112)+
COUNTIFS(TablaMaq4[Componente],Tabla19[[#This Row],[Comp1]],TablaMaq4[ID_Pedido],'2.C_Datos'!A112))</f>
        <v/>
      </c>
      <c r="K112" s="99" t="str">
        <f>IF(Tabla19[[#This Row],[Comp2]]="","",COUNTIFS(TablaMaq1[Componente],Tabla19[[#This Row],[Comp2]],TablaMaq1[ID_Pedido],'2.C_Datos'!A112)+
COUNTIFS(TablaMaq2[Componente],Tabla19[[#This Row],[Comp2]],TablaMaq2[ID_Pedido],'2.C_Datos'!A112)+
COUNTIFS(TablaMaq3[Componente],Tabla19[[#This Row],[Comp2]],TablaMaq3[ID_Pedido],'2.C_Datos'!A112)+
COUNTIFS(TablaMaq4[Componente],Tabla19[[#This Row],[Comp2]],TablaMaq4[ID_Pedido],'2.C_Datos'!A112))</f>
        <v/>
      </c>
      <c r="L112" s="99" t="str">
        <f>IF(Tabla19[[#This Row],[Comp3]]="","",COUNTIFS(TablaMaq1[Componente],Tabla19[[#This Row],[Comp3]],TablaMaq1[ID_Pedido],'2.C_Datos'!A112)+
COUNTIFS(TablaMaq2[Componente],Tabla19[[#This Row],[Comp3]],TablaMaq2[ID_Pedido],'2.C_Datos'!A112)+
COUNTIFS(TablaMaq3[Componente],Tabla19[[#This Row],[Comp3]],TablaMaq3[ID_Pedido],'2.C_Datos'!A112)+
COUNTIFS(TablaMaq4[Componente],Tabla19[[#This Row],[Comp3]],TablaMaq4[ID_Pedido],'2.C_Datos'!A112))</f>
        <v/>
      </c>
      <c r="M112" s="99" t="str">
        <f>IF(Tabla19[[#This Row],[Comp4]]="","",COUNTIFS(TablaMaq1[Componente],Tabla19[[#This Row],[Comp4]],TablaMaq1[ID_Pedido],'2.C_Datos'!A112)+
COUNTIFS(TablaMaq2[Componente],Tabla19[[#This Row],[Comp4]],TablaMaq2[ID_Pedido],'2.C_Datos'!A112)+
COUNTIFS(TablaMaq3[Componente],Tabla19[[#This Row],[Comp4]],TablaMaq3[ID_Pedido],'2.C_Datos'!A112)+
COUNTIFS(TablaMaq4[Componente],Tabla19[[#This Row],[Comp4]],TablaMaq4[ID_Pedido],'2.C_Datos'!A112))</f>
        <v/>
      </c>
      <c r="N112" s="99" t="str">
        <f>IF(Tabla19[[#This Row],[Comp5]]="","",COUNTIFS(TablaMaq1[Componente],Tabla19[[#This Row],[Comp5]],TablaMaq1[ID_Pedido],'2.C_Datos'!A112)+
COUNTIFS(TablaMaq1[Componente],Tabla19[[#This Row],[Comp5]],TablaMaq2[ID_Pedido],'2.C_Datos'!A112)+
COUNTIFS(TablaMaq1[Componente],Tabla19[[#This Row],[Comp5]],TablaMaq3[ID_Pedido],'2.C_Datos'!A112)+
COUNTIFS(TablaMaq1[Componente],Tabla19[[#This Row],[Comp5]],TablaMaq4[ID_Pedido],'2.C_Datos'!A112))</f>
        <v/>
      </c>
      <c r="O112" s="85" t="str">
        <f>IF(Tabla19[[#This Row],[Comp1]]="","",
IF(IF(Tabla19[[#This Row],[Comp1]]=0,0,1)*$D112-Tabla19[[#This Row],[Asign1]]=0,0,Tabla19[[#This Row],[Comp1]]))</f>
        <v/>
      </c>
      <c r="P112" s="85" t="str">
        <f>IF(Tabla19[[#This Row],[Comp2]]="","",
IF(IF(Tabla19[[#This Row],[Comp2]]=0,0,1)*$D112-Tabla19[[#This Row],[Asign2]]=0,0,Tabla19[[#This Row],[Comp2]]))</f>
        <v/>
      </c>
      <c r="Q112" s="85" t="str">
        <f>IF(Tabla19[[#This Row],[Comp3]]="","",
IF(IF(Tabla19[[#This Row],[Comp3]]=0,0,1)*$D112-Tabla19[[#This Row],[Asign3]]=0,0,Tabla19[[#This Row],[Comp3]]))</f>
        <v/>
      </c>
      <c r="R112" s="85" t="str">
        <f>IF(Tabla19[[#This Row],[Comp4]]="","",
IF(IF(Tabla19[[#This Row],[Comp4]]=0,0,1)*$D112-Tabla19[[#This Row],[Asign4]]=0,0,Tabla19[[#This Row],[Comp4]]))</f>
        <v/>
      </c>
      <c r="S112" s="85" t="str">
        <f>IF(Tabla19[[#This Row],[Comp5]]="","",
IF(IF(Tabla19[[#This Row],[Comp5]]=0,0,1)*$D112-Tabla19[[#This Row],[Asign5]]=0,0,Tabla19[[#This Row],[Comp5]]))</f>
        <v/>
      </c>
    </row>
    <row r="113" spans="5:19" x14ac:dyDescent="0.3">
      <c r="E113" s="99" t="str">
        <f>IF($A113="","",INDEX(ListadoProductos[],MATCH('2.C_Datos'!$C113,ListadoProductos[Productos],0),MATCH('2.C_Datos'!E$3,ListadoProductos[#Headers],0)))</f>
        <v/>
      </c>
      <c r="F113" s="99" t="str">
        <f>IF($A113="","",INDEX(ListadoProductos[],MATCH('2.C_Datos'!$C113,ListadoProductos[Productos],0),MATCH('2.C_Datos'!F$3,ListadoProductos[#Headers],0)))</f>
        <v/>
      </c>
      <c r="G113" s="99" t="str">
        <f>IF($A113="","",INDEX(ListadoProductos[],MATCH('2.C_Datos'!$C113,ListadoProductos[Productos],0),MATCH('2.C_Datos'!G$3,ListadoProductos[#Headers],0)))</f>
        <v/>
      </c>
      <c r="H113" s="99" t="str">
        <f>IF($A113="","",INDEX(ListadoProductos[],MATCH('2.C_Datos'!$C113,ListadoProductos[Productos],0),MATCH('2.C_Datos'!H$3,ListadoProductos[#Headers],0)))</f>
        <v/>
      </c>
      <c r="I113" s="99" t="str">
        <f>IF($A113="","",INDEX(ListadoProductos[],MATCH('2.C_Datos'!$C113,ListadoProductos[Productos],0),MATCH('2.C_Datos'!I$3,ListadoProductos[#Headers],0)))</f>
        <v/>
      </c>
      <c r="J113" s="99" t="str">
        <f>IF(Tabla19[[#This Row],[Comp1]]="","",COUNTIFS(TablaMaq1[Componente],Tabla19[[#This Row],[Comp1]],TablaMaq1[ID_Pedido],'2.C_Datos'!A113)+
COUNTIFS(TablaMaq2[Componente],Tabla19[[#This Row],[Comp1]],TablaMaq2[ID_Pedido],'2.C_Datos'!A113)+
COUNTIFS(TablaMaq3[Componente],Tabla19[[#This Row],[Comp1]],TablaMaq3[ID_Pedido],'2.C_Datos'!A113)+
COUNTIFS(TablaMaq4[Componente],Tabla19[[#This Row],[Comp1]],TablaMaq4[ID_Pedido],'2.C_Datos'!A113))</f>
        <v/>
      </c>
      <c r="K113" s="99" t="str">
        <f>IF(Tabla19[[#This Row],[Comp2]]="","",COUNTIFS(TablaMaq1[Componente],Tabla19[[#This Row],[Comp2]],TablaMaq1[ID_Pedido],'2.C_Datos'!A113)+
COUNTIFS(TablaMaq2[Componente],Tabla19[[#This Row],[Comp2]],TablaMaq2[ID_Pedido],'2.C_Datos'!A113)+
COUNTIFS(TablaMaq3[Componente],Tabla19[[#This Row],[Comp2]],TablaMaq3[ID_Pedido],'2.C_Datos'!A113)+
COUNTIFS(TablaMaq4[Componente],Tabla19[[#This Row],[Comp2]],TablaMaq4[ID_Pedido],'2.C_Datos'!A113))</f>
        <v/>
      </c>
      <c r="L113" s="99" t="str">
        <f>IF(Tabla19[[#This Row],[Comp3]]="","",COUNTIFS(TablaMaq1[Componente],Tabla19[[#This Row],[Comp3]],TablaMaq1[ID_Pedido],'2.C_Datos'!A113)+
COUNTIFS(TablaMaq2[Componente],Tabla19[[#This Row],[Comp3]],TablaMaq2[ID_Pedido],'2.C_Datos'!A113)+
COUNTIFS(TablaMaq3[Componente],Tabla19[[#This Row],[Comp3]],TablaMaq3[ID_Pedido],'2.C_Datos'!A113)+
COUNTIFS(TablaMaq4[Componente],Tabla19[[#This Row],[Comp3]],TablaMaq4[ID_Pedido],'2.C_Datos'!A113))</f>
        <v/>
      </c>
      <c r="M113" s="99" t="str">
        <f>IF(Tabla19[[#This Row],[Comp4]]="","",COUNTIFS(TablaMaq1[Componente],Tabla19[[#This Row],[Comp4]],TablaMaq1[ID_Pedido],'2.C_Datos'!A113)+
COUNTIFS(TablaMaq2[Componente],Tabla19[[#This Row],[Comp4]],TablaMaq2[ID_Pedido],'2.C_Datos'!A113)+
COUNTIFS(TablaMaq3[Componente],Tabla19[[#This Row],[Comp4]],TablaMaq3[ID_Pedido],'2.C_Datos'!A113)+
COUNTIFS(TablaMaq4[Componente],Tabla19[[#This Row],[Comp4]],TablaMaq4[ID_Pedido],'2.C_Datos'!A113))</f>
        <v/>
      </c>
      <c r="N113" s="99" t="str">
        <f>IF(Tabla19[[#This Row],[Comp5]]="","",COUNTIFS(TablaMaq1[Componente],Tabla19[[#This Row],[Comp5]],TablaMaq1[ID_Pedido],'2.C_Datos'!A113)+
COUNTIFS(TablaMaq1[Componente],Tabla19[[#This Row],[Comp5]],TablaMaq2[ID_Pedido],'2.C_Datos'!A113)+
COUNTIFS(TablaMaq1[Componente],Tabla19[[#This Row],[Comp5]],TablaMaq3[ID_Pedido],'2.C_Datos'!A113)+
COUNTIFS(TablaMaq1[Componente],Tabla19[[#This Row],[Comp5]],TablaMaq4[ID_Pedido],'2.C_Datos'!A113))</f>
        <v/>
      </c>
      <c r="O113" s="85" t="str">
        <f>IF(Tabla19[[#This Row],[Comp1]]="","",
IF(IF(Tabla19[[#This Row],[Comp1]]=0,0,1)*$D113-Tabla19[[#This Row],[Asign1]]=0,0,Tabla19[[#This Row],[Comp1]]))</f>
        <v/>
      </c>
      <c r="P113" s="85" t="str">
        <f>IF(Tabla19[[#This Row],[Comp2]]="","",
IF(IF(Tabla19[[#This Row],[Comp2]]=0,0,1)*$D113-Tabla19[[#This Row],[Asign2]]=0,0,Tabla19[[#This Row],[Comp2]]))</f>
        <v/>
      </c>
      <c r="Q113" s="85" t="str">
        <f>IF(Tabla19[[#This Row],[Comp3]]="","",
IF(IF(Tabla19[[#This Row],[Comp3]]=0,0,1)*$D113-Tabla19[[#This Row],[Asign3]]=0,0,Tabla19[[#This Row],[Comp3]]))</f>
        <v/>
      </c>
      <c r="R113" s="85" t="str">
        <f>IF(Tabla19[[#This Row],[Comp4]]="","",
IF(IF(Tabla19[[#This Row],[Comp4]]=0,0,1)*$D113-Tabla19[[#This Row],[Asign4]]=0,0,Tabla19[[#This Row],[Comp4]]))</f>
        <v/>
      </c>
      <c r="S113" s="85" t="str">
        <f>IF(Tabla19[[#This Row],[Comp5]]="","",
IF(IF(Tabla19[[#This Row],[Comp5]]=0,0,1)*$D113-Tabla19[[#This Row],[Asign5]]=0,0,Tabla19[[#This Row],[Comp5]]))</f>
        <v/>
      </c>
    </row>
    <row r="114" spans="5:19" x14ac:dyDescent="0.3">
      <c r="E114" s="99" t="str">
        <f>IF($A114="","",INDEX(ListadoProductos[],MATCH('2.C_Datos'!$C114,ListadoProductos[Productos],0),MATCH('2.C_Datos'!E$3,ListadoProductos[#Headers],0)))</f>
        <v/>
      </c>
      <c r="F114" s="99" t="str">
        <f>IF($A114="","",INDEX(ListadoProductos[],MATCH('2.C_Datos'!$C114,ListadoProductos[Productos],0),MATCH('2.C_Datos'!F$3,ListadoProductos[#Headers],0)))</f>
        <v/>
      </c>
      <c r="G114" s="99" t="str">
        <f>IF($A114="","",INDEX(ListadoProductos[],MATCH('2.C_Datos'!$C114,ListadoProductos[Productos],0),MATCH('2.C_Datos'!G$3,ListadoProductos[#Headers],0)))</f>
        <v/>
      </c>
      <c r="H114" s="99" t="str">
        <f>IF($A114="","",INDEX(ListadoProductos[],MATCH('2.C_Datos'!$C114,ListadoProductos[Productos],0),MATCH('2.C_Datos'!H$3,ListadoProductos[#Headers],0)))</f>
        <v/>
      </c>
      <c r="I114" s="99" t="str">
        <f>IF($A114="","",INDEX(ListadoProductos[],MATCH('2.C_Datos'!$C114,ListadoProductos[Productos],0),MATCH('2.C_Datos'!I$3,ListadoProductos[#Headers],0)))</f>
        <v/>
      </c>
      <c r="J114" s="99" t="str">
        <f>IF(Tabla19[[#This Row],[Comp1]]="","",COUNTIFS(TablaMaq1[Componente],Tabla19[[#This Row],[Comp1]],TablaMaq1[ID_Pedido],'2.C_Datos'!A114)+
COUNTIFS(TablaMaq2[Componente],Tabla19[[#This Row],[Comp1]],TablaMaq2[ID_Pedido],'2.C_Datos'!A114)+
COUNTIFS(TablaMaq3[Componente],Tabla19[[#This Row],[Comp1]],TablaMaq3[ID_Pedido],'2.C_Datos'!A114)+
COUNTIFS(TablaMaq4[Componente],Tabla19[[#This Row],[Comp1]],TablaMaq4[ID_Pedido],'2.C_Datos'!A114))</f>
        <v/>
      </c>
      <c r="K114" s="99" t="str">
        <f>IF(Tabla19[[#This Row],[Comp2]]="","",COUNTIFS(TablaMaq1[Componente],Tabla19[[#This Row],[Comp2]],TablaMaq1[ID_Pedido],'2.C_Datos'!A114)+
COUNTIFS(TablaMaq2[Componente],Tabla19[[#This Row],[Comp2]],TablaMaq2[ID_Pedido],'2.C_Datos'!A114)+
COUNTIFS(TablaMaq3[Componente],Tabla19[[#This Row],[Comp2]],TablaMaq3[ID_Pedido],'2.C_Datos'!A114)+
COUNTIFS(TablaMaq4[Componente],Tabla19[[#This Row],[Comp2]],TablaMaq4[ID_Pedido],'2.C_Datos'!A114))</f>
        <v/>
      </c>
      <c r="L114" s="99" t="str">
        <f>IF(Tabla19[[#This Row],[Comp3]]="","",COUNTIFS(TablaMaq1[Componente],Tabla19[[#This Row],[Comp3]],TablaMaq1[ID_Pedido],'2.C_Datos'!A114)+
COUNTIFS(TablaMaq2[Componente],Tabla19[[#This Row],[Comp3]],TablaMaq2[ID_Pedido],'2.C_Datos'!A114)+
COUNTIFS(TablaMaq3[Componente],Tabla19[[#This Row],[Comp3]],TablaMaq3[ID_Pedido],'2.C_Datos'!A114)+
COUNTIFS(TablaMaq4[Componente],Tabla19[[#This Row],[Comp3]],TablaMaq4[ID_Pedido],'2.C_Datos'!A114))</f>
        <v/>
      </c>
      <c r="M114" s="99" t="str">
        <f>IF(Tabla19[[#This Row],[Comp4]]="","",COUNTIFS(TablaMaq1[Componente],Tabla19[[#This Row],[Comp4]],TablaMaq1[ID_Pedido],'2.C_Datos'!A114)+
COUNTIFS(TablaMaq2[Componente],Tabla19[[#This Row],[Comp4]],TablaMaq2[ID_Pedido],'2.C_Datos'!A114)+
COUNTIFS(TablaMaq3[Componente],Tabla19[[#This Row],[Comp4]],TablaMaq3[ID_Pedido],'2.C_Datos'!A114)+
COUNTIFS(TablaMaq4[Componente],Tabla19[[#This Row],[Comp4]],TablaMaq4[ID_Pedido],'2.C_Datos'!A114))</f>
        <v/>
      </c>
      <c r="N114" s="99" t="str">
        <f>IF(Tabla19[[#This Row],[Comp5]]="","",COUNTIFS(TablaMaq1[Componente],Tabla19[[#This Row],[Comp5]],TablaMaq1[ID_Pedido],'2.C_Datos'!A114)+
COUNTIFS(TablaMaq1[Componente],Tabla19[[#This Row],[Comp5]],TablaMaq2[ID_Pedido],'2.C_Datos'!A114)+
COUNTIFS(TablaMaq1[Componente],Tabla19[[#This Row],[Comp5]],TablaMaq3[ID_Pedido],'2.C_Datos'!A114)+
COUNTIFS(TablaMaq1[Componente],Tabla19[[#This Row],[Comp5]],TablaMaq4[ID_Pedido],'2.C_Datos'!A114))</f>
        <v/>
      </c>
      <c r="O114" s="85" t="str">
        <f>IF(Tabla19[[#This Row],[Comp1]]="","",
IF(IF(Tabla19[[#This Row],[Comp1]]=0,0,1)*$D114-Tabla19[[#This Row],[Asign1]]=0,0,Tabla19[[#This Row],[Comp1]]))</f>
        <v/>
      </c>
      <c r="P114" s="85" t="str">
        <f>IF(Tabla19[[#This Row],[Comp2]]="","",
IF(IF(Tabla19[[#This Row],[Comp2]]=0,0,1)*$D114-Tabla19[[#This Row],[Asign2]]=0,0,Tabla19[[#This Row],[Comp2]]))</f>
        <v/>
      </c>
      <c r="Q114" s="85" t="str">
        <f>IF(Tabla19[[#This Row],[Comp3]]="","",
IF(IF(Tabla19[[#This Row],[Comp3]]=0,0,1)*$D114-Tabla19[[#This Row],[Asign3]]=0,0,Tabla19[[#This Row],[Comp3]]))</f>
        <v/>
      </c>
      <c r="R114" s="85" t="str">
        <f>IF(Tabla19[[#This Row],[Comp4]]="","",
IF(IF(Tabla19[[#This Row],[Comp4]]=0,0,1)*$D114-Tabla19[[#This Row],[Asign4]]=0,0,Tabla19[[#This Row],[Comp4]]))</f>
        <v/>
      </c>
      <c r="S114" s="85" t="str">
        <f>IF(Tabla19[[#This Row],[Comp5]]="","",
IF(IF(Tabla19[[#This Row],[Comp5]]=0,0,1)*$D114-Tabla19[[#This Row],[Asign5]]=0,0,Tabla19[[#This Row],[Comp5]]))</f>
        <v/>
      </c>
    </row>
    <row r="115" spans="5:19" x14ac:dyDescent="0.3">
      <c r="E115" s="99" t="str">
        <f>IF($A115="","",INDEX(ListadoProductos[],MATCH('2.C_Datos'!$C115,ListadoProductos[Productos],0),MATCH('2.C_Datos'!E$3,ListadoProductos[#Headers],0)))</f>
        <v/>
      </c>
      <c r="F115" s="99" t="str">
        <f>IF($A115="","",INDEX(ListadoProductos[],MATCH('2.C_Datos'!$C115,ListadoProductos[Productos],0),MATCH('2.C_Datos'!F$3,ListadoProductos[#Headers],0)))</f>
        <v/>
      </c>
      <c r="G115" s="99" t="str">
        <f>IF($A115="","",INDEX(ListadoProductos[],MATCH('2.C_Datos'!$C115,ListadoProductos[Productos],0),MATCH('2.C_Datos'!G$3,ListadoProductos[#Headers],0)))</f>
        <v/>
      </c>
      <c r="H115" s="99" t="str">
        <f>IF($A115="","",INDEX(ListadoProductos[],MATCH('2.C_Datos'!$C115,ListadoProductos[Productos],0),MATCH('2.C_Datos'!H$3,ListadoProductos[#Headers],0)))</f>
        <v/>
      </c>
      <c r="I115" s="99" t="str">
        <f>IF($A115="","",INDEX(ListadoProductos[],MATCH('2.C_Datos'!$C115,ListadoProductos[Productos],0),MATCH('2.C_Datos'!I$3,ListadoProductos[#Headers],0)))</f>
        <v/>
      </c>
      <c r="J115" s="99" t="str">
        <f>IF(Tabla19[[#This Row],[Comp1]]="","",COUNTIFS(TablaMaq1[Componente],Tabla19[[#This Row],[Comp1]],TablaMaq1[ID_Pedido],'2.C_Datos'!A115)+
COUNTIFS(TablaMaq2[Componente],Tabla19[[#This Row],[Comp1]],TablaMaq2[ID_Pedido],'2.C_Datos'!A115)+
COUNTIFS(TablaMaq3[Componente],Tabla19[[#This Row],[Comp1]],TablaMaq3[ID_Pedido],'2.C_Datos'!A115)+
COUNTIFS(TablaMaq4[Componente],Tabla19[[#This Row],[Comp1]],TablaMaq4[ID_Pedido],'2.C_Datos'!A115))</f>
        <v/>
      </c>
      <c r="K115" s="99" t="str">
        <f>IF(Tabla19[[#This Row],[Comp2]]="","",COUNTIFS(TablaMaq1[Componente],Tabla19[[#This Row],[Comp2]],TablaMaq1[ID_Pedido],'2.C_Datos'!A115)+
COUNTIFS(TablaMaq2[Componente],Tabla19[[#This Row],[Comp2]],TablaMaq2[ID_Pedido],'2.C_Datos'!A115)+
COUNTIFS(TablaMaq3[Componente],Tabla19[[#This Row],[Comp2]],TablaMaq3[ID_Pedido],'2.C_Datos'!A115)+
COUNTIFS(TablaMaq4[Componente],Tabla19[[#This Row],[Comp2]],TablaMaq4[ID_Pedido],'2.C_Datos'!A115))</f>
        <v/>
      </c>
      <c r="L115" s="99" t="str">
        <f>IF(Tabla19[[#This Row],[Comp3]]="","",COUNTIFS(TablaMaq1[Componente],Tabla19[[#This Row],[Comp3]],TablaMaq1[ID_Pedido],'2.C_Datos'!A115)+
COUNTIFS(TablaMaq2[Componente],Tabla19[[#This Row],[Comp3]],TablaMaq2[ID_Pedido],'2.C_Datos'!A115)+
COUNTIFS(TablaMaq3[Componente],Tabla19[[#This Row],[Comp3]],TablaMaq3[ID_Pedido],'2.C_Datos'!A115)+
COUNTIFS(TablaMaq4[Componente],Tabla19[[#This Row],[Comp3]],TablaMaq4[ID_Pedido],'2.C_Datos'!A115))</f>
        <v/>
      </c>
      <c r="M115" s="99" t="str">
        <f>IF(Tabla19[[#This Row],[Comp4]]="","",COUNTIFS(TablaMaq1[Componente],Tabla19[[#This Row],[Comp4]],TablaMaq1[ID_Pedido],'2.C_Datos'!A115)+
COUNTIFS(TablaMaq2[Componente],Tabla19[[#This Row],[Comp4]],TablaMaq2[ID_Pedido],'2.C_Datos'!A115)+
COUNTIFS(TablaMaq3[Componente],Tabla19[[#This Row],[Comp4]],TablaMaq3[ID_Pedido],'2.C_Datos'!A115)+
COUNTIFS(TablaMaq4[Componente],Tabla19[[#This Row],[Comp4]],TablaMaq4[ID_Pedido],'2.C_Datos'!A115))</f>
        <v/>
      </c>
      <c r="N115" s="99" t="str">
        <f>IF(Tabla19[[#This Row],[Comp5]]="","",COUNTIFS(TablaMaq1[Componente],Tabla19[[#This Row],[Comp5]],TablaMaq1[ID_Pedido],'2.C_Datos'!A115)+
COUNTIFS(TablaMaq1[Componente],Tabla19[[#This Row],[Comp5]],TablaMaq2[ID_Pedido],'2.C_Datos'!A115)+
COUNTIFS(TablaMaq1[Componente],Tabla19[[#This Row],[Comp5]],TablaMaq3[ID_Pedido],'2.C_Datos'!A115)+
COUNTIFS(TablaMaq1[Componente],Tabla19[[#This Row],[Comp5]],TablaMaq4[ID_Pedido],'2.C_Datos'!A115))</f>
        <v/>
      </c>
      <c r="O115" s="85" t="str">
        <f>IF(Tabla19[[#This Row],[Comp1]]="","",
IF(IF(Tabla19[[#This Row],[Comp1]]=0,0,1)*$D115-Tabla19[[#This Row],[Asign1]]=0,0,Tabla19[[#This Row],[Comp1]]))</f>
        <v/>
      </c>
      <c r="P115" s="85" t="str">
        <f>IF(Tabla19[[#This Row],[Comp2]]="","",
IF(IF(Tabla19[[#This Row],[Comp2]]=0,0,1)*$D115-Tabla19[[#This Row],[Asign2]]=0,0,Tabla19[[#This Row],[Comp2]]))</f>
        <v/>
      </c>
      <c r="Q115" s="85" t="str">
        <f>IF(Tabla19[[#This Row],[Comp3]]="","",
IF(IF(Tabla19[[#This Row],[Comp3]]=0,0,1)*$D115-Tabla19[[#This Row],[Asign3]]=0,0,Tabla19[[#This Row],[Comp3]]))</f>
        <v/>
      </c>
      <c r="R115" s="85" t="str">
        <f>IF(Tabla19[[#This Row],[Comp4]]="","",
IF(IF(Tabla19[[#This Row],[Comp4]]=0,0,1)*$D115-Tabla19[[#This Row],[Asign4]]=0,0,Tabla19[[#This Row],[Comp4]]))</f>
        <v/>
      </c>
      <c r="S115" s="85" t="str">
        <f>IF(Tabla19[[#This Row],[Comp5]]="","",
IF(IF(Tabla19[[#This Row],[Comp5]]=0,0,1)*$D115-Tabla19[[#This Row],[Asign5]]=0,0,Tabla19[[#This Row],[Comp5]]))</f>
        <v/>
      </c>
    </row>
    <row r="116" spans="5:19" x14ac:dyDescent="0.3">
      <c r="E116" s="99" t="str">
        <f>IF($A116="","",INDEX(ListadoProductos[],MATCH('2.C_Datos'!$C116,ListadoProductos[Productos],0),MATCH('2.C_Datos'!E$3,ListadoProductos[#Headers],0)))</f>
        <v/>
      </c>
      <c r="F116" s="99" t="str">
        <f>IF($A116="","",INDEX(ListadoProductos[],MATCH('2.C_Datos'!$C116,ListadoProductos[Productos],0),MATCH('2.C_Datos'!F$3,ListadoProductos[#Headers],0)))</f>
        <v/>
      </c>
      <c r="G116" s="99" t="str">
        <f>IF($A116="","",INDEX(ListadoProductos[],MATCH('2.C_Datos'!$C116,ListadoProductos[Productos],0),MATCH('2.C_Datos'!G$3,ListadoProductos[#Headers],0)))</f>
        <v/>
      </c>
      <c r="H116" s="99" t="str">
        <f>IF($A116="","",INDEX(ListadoProductos[],MATCH('2.C_Datos'!$C116,ListadoProductos[Productos],0),MATCH('2.C_Datos'!H$3,ListadoProductos[#Headers],0)))</f>
        <v/>
      </c>
      <c r="I116" s="99" t="str">
        <f>IF($A116="","",INDEX(ListadoProductos[],MATCH('2.C_Datos'!$C116,ListadoProductos[Productos],0),MATCH('2.C_Datos'!I$3,ListadoProductos[#Headers],0)))</f>
        <v/>
      </c>
      <c r="J116" s="99" t="str">
        <f>IF(Tabla19[[#This Row],[Comp1]]="","",COUNTIFS(TablaMaq1[Componente],Tabla19[[#This Row],[Comp1]],TablaMaq1[ID_Pedido],'2.C_Datos'!A116)+
COUNTIFS(TablaMaq2[Componente],Tabla19[[#This Row],[Comp1]],TablaMaq2[ID_Pedido],'2.C_Datos'!A116)+
COUNTIFS(TablaMaq3[Componente],Tabla19[[#This Row],[Comp1]],TablaMaq3[ID_Pedido],'2.C_Datos'!A116)+
COUNTIFS(TablaMaq4[Componente],Tabla19[[#This Row],[Comp1]],TablaMaq4[ID_Pedido],'2.C_Datos'!A116))</f>
        <v/>
      </c>
      <c r="K116" s="99" t="str">
        <f>IF(Tabla19[[#This Row],[Comp2]]="","",COUNTIFS(TablaMaq1[Componente],Tabla19[[#This Row],[Comp2]],TablaMaq1[ID_Pedido],'2.C_Datos'!A116)+
COUNTIFS(TablaMaq2[Componente],Tabla19[[#This Row],[Comp2]],TablaMaq2[ID_Pedido],'2.C_Datos'!A116)+
COUNTIFS(TablaMaq3[Componente],Tabla19[[#This Row],[Comp2]],TablaMaq3[ID_Pedido],'2.C_Datos'!A116)+
COUNTIFS(TablaMaq4[Componente],Tabla19[[#This Row],[Comp2]],TablaMaq4[ID_Pedido],'2.C_Datos'!A116))</f>
        <v/>
      </c>
      <c r="L116" s="99" t="str">
        <f>IF(Tabla19[[#This Row],[Comp3]]="","",COUNTIFS(TablaMaq1[Componente],Tabla19[[#This Row],[Comp3]],TablaMaq1[ID_Pedido],'2.C_Datos'!A116)+
COUNTIFS(TablaMaq2[Componente],Tabla19[[#This Row],[Comp3]],TablaMaq2[ID_Pedido],'2.C_Datos'!A116)+
COUNTIFS(TablaMaq3[Componente],Tabla19[[#This Row],[Comp3]],TablaMaq3[ID_Pedido],'2.C_Datos'!A116)+
COUNTIFS(TablaMaq4[Componente],Tabla19[[#This Row],[Comp3]],TablaMaq4[ID_Pedido],'2.C_Datos'!A116))</f>
        <v/>
      </c>
      <c r="M116" s="99" t="str">
        <f>IF(Tabla19[[#This Row],[Comp4]]="","",COUNTIFS(TablaMaq1[Componente],Tabla19[[#This Row],[Comp4]],TablaMaq1[ID_Pedido],'2.C_Datos'!A116)+
COUNTIFS(TablaMaq2[Componente],Tabla19[[#This Row],[Comp4]],TablaMaq2[ID_Pedido],'2.C_Datos'!A116)+
COUNTIFS(TablaMaq3[Componente],Tabla19[[#This Row],[Comp4]],TablaMaq3[ID_Pedido],'2.C_Datos'!A116)+
COUNTIFS(TablaMaq4[Componente],Tabla19[[#This Row],[Comp4]],TablaMaq4[ID_Pedido],'2.C_Datos'!A116))</f>
        <v/>
      </c>
      <c r="N116" s="99" t="str">
        <f>IF(Tabla19[[#This Row],[Comp5]]="","",COUNTIFS(TablaMaq1[Componente],Tabla19[[#This Row],[Comp5]],TablaMaq1[ID_Pedido],'2.C_Datos'!A116)+
COUNTIFS(TablaMaq1[Componente],Tabla19[[#This Row],[Comp5]],TablaMaq2[ID_Pedido],'2.C_Datos'!A116)+
COUNTIFS(TablaMaq1[Componente],Tabla19[[#This Row],[Comp5]],TablaMaq3[ID_Pedido],'2.C_Datos'!A116)+
COUNTIFS(TablaMaq1[Componente],Tabla19[[#This Row],[Comp5]],TablaMaq4[ID_Pedido],'2.C_Datos'!A116))</f>
        <v/>
      </c>
      <c r="O116" s="85" t="str">
        <f>IF(Tabla19[[#This Row],[Comp1]]="","",
IF(IF(Tabla19[[#This Row],[Comp1]]=0,0,1)*$D116-Tabla19[[#This Row],[Asign1]]=0,0,Tabla19[[#This Row],[Comp1]]))</f>
        <v/>
      </c>
      <c r="P116" s="85" t="str">
        <f>IF(Tabla19[[#This Row],[Comp2]]="","",
IF(IF(Tabla19[[#This Row],[Comp2]]=0,0,1)*$D116-Tabla19[[#This Row],[Asign2]]=0,0,Tabla19[[#This Row],[Comp2]]))</f>
        <v/>
      </c>
      <c r="Q116" s="85" t="str">
        <f>IF(Tabla19[[#This Row],[Comp3]]="","",
IF(IF(Tabla19[[#This Row],[Comp3]]=0,0,1)*$D116-Tabla19[[#This Row],[Asign3]]=0,0,Tabla19[[#This Row],[Comp3]]))</f>
        <v/>
      </c>
      <c r="R116" s="85" t="str">
        <f>IF(Tabla19[[#This Row],[Comp4]]="","",
IF(IF(Tabla19[[#This Row],[Comp4]]=0,0,1)*$D116-Tabla19[[#This Row],[Asign4]]=0,0,Tabla19[[#This Row],[Comp4]]))</f>
        <v/>
      </c>
      <c r="S116" s="85" t="str">
        <f>IF(Tabla19[[#This Row],[Comp5]]="","",
IF(IF(Tabla19[[#This Row],[Comp5]]=0,0,1)*$D116-Tabla19[[#This Row],[Asign5]]=0,0,Tabla19[[#This Row],[Comp5]]))</f>
        <v/>
      </c>
    </row>
    <row r="117" spans="5:19" x14ac:dyDescent="0.3">
      <c r="E117" s="99" t="str">
        <f>IF($A117="","",INDEX(ListadoProductos[],MATCH('2.C_Datos'!$C117,ListadoProductos[Productos],0),MATCH('2.C_Datos'!E$3,ListadoProductos[#Headers],0)))</f>
        <v/>
      </c>
      <c r="F117" s="99" t="str">
        <f>IF($A117="","",INDEX(ListadoProductos[],MATCH('2.C_Datos'!$C117,ListadoProductos[Productos],0),MATCH('2.C_Datos'!F$3,ListadoProductos[#Headers],0)))</f>
        <v/>
      </c>
      <c r="G117" s="99" t="str">
        <f>IF($A117="","",INDEX(ListadoProductos[],MATCH('2.C_Datos'!$C117,ListadoProductos[Productos],0),MATCH('2.C_Datos'!G$3,ListadoProductos[#Headers],0)))</f>
        <v/>
      </c>
      <c r="H117" s="99" t="str">
        <f>IF($A117="","",INDEX(ListadoProductos[],MATCH('2.C_Datos'!$C117,ListadoProductos[Productos],0),MATCH('2.C_Datos'!H$3,ListadoProductos[#Headers],0)))</f>
        <v/>
      </c>
      <c r="I117" s="99" t="str">
        <f>IF($A117="","",INDEX(ListadoProductos[],MATCH('2.C_Datos'!$C117,ListadoProductos[Productos],0),MATCH('2.C_Datos'!I$3,ListadoProductos[#Headers],0)))</f>
        <v/>
      </c>
      <c r="J117" s="99" t="str">
        <f>IF(Tabla19[[#This Row],[Comp1]]="","",COUNTIFS(TablaMaq1[Componente],Tabla19[[#This Row],[Comp1]],TablaMaq1[ID_Pedido],'2.C_Datos'!A117)+
COUNTIFS(TablaMaq2[Componente],Tabla19[[#This Row],[Comp1]],TablaMaq2[ID_Pedido],'2.C_Datos'!A117)+
COUNTIFS(TablaMaq3[Componente],Tabla19[[#This Row],[Comp1]],TablaMaq3[ID_Pedido],'2.C_Datos'!A117)+
COUNTIFS(TablaMaq4[Componente],Tabla19[[#This Row],[Comp1]],TablaMaq4[ID_Pedido],'2.C_Datos'!A117))</f>
        <v/>
      </c>
      <c r="K117" s="99" t="str">
        <f>IF(Tabla19[[#This Row],[Comp2]]="","",COUNTIFS(TablaMaq1[Componente],Tabla19[[#This Row],[Comp2]],TablaMaq1[ID_Pedido],'2.C_Datos'!A117)+
COUNTIFS(TablaMaq2[Componente],Tabla19[[#This Row],[Comp2]],TablaMaq2[ID_Pedido],'2.C_Datos'!A117)+
COUNTIFS(TablaMaq3[Componente],Tabla19[[#This Row],[Comp2]],TablaMaq3[ID_Pedido],'2.C_Datos'!A117)+
COUNTIFS(TablaMaq4[Componente],Tabla19[[#This Row],[Comp2]],TablaMaq4[ID_Pedido],'2.C_Datos'!A117))</f>
        <v/>
      </c>
      <c r="L117" s="99" t="str">
        <f>IF(Tabla19[[#This Row],[Comp3]]="","",COUNTIFS(TablaMaq1[Componente],Tabla19[[#This Row],[Comp3]],TablaMaq1[ID_Pedido],'2.C_Datos'!A117)+
COUNTIFS(TablaMaq2[Componente],Tabla19[[#This Row],[Comp3]],TablaMaq2[ID_Pedido],'2.C_Datos'!A117)+
COUNTIFS(TablaMaq3[Componente],Tabla19[[#This Row],[Comp3]],TablaMaq3[ID_Pedido],'2.C_Datos'!A117)+
COUNTIFS(TablaMaq4[Componente],Tabla19[[#This Row],[Comp3]],TablaMaq4[ID_Pedido],'2.C_Datos'!A117))</f>
        <v/>
      </c>
      <c r="M117" s="99" t="str">
        <f>IF(Tabla19[[#This Row],[Comp4]]="","",COUNTIFS(TablaMaq1[Componente],Tabla19[[#This Row],[Comp4]],TablaMaq1[ID_Pedido],'2.C_Datos'!A117)+
COUNTIFS(TablaMaq2[Componente],Tabla19[[#This Row],[Comp4]],TablaMaq2[ID_Pedido],'2.C_Datos'!A117)+
COUNTIFS(TablaMaq3[Componente],Tabla19[[#This Row],[Comp4]],TablaMaq3[ID_Pedido],'2.C_Datos'!A117)+
COUNTIFS(TablaMaq4[Componente],Tabla19[[#This Row],[Comp4]],TablaMaq4[ID_Pedido],'2.C_Datos'!A117))</f>
        <v/>
      </c>
      <c r="N117" s="99" t="str">
        <f>IF(Tabla19[[#This Row],[Comp5]]="","",COUNTIFS(TablaMaq1[Componente],Tabla19[[#This Row],[Comp5]],TablaMaq1[ID_Pedido],'2.C_Datos'!A117)+
COUNTIFS(TablaMaq1[Componente],Tabla19[[#This Row],[Comp5]],TablaMaq2[ID_Pedido],'2.C_Datos'!A117)+
COUNTIFS(TablaMaq1[Componente],Tabla19[[#This Row],[Comp5]],TablaMaq3[ID_Pedido],'2.C_Datos'!A117)+
COUNTIFS(TablaMaq1[Componente],Tabla19[[#This Row],[Comp5]],TablaMaq4[ID_Pedido],'2.C_Datos'!A117))</f>
        <v/>
      </c>
      <c r="O117" s="85" t="str">
        <f>IF(Tabla19[[#This Row],[Comp1]]="","",
IF(IF(Tabla19[[#This Row],[Comp1]]=0,0,1)*$D117-Tabla19[[#This Row],[Asign1]]=0,0,Tabla19[[#This Row],[Comp1]]))</f>
        <v/>
      </c>
      <c r="P117" s="85" t="str">
        <f>IF(Tabla19[[#This Row],[Comp2]]="","",
IF(IF(Tabla19[[#This Row],[Comp2]]=0,0,1)*$D117-Tabla19[[#This Row],[Asign2]]=0,0,Tabla19[[#This Row],[Comp2]]))</f>
        <v/>
      </c>
      <c r="Q117" s="85" t="str">
        <f>IF(Tabla19[[#This Row],[Comp3]]="","",
IF(IF(Tabla19[[#This Row],[Comp3]]=0,0,1)*$D117-Tabla19[[#This Row],[Asign3]]=0,0,Tabla19[[#This Row],[Comp3]]))</f>
        <v/>
      </c>
      <c r="R117" s="85" t="str">
        <f>IF(Tabla19[[#This Row],[Comp4]]="","",
IF(IF(Tabla19[[#This Row],[Comp4]]=0,0,1)*$D117-Tabla19[[#This Row],[Asign4]]=0,0,Tabla19[[#This Row],[Comp4]]))</f>
        <v/>
      </c>
      <c r="S117" s="85" t="str">
        <f>IF(Tabla19[[#This Row],[Comp5]]="","",
IF(IF(Tabla19[[#This Row],[Comp5]]=0,0,1)*$D117-Tabla19[[#This Row],[Asign5]]=0,0,Tabla19[[#This Row],[Comp5]]))</f>
        <v/>
      </c>
    </row>
    <row r="118" spans="5:19" x14ac:dyDescent="0.3">
      <c r="E118" s="99" t="str">
        <f>IF($A118="","",INDEX(ListadoProductos[],MATCH('2.C_Datos'!$C118,ListadoProductos[Productos],0),MATCH('2.C_Datos'!E$3,ListadoProductos[#Headers],0)))</f>
        <v/>
      </c>
      <c r="F118" s="99" t="str">
        <f>IF($A118="","",INDEX(ListadoProductos[],MATCH('2.C_Datos'!$C118,ListadoProductos[Productos],0),MATCH('2.C_Datos'!F$3,ListadoProductos[#Headers],0)))</f>
        <v/>
      </c>
      <c r="G118" s="99" t="str">
        <f>IF($A118="","",INDEX(ListadoProductos[],MATCH('2.C_Datos'!$C118,ListadoProductos[Productos],0),MATCH('2.C_Datos'!G$3,ListadoProductos[#Headers],0)))</f>
        <v/>
      </c>
      <c r="H118" s="99" t="str">
        <f>IF($A118="","",INDEX(ListadoProductos[],MATCH('2.C_Datos'!$C118,ListadoProductos[Productos],0),MATCH('2.C_Datos'!H$3,ListadoProductos[#Headers],0)))</f>
        <v/>
      </c>
      <c r="I118" s="99" t="str">
        <f>IF($A118="","",INDEX(ListadoProductos[],MATCH('2.C_Datos'!$C118,ListadoProductos[Productos],0),MATCH('2.C_Datos'!I$3,ListadoProductos[#Headers],0)))</f>
        <v/>
      </c>
      <c r="J118" s="99" t="str">
        <f>IF(Tabla19[[#This Row],[Comp1]]="","",COUNTIFS(TablaMaq1[Componente],Tabla19[[#This Row],[Comp1]],TablaMaq1[ID_Pedido],'2.C_Datos'!A118)+
COUNTIFS(TablaMaq2[Componente],Tabla19[[#This Row],[Comp1]],TablaMaq2[ID_Pedido],'2.C_Datos'!A118)+
COUNTIFS(TablaMaq3[Componente],Tabla19[[#This Row],[Comp1]],TablaMaq3[ID_Pedido],'2.C_Datos'!A118)+
COUNTIFS(TablaMaq4[Componente],Tabla19[[#This Row],[Comp1]],TablaMaq4[ID_Pedido],'2.C_Datos'!A118))</f>
        <v/>
      </c>
      <c r="K118" s="99" t="str">
        <f>IF(Tabla19[[#This Row],[Comp2]]="","",COUNTIFS(TablaMaq1[Componente],Tabla19[[#This Row],[Comp2]],TablaMaq1[ID_Pedido],'2.C_Datos'!A118)+
COUNTIFS(TablaMaq2[Componente],Tabla19[[#This Row],[Comp2]],TablaMaq2[ID_Pedido],'2.C_Datos'!A118)+
COUNTIFS(TablaMaq3[Componente],Tabla19[[#This Row],[Comp2]],TablaMaq3[ID_Pedido],'2.C_Datos'!A118)+
COUNTIFS(TablaMaq4[Componente],Tabla19[[#This Row],[Comp2]],TablaMaq4[ID_Pedido],'2.C_Datos'!A118))</f>
        <v/>
      </c>
      <c r="L118" s="99" t="str">
        <f>IF(Tabla19[[#This Row],[Comp3]]="","",COUNTIFS(TablaMaq1[Componente],Tabla19[[#This Row],[Comp3]],TablaMaq1[ID_Pedido],'2.C_Datos'!A118)+
COUNTIFS(TablaMaq2[Componente],Tabla19[[#This Row],[Comp3]],TablaMaq2[ID_Pedido],'2.C_Datos'!A118)+
COUNTIFS(TablaMaq3[Componente],Tabla19[[#This Row],[Comp3]],TablaMaq3[ID_Pedido],'2.C_Datos'!A118)+
COUNTIFS(TablaMaq4[Componente],Tabla19[[#This Row],[Comp3]],TablaMaq4[ID_Pedido],'2.C_Datos'!A118))</f>
        <v/>
      </c>
      <c r="M118" s="99" t="str">
        <f>IF(Tabla19[[#This Row],[Comp4]]="","",COUNTIFS(TablaMaq1[Componente],Tabla19[[#This Row],[Comp4]],TablaMaq1[ID_Pedido],'2.C_Datos'!A118)+
COUNTIFS(TablaMaq2[Componente],Tabla19[[#This Row],[Comp4]],TablaMaq2[ID_Pedido],'2.C_Datos'!A118)+
COUNTIFS(TablaMaq3[Componente],Tabla19[[#This Row],[Comp4]],TablaMaq3[ID_Pedido],'2.C_Datos'!A118)+
COUNTIFS(TablaMaq4[Componente],Tabla19[[#This Row],[Comp4]],TablaMaq4[ID_Pedido],'2.C_Datos'!A118))</f>
        <v/>
      </c>
      <c r="N118" s="99" t="str">
        <f>IF(Tabla19[[#This Row],[Comp5]]="","",COUNTIFS(TablaMaq1[Componente],Tabla19[[#This Row],[Comp5]],TablaMaq1[ID_Pedido],'2.C_Datos'!A118)+
COUNTIFS(TablaMaq1[Componente],Tabla19[[#This Row],[Comp5]],TablaMaq2[ID_Pedido],'2.C_Datos'!A118)+
COUNTIFS(TablaMaq1[Componente],Tabla19[[#This Row],[Comp5]],TablaMaq3[ID_Pedido],'2.C_Datos'!A118)+
COUNTIFS(TablaMaq1[Componente],Tabla19[[#This Row],[Comp5]],TablaMaq4[ID_Pedido],'2.C_Datos'!A118))</f>
        <v/>
      </c>
      <c r="O118" s="85" t="str">
        <f>IF(Tabla19[[#This Row],[Comp1]]="","",
IF(IF(Tabla19[[#This Row],[Comp1]]=0,0,1)*$D118-Tabla19[[#This Row],[Asign1]]=0,0,Tabla19[[#This Row],[Comp1]]))</f>
        <v/>
      </c>
      <c r="P118" s="85" t="str">
        <f>IF(Tabla19[[#This Row],[Comp2]]="","",
IF(IF(Tabla19[[#This Row],[Comp2]]=0,0,1)*$D118-Tabla19[[#This Row],[Asign2]]=0,0,Tabla19[[#This Row],[Comp2]]))</f>
        <v/>
      </c>
      <c r="Q118" s="85" t="str">
        <f>IF(Tabla19[[#This Row],[Comp3]]="","",
IF(IF(Tabla19[[#This Row],[Comp3]]=0,0,1)*$D118-Tabla19[[#This Row],[Asign3]]=0,0,Tabla19[[#This Row],[Comp3]]))</f>
        <v/>
      </c>
      <c r="R118" s="85" t="str">
        <f>IF(Tabla19[[#This Row],[Comp4]]="","",
IF(IF(Tabla19[[#This Row],[Comp4]]=0,0,1)*$D118-Tabla19[[#This Row],[Asign4]]=0,0,Tabla19[[#This Row],[Comp4]]))</f>
        <v/>
      </c>
      <c r="S118" s="85" t="str">
        <f>IF(Tabla19[[#This Row],[Comp5]]="","",
IF(IF(Tabla19[[#This Row],[Comp5]]=0,0,1)*$D118-Tabla19[[#This Row],[Asign5]]=0,0,Tabla19[[#This Row],[Comp5]]))</f>
        <v/>
      </c>
    </row>
    <row r="119" spans="5:19" x14ac:dyDescent="0.3">
      <c r="E119" s="99" t="str">
        <f>IF($A119="","",INDEX(ListadoProductos[],MATCH('2.C_Datos'!$C119,ListadoProductos[Productos],0),MATCH('2.C_Datos'!E$3,ListadoProductos[#Headers],0)))</f>
        <v/>
      </c>
      <c r="F119" s="99" t="str">
        <f>IF($A119="","",INDEX(ListadoProductos[],MATCH('2.C_Datos'!$C119,ListadoProductos[Productos],0),MATCH('2.C_Datos'!F$3,ListadoProductos[#Headers],0)))</f>
        <v/>
      </c>
      <c r="G119" s="99" t="str">
        <f>IF($A119="","",INDEX(ListadoProductos[],MATCH('2.C_Datos'!$C119,ListadoProductos[Productos],0),MATCH('2.C_Datos'!G$3,ListadoProductos[#Headers],0)))</f>
        <v/>
      </c>
      <c r="H119" s="99" t="str">
        <f>IF($A119="","",INDEX(ListadoProductos[],MATCH('2.C_Datos'!$C119,ListadoProductos[Productos],0),MATCH('2.C_Datos'!H$3,ListadoProductos[#Headers],0)))</f>
        <v/>
      </c>
      <c r="I119" s="99" t="str">
        <f>IF($A119="","",INDEX(ListadoProductos[],MATCH('2.C_Datos'!$C119,ListadoProductos[Productos],0),MATCH('2.C_Datos'!I$3,ListadoProductos[#Headers],0)))</f>
        <v/>
      </c>
      <c r="J119" s="99" t="str">
        <f>IF(Tabla19[[#This Row],[Comp1]]="","",COUNTIFS(TablaMaq1[Componente],Tabla19[[#This Row],[Comp1]],TablaMaq1[ID_Pedido],'2.C_Datos'!A119)+
COUNTIFS(TablaMaq2[Componente],Tabla19[[#This Row],[Comp1]],TablaMaq2[ID_Pedido],'2.C_Datos'!A119)+
COUNTIFS(TablaMaq3[Componente],Tabla19[[#This Row],[Comp1]],TablaMaq3[ID_Pedido],'2.C_Datos'!A119)+
COUNTIFS(TablaMaq4[Componente],Tabla19[[#This Row],[Comp1]],TablaMaq4[ID_Pedido],'2.C_Datos'!A119))</f>
        <v/>
      </c>
      <c r="K119" s="99" t="str">
        <f>IF(Tabla19[[#This Row],[Comp2]]="","",COUNTIFS(TablaMaq1[Componente],Tabla19[[#This Row],[Comp2]],TablaMaq1[ID_Pedido],'2.C_Datos'!A119)+
COUNTIFS(TablaMaq2[Componente],Tabla19[[#This Row],[Comp2]],TablaMaq2[ID_Pedido],'2.C_Datos'!A119)+
COUNTIFS(TablaMaq3[Componente],Tabla19[[#This Row],[Comp2]],TablaMaq3[ID_Pedido],'2.C_Datos'!A119)+
COUNTIFS(TablaMaq4[Componente],Tabla19[[#This Row],[Comp2]],TablaMaq4[ID_Pedido],'2.C_Datos'!A119))</f>
        <v/>
      </c>
      <c r="L119" s="99" t="str">
        <f>IF(Tabla19[[#This Row],[Comp3]]="","",COUNTIFS(TablaMaq1[Componente],Tabla19[[#This Row],[Comp3]],TablaMaq1[ID_Pedido],'2.C_Datos'!A119)+
COUNTIFS(TablaMaq2[Componente],Tabla19[[#This Row],[Comp3]],TablaMaq2[ID_Pedido],'2.C_Datos'!A119)+
COUNTIFS(TablaMaq3[Componente],Tabla19[[#This Row],[Comp3]],TablaMaq3[ID_Pedido],'2.C_Datos'!A119)+
COUNTIFS(TablaMaq4[Componente],Tabla19[[#This Row],[Comp3]],TablaMaq4[ID_Pedido],'2.C_Datos'!A119))</f>
        <v/>
      </c>
      <c r="M119" s="99" t="str">
        <f>IF(Tabla19[[#This Row],[Comp4]]="","",COUNTIFS(TablaMaq1[Componente],Tabla19[[#This Row],[Comp4]],TablaMaq1[ID_Pedido],'2.C_Datos'!A119)+
COUNTIFS(TablaMaq2[Componente],Tabla19[[#This Row],[Comp4]],TablaMaq2[ID_Pedido],'2.C_Datos'!A119)+
COUNTIFS(TablaMaq3[Componente],Tabla19[[#This Row],[Comp4]],TablaMaq3[ID_Pedido],'2.C_Datos'!A119)+
COUNTIFS(TablaMaq4[Componente],Tabla19[[#This Row],[Comp4]],TablaMaq4[ID_Pedido],'2.C_Datos'!A119))</f>
        <v/>
      </c>
      <c r="N119" s="99" t="str">
        <f>IF(Tabla19[[#This Row],[Comp5]]="","",COUNTIFS(TablaMaq1[Componente],Tabla19[[#This Row],[Comp5]],TablaMaq1[ID_Pedido],'2.C_Datos'!A119)+
COUNTIFS(TablaMaq1[Componente],Tabla19[[#This Row],[Comp5]],TablaMaq2[ID_Pedido],'2.C_Datos'!A119)+
COUNTIFS(TablaMaq1[Componente],Tabla19[[#This Row],[Comp5]],TablaMaq3[ID_Pedido],'2.C_Datos'!A119)+
COUNTIFS(TablaMaq1[Componente],Tabla19[[#This Row],[Comp5]],TablaMaq4[ID_Pedido],'2.C_Datos'!A119))</f>
        <v/>
      </c>
      <c r="O119" s="85" t="str">
        <f>IF(Tabla19[[#This Row],[Comp1]]="","",
IF(IF(Tabla19[[#This Row],[Comp1]]=0,0,1)*$D119-Tabla19[[#This Row],[Asign1]]=0,0,Tabla19[[#This Row],[Comp1]]))</f>
        <v/>
      </c>
      <c r="P119" s="85" t="str">
        <f>IF(Tabla19[[#This Row],[Comp2]]="","",
IF(IF(Tabla19[[#This Row],[Comp2]]=0,0,1)*$D119-Tabla19[[#This Row],[Asign2]]=0,0,Tabla19[[#This Row],[Comp2]]))</f>
        <v/>
      </c>
      <c r="Q119" s="85" t="str">
        <f>IF(Tabla19[[#This Row],[Comp3]]="","",
IF(IF(Tabla19[[#This Row],[Comp3]]=0,0,1)*$D119-Tabla19[[#This Row],[Asign3]]=0,0,Tabla19[[#This Row],[Comp3]]))</f>
        <v/>
      </c>
      <c r="R119" s="85" t="str">
        <f>IF(Tabla19[[#This Row],[Comp4]]="","",
IF(IF(Tabla19[[#This Row],[Comp4]]=0,0,1)*$D119-Tabla19[[#This Row],[Asign4]]=0,0,Tabla19[[#This Row],[Comp4]]))</f>
        <v/>
      </c>
      <c r="S119" s="85" t="str">
        <f>IF(Tabla19[[#This Row],[Comp5]]="","",
IF(IF(Tabla19[[#This Row],[Comp5]]=0,0,1)*$D119-Tabla19[[#This Row],[Asign5]]=0,0,Tabla19[[#This Row],[Comp5]]))</f>
        <v/>
      </c>
    </row>
    <row r="120" spans="5:19" x14ac:dyDescent="0.3">
      <c r="E120" s="99" t="str">
        <f>IF($A120="","",INDEX(ListadoProductos[],MATCH('2.C_Datos'!$C120,ListadoProductos[Productos],0),MATCH('2.C_Datos'!E$3,ListadoProductos[#Headers],0)))</f>
        <v/>
      </c>
      <c r="F120" s="99" t="str">
        <f>IF($A120="","",INDEX(ListadoProductos[],MATCH('2.C_Datos'!$C120,ListadoProductos[Productos],0),MATCH('2.C_Datos'!F$3,ListadoProductos[#Headers],0)))</f>
        <v/>
      </c>
      <c r="G120" s="99" t="str">
        <f>IF($A120="","",INDEX(ListadoProductos[],MATCH('2.C_Datos'!$C120,ListadoProductos[Productos],0),MATCH('2.C_Datos'!G$3,ListadoProductos[#Headers],0)))</f>
        <v/>
      </c>
      <c r="H120" s="99" t="str">
        <f>IF($A120="","",INDEX(ListadoProductos[],MATCH('2.C_Datos'!$C120,ListadoProductos[Productos],0),MATCH('2.C_Datos'!H$3,ListadoProductos[#Headers],0)))</f>
        <v/>
      </c>
      <c r="I120" s="99" t="str">
        <f>IF($A120="","",INDEX(ListadoProductos[],MATCH('2.C_Datos'!$C120,ListadoProductos[Productos],0),MATCH('2.C_Datos'!I$3,ListadoProductos[#Headers],0)))</f>
        <v/>
      </c>
      <c r="J120" s="99" t="str">
        <f>IF(Tabla19[[#This Row],[Comp1]]="","",COUNTIFS(TablaMaq1[Componente],Tabla19[[#This Row],[Comp1]],TablaMaq1[ID_Pedido],'2.C_Datos'!A120)+
COUNTIFS(TablaMaq2[Componente],Tabla19[[#This Row],[Comp1]],TablaMaq2[ID_Pedido],'2.C_Datos'!A120)+
COUNTIFS(TablaMaq3[Componente],Tabla19[[#This Row],[Comp1]],TablaMaq3[ID_Pedido],'2.C_Datos'!A120)+
COUNTIFS(TablaMaq4[Componente],Tabla19[[#This Row],[Comp1]],TablaMaq4[ID_Pedido],'2.C_Datos'!A120))</f>
        <v/>
      </c>
      <c r="K120" s="99" t="str">
        <f>IF(Tabla19[[#This Row],[Comp2]]="","",COUNTIFS(TablaMaq1[Componente],Tabla19[[#This Row],[Comp2]],TablaMaq1[ID_Pedido],'2.C_Datos'!A120)+
COUNTIFS(TablaMaq2[Componente],Tabla19[[#This Row],[Comp2]],TablaMaq2[ID_Pedido],'2.C_Datos'!A120)+
COUNTIFS(TablaMaq3[Componente],Tabla19[[#This Row],[Comp2]],TablaMaq3[ID_Pedido],'2.C_Datos'!A120)+
COUNTIFS(TablaMaq4[Componente],Tabla19[[#This Row],[Comp2]],TablaMaq4[ID_Pedido],'2.C_Datos'!A120))</f>
        <v/>
      </c>
      <c r="L120" s="99" t="str">
        <f>IF(Tabla19[[#This Row],[Comp3]]="","",COUNTIFS(TablaMaq1[Componente],Tabla19[[#This Row],[Comp3]],TablaMaq1[ID_Pedido],'2.C_Datos'!A120)+
COUNTIFS(TablaMaq2[Componente],Tabla19[[#This Row],[Comp3]],TablaMaq2[ID_Pedido],'2.C_Datos'!A120)+
COUNTIFS(TablaMaq3[Componente],Tabla19[[#This Row],[Comp3]],TablaMaq3[ID_Pedido],'2.C_Datos'!A120)+
COUNTIFS(TablaMaq4[Componente],Tabla19[[#This Row],[Comp3]],TablaMaq4[ID_Pedido],'2.C_Datos'!A120))</f>
        <v/>
      </c>
      <c r="M120" s="99" t="str">
        <f>IF(Tabla19[[#This Row],[Comp4]]="","",COUNTIFS(TablaMaq1[Componente],Tabla19[[#This Row],[Comp4]],TablaMaq1[ID_Pedido],'2.C_Datos'!A120)+
COUNTIFS(TablaMaq2[Componente],Tabla19[[#This Row],[Comp4]],TablaMaq2[ID_Pedido],'2.C_Datos'!A120)+
COUNTIFS(TablaMaq3[Componente],Tabla19[[#This Row],[Comp4]],TablaMaq3[ID_Pedido],'2.C_Datos'!A120)+
COUNTIFS(TablaMaq4[Componente],Tabla19[[#This Row],[Comp4]],TablaMaq4[ID_Pedido],'2.C_Datos'!A120))</f>
        <v/>
      </c>
      <c r="N120" s="99" t="str">
        <f>IF(Tabla19[[#This Row],[Comp5]]="","",COUNTIFS(TablaMaq1[Componente],Tabla19[[#This Row],[Comp5]],TablaMaq1[ID_Pedido],'2.C_Datos'!A120)+
COUNTIFS(TablaMaq1[Componente],Tabla19[[#This Row],[Comp5]],TablaMaq2[ID_Pedido],'2.C_Datos'!A120)+
COUNTIFS(TablaMaq1[Componente],Tabla19[[#This Row],[Comp5]],TablaMaq3[ID_Pedido],'2.C_Datos'!A120)+
COUNTIFS(TablaMaq1[Componente],Tabla19[[#This Row],[Comp5]],TablaMaq4[ID_Pedido],'2.C_Datos'!A120))</f>
        <v/>
      </c>
      <c r="O120" s="85" t="str">
        <f>IF(Tabla19[[#This Row],[Comp1]]="","",
IF(IF(Tabla19[[#This Row],[Comp1]]=0,0,1)*$D120-Tabla19[[#This Row],[Asign1]]=0,0,Tabla19[[#This Row],[Comp1]]))</f>
        <v/>
      </c>
      <c r="P120" s="85" t="str">
        <f>IF(Tabla19[[#This Row],[Comp2]]="","",
IF(IF(Tabla19[[#This Row],[Comp2]]=0,0,1)*$D120-Tabla19[[#This Row],[Asign2]]=0,0,Tabla19[[#This Row],[Comp2]]))</f>
        <v/>
      </c>
      <c r="Q120" s="85" t="str">
        <f>IF(Tabla19[[#This Row],[Comp3]]="","",
IF(IF(Tabla19[[#This Row],[Comp3]]=0,0,1)*$D120-Tabla19[[#This Row],[Asign3]]=0,0,Tabla19[[#This Row],[Comp3]]))</f>
        <v/>
      </c>
      <c r="R120" s="85" t="str">
        <f>IF(Tabla19[[#This Row],[Comp4]]="","",
IF(IF(Tabla19[[#This Row],[Comp4]]=0,0,1)*$D120-Tabla19[[#This Row],[Asign4]]=0,0,Tabla19[[#This Row],[Comp4]]))</f>
        <v/>
      </c>
      <c r="S120" s="85" t="str">
        <f>IF(Tabla19[[#This Row],[Comp5]]="","",
IF(IF(Tabla19[[#This Row],[Comp5]]=0,0,1)*$D120-Tabla19[[#This Row],[Asign5]]=0,0,Tabla19[[#This Row],[Comp5]]))</f>
        <v/>
      </c>
    </row>
    <row r="121" spans="5:19" x14ac:dyDescent="0.3">
      <c r="E121" s="99" t="str">
        <f>IF($A121="","",INDEX(ListadoProductos[],MATCH('2.C_Datos'!$C121,ListadoProductos[Productos],0),MATCH('2.C_Datos'!E$3,ListadoProductos[#Headers],0)))</f>
        <v/>
      </c>
      <c r="F121" s="99" t="str">
        <f>IF($A121="","",INDEX(ListadoProductos[],MATCH('2.C_Datos'!$C121,ListadoProductos[Productos],0),MATCH('2.C_Datos'!F$3,ListadoProductos[#Headers],0)))</f>
        <v/>
      </c>
      <c r="G121" s="99" t="str">
        <f>IF($A121="","",INDEX(ListadoProductos[],MATCH('2.C_Datos'!$C121,ListadoProductos[Productos],0),MATCH('2.C_Datos'!G$3,ListadoProductos[#Headers],0)))</f>
        <v/>
      </c>
      <c r="H121" s="99" t="str">
        <f>IF($A121="","",INDEX(ListadoProductos[],MATCH('2.C_Datos'!$C121,ListadoProductos[Productos],0),MATCH('2.C_Datos'!H$3,ListadoProductos[#Headers],0)))</f>
        <v/>
      </c>
      <c r="I121" s="99" t="str">
        <f>IF($A121="","",INDEX(ListadoProductos[],MATCH('2.C_Datos'!$C121,ListadoProductos[Productos],0),MATCH('2.C_Datos'!I$3,ListadoProductos[#Headers],0)))</f>
        <v/>
      </c>
      <c r="J121" s="99" t="str">
        <f>IF(Tabla19[[#This Row],[Comp1]]="","",COUNTIFS(TablaMaq1[Componente],Tabla19[[#This Row],[Comp1]],TablaMaq1[ID_Pedido],'2.C_Datos'!A121)+
COUNTIFS(TablaMaq2[Componente],Tabla19[[#This Row],[Comp1]],TablaMaq2[ID_Pedido],'2.C_Datos'!A121)+
COUNTIFS(TablaMaq3[Componente],Tabla19[[#This Row],[Comp1]],TablaMaq3[ID_Pedido],'2.C_Datos'!A121)+
COUNTIFS(TablaMaq4[Componente],Tabla19[[#This Row],[Comp1]],TablaMaq4[ID_Pedido],'2.C_Datos'!A121))</f>
        <v/>
      </c>
      <c r="K121" s="99" t="str">
        <f>IF(Tabla19[[#This Row],[Comp2]]="","",COUNTIFS(TablaMaq1[Componente],Tabla19[[#This Row],[Comp2]],TablaMaq1[ID_Pedido],'2.C_Datos'!A121)+
COUNTIFS(TablaMaq2[Componente],Tabla19[[#This Row],[Comp2]],TablaMaq2[ID_Pedido],'2.C_Datos'!A121)+
COUNTIFS(TablaMaq3[Componente],Tabla19[[#This Row],[Comp2]],TablaMaq3[ID_Pedido],'2.C_Datos'!A121)+
COUNTIFS(TablaMaq4[Componente],Tabla19[[#This Row],[Comp2]],TablaMaq4[ID_Pedido],'2.C_Datos'!A121))</f>
        <v/>
      </c>
      <c r="L121" s="99" t="str">
        <f>IF(Tabla19[[#This Row],[Comp3]]="","",COUNTIFS(TablaMaq1[Componente],Tabla19[[#This Row],[Comp3]],TablaMaq1[ID_Pedido],'2.C_Datos'!A121)+
COUNTIFS(TablaMaq2[Componente],Tabla19[[#This Row],[Comp3]],TablaMaq2[ID_Pedido],'2.C_Datos'!A121)+
COUNTIFS(TablaMaq3[Componente],Tabla19[[#This Row],[Comp3]],TablaMaq3[ID_Pedido],'2.C_Datos'!A121)+
COUNTIFS(TablaMaq4[Componente],Tabla19[[#This Row],[Comp3]],TablaMaq4[ID_Pedido],'2.C_Datos'!A121))</f>
        <v/>
      </c>
      <c r="M121" s="99" t="str">
        <f>IF(Tabla19[[#This Row],[Comp4]]="","",COUNTIFS(TablaMaq1[Componente],Tabla19[[#This Row],[Comp4]],TablaMaq1[ID_Pedido],'2.C_Datos'!A121)+
COUNTIFS(TablaMaq2[Componente],Tabla19[[#This Row],[Comp4]],TablaMaq2[ID_Pedido],'2.C_Datos'!A121)+
COUNTIFS(TablaMaq3[Componente],Tabla19[[#This Row],[Comp4]],TablaMaq3[ID_Pedido],'2.C_Datos'!A121)+
COUNTIFS(TablaMaq4[Componente],Tabla19[[#This Row],[Comp4]],TablaMaq4[ID_Pedido],'2.C_Datos'!A121))</f>
        <v/>
      </c>
      <c r="N121" s="99" t="str">
        <f>IF(Tabla19[[#This Row],[Comp5]]="","",COUNTIFS(TablaMaq1[Componente],Tabla19[[#This Row],[Comp5]],TablaMaq1[ID_Pedido],'2.C_Datos'!A121)+
COUNTIFS(TablaMaq1[Componente],Tabla19[[#This Row],[Comp5]],TablaMaq2[ID_Pedido],'2.C_Datos'!A121)+
COUNTIFS(TablaMaq1[Componente],Tabla19[[#This Row],[Comp5]],TablaMaq3[ID_Pedido],'2.C_Datos'!A121)+
COUNTIFS(TablaMaq1[Componente],Tabla19[[#This Row],[Comp5]],TablaMaq4[ID_Pedido],'2.C_Datos'!A121))</f>
        <v/>
      </c>
      <c r="O121" s="85" t="str">
        <f>IF(Tabla19[[#This Row],[Comp1]]="","",
IF(IF(Tabla19[[#This Row],[Comp1]]=0,0,1)*$D121-Tabla19[[#This Row],[Asign1]]=0,0,Tabla19[[#This Row],[Comp1]]))</f>
        <v/>
      </c>
      <c r="P121" s="85" t="str">
        <f>IF(Tabla19[[#This Row],[Comp2]]="","",
IF(IF(Tabla19[[#This Row],[Comp2]]=0,0,1)*$D121-Tabla19[[#This Row],[Asign2]]=0,0,Tabla19[[#This Row],[Comp2]]))</f>
        <v/>
      </c>
      <c r="Q121" s="85" t="str">
        <f>IF(Tabla19[[#This Row],[Comp3]]="","",
IF(IF(Tabla19[[#This Row],[Comp3]]=0,0,1)*$D121-Tabla19[[#This Row],[Asign3]]=0,0,Tabla19[[#This Row],[Comp3]]))</f>
        <v/>
      </c>
      <c r="R121" s="85" t="str">
        <f>IF(Tabla19[[#This Row],[Comp4]]="","",
IF(IF(Tabla19[[#This Row],[Comp4]]=0,0,1)*$D121-Tabla19[[#This Row],[Asign4]]=0,0,Tabla19[[#This Row],[Comp4]]))</f>
        <v/>
      </c>
      <c r="S121" s="85" t="str">
        <f>IF(Tabla19[[#This Row],[Comp5]]="","",
IF(IF(Tabla19[[#This Row],[Comp5]]=0,0,1)*$D121-Tabla19[[#This Row],[Asign5]]=0,0,Tabla19[[#This Row],[Comp5]]))</f>
        <v/>
      </c>
    </row>
    <row r="122" spans="5:19" x14ac:dyDescent="0.3">
      <c r="E122" s="99" t="str">
        <f>IF($A122="","",INDEX(ListadoProductos[],MATCH('2.C_Datos'!$C122,ListadoProductos[Productos],0),MATCH('2.C_Datos'!E$3,ListadoProductos[#Headers],0)))</f>
        <v/>
      </c>
      <c r="F122" s="99" t="str">
        <f>IF($A122="","",INDEX(ListadoProductos[],MATCH('2.C_Datos'!$C122,ListadoProductos[Productos],0),MATCH('2.C_Datos'!F$3,ListadoProductos[#Headers],0)))</f>
        <v/>
      </c>
      <c r="G122" s="99" t="str">
        <f>IF($A122="","",INDEX(ListadoProductos[],MATCH('2.C_Datos'!$C122,ListadoProductos[Productos],0),MATCH('2.C_Datos'!G$3,ListadoProductos[#Headers],0)))</f>
        <v/>
      </c>
      <c r="H122" s="99" t="str">
        <f>IF($A122="","",INDEX(ListadoProductos[],MATCH('2.C_Datos'!$C122,ListadoProductos[Productos],0),MATCH('2.C_Datos'!H$3,ListadoProductos[#Headers],0)))</f>
        <v/>
      </c>
      <c r="I122" s="99" t="str">
        <f>IF($A122="","",INDEX(ListadoProductos[],MATCH('2.C_Datos'!$C122,ListadoProductos[Productos],0),MATCH('2.C_Datos'!I$3,ListadoProductos[#Headers],0)))</f>
        <v/>
      </c>
      <c r="J122" s="99" t="str">
        <f>IF(Tabla19[[#This Row],[Comp1]]="","",COUNTIFS(TablaMaq1[Componente],Tabla19[[#This Row],[Comp1]],TablaMaq1[ID_Pedido],'2.C_Datos'!A122)+
COUNTIFS(TablaMaq2[Componente],Tabla19[[#This Row],[Comp1]],TablaMaq2[ID_Pedido],'2.C_Datos'!A122)+
COUNTIFS(TablaMaq3[Componente],Tabla19[[#This Row],[Comp1]],TablaMaq3[ID_Pedido],'2.C_Datos'!A122)+
COUNTIFS(TablaMaq4[Componente],Tabla19[[#This Row],[Comp1]],TablaMaq4[ID_Pedido],'2.C_Datos'!A122))</f>
        <v/>
      </c>
      <c r="K122" s="99" t="str">
        <f>IF(Tabla19[[#This Row],[Comp2]]="","",COUNTIFS(TablaMaq1[Componente],Tabla19[[#This Row],[Comp2]],TablaMaq1[ID_Pedido],'2.C_Datos'!A122)+
COUNTIFS(TablaMaq2[Componente],Tabla19[[#This Row],[Comp2]],TablaMaq2[ID_Pedido],'2.C_Datos'!A122)+
COUNTIFS(TablaMaq3[Componente],Tabla19[[#This Row],[Comp2]],TablaMaq3[ID_Pedido],'2.C_Datos'!A122)+
COUNTIFS(TablaMaq4[Componente],Tabla19[[#This Row],[Comp2]],TablaMaq4[ID_Pedido],'2.C_Datos'!A122))</f>
        <v/>
      </c>
      <c r="L122" s="99" t="str">
        <f>IF(Tabla19[[#This Row],[Comp3]]="","",COUNTIFS(TablaMaq1[Componente],Tabla19[[#This Row],[Comp3]],TablaMaq1[ID_Pedido],'2.C_Datos'!A122)+
COUNTIFS(TablaMaq2[Componente],Tabla19[[#This Row],[Comp3]],TablaMaq2[ID_Pedido],'2.C_Datos'!A122)+
COUNTIFS(TablaMaq3[Componente],Tabla19[[#This Row],[Comp3]],TablaMaq3[ID_Pedido],'2.C_Datos'!A122)+
COUNTIFS(TablaMaq4[Componente],Tabla19[[#This Row],[Comp3]],TablaMaq4[ID_Pedido],'2.C_Datos'!A122))</f>
        <v/>
      </c>
      <c r="M122" s="99" t="str">
        <f>IF(Tabla19[[#This Row],[Comp4]]="","",COUNTIFS(TablaMaq1[Componente],Tabla19[[#This Row],[Comp4]],TablaMaq1[ID_Pedido],'2.C_Datos'!A122)+
COUNTIFS(TablaMaq2[Componente],Tabla19[[#This Row],[Comp4]],TablaMaq2[ID_Pedido],'2.C_Datos'!A122)+
COUNTIFS(TablaMaq3[Componente],Tabla19[[#This Row],[Comp4]],TablaMaq3[ID_Pedido],'2.C_Datos'!A122)+
COUNTIFS(TablaMaq4[Componente],Tabla19[[#This Row],[Comp4]],TablaMaq4[ID_Pedido],'2.C_Datos'!A122))</f>
        <v/>
      </c>
      <c r="N122" s="99" t="str">
        <f>IF(Tabla19[[#This Row],[Comp5]]="","",COUNTIFS(TablaMaq1[Componente],Tabla19[[#This Row],[Comp5]],TablaMaq1[ID_Pedido],'2.C_Datos'!A122)+
COUNTIFS(TablaMaq1[Componente],Tabla19[[#This Row],[Comp5]],TablaMaq2[ID_Pedido],'2.C_Datos'!A122)+
COUNTIFS(TablaMaq1[Componente],Tabla19[[#This Row],[Comp5]],TablaMaq3[ID_Pedido],'2.C_Datos'!A122)+
COUNTIFS(TablaMaq1[Componente],Tabla19[[#This Row],[Comp5]],TablaMaq4[ID_Pedido],'2.C_Datos'!A122))</f>
        <v/>
      </c>
      <c r="O122" s="85" t="str">
        <f>IF(Tabla19[[#This Row],[Comp1]]="","",
IF(IF(Tabla19[[#This Row],[Comp1]]=0,0,1)*$D122-Tabla19[[#This Row],[Asign1]]=0,0,Tabla19[[#This Row],[Comp1]]))</f>
        <v/>
      </c>
      <c r="P122" s="85" t="str">
        <f>IF(Tabla19[[#This Row],[Comp2]]="","",
IF(IF(Tabla19[[#This Row],[Comp2]]=0,0,1)*$D122-Tabla19[[#This Row],[Asign2]]=0,0,Tabla19[[#This Row],[Comp2]]))</f>
        <v/>
      </c>
      <c r="Q122" s="85" t="str">
        <f>IF(Tabla19[[#This Row],[Comp3]]="","",
IF(IF(Tabla19[[#This Row],[Comp3]]=0,0,1)*$D122-Tabla19[[#This Row],[Asign3]]=0,0,Tabla19[[#This Row],[Comp3]]))</f>
        <v/>
      </c>
      <c r="R122" s="85" t="str">
        <f>IF(Tabla19[[#This Row],[Comp4]]="","",
IF(IF(Tabla19[[#This Row],[Comp4]]=0,0,1)*$D122-Tabla19[[#This Row],[Asign4]]=0,0,Tabla19[[#This Row],[Comp4]]))</f>
        <v/>
      </c>
      <c r="S122" s="85" t="str">
        <f>IF(Tabla19[[#This Row],[Comp5]]="","",
IF(IF(Tabla19[[#This Row],[Comp5]]=0,0,1)*$D122-Tabla19[[#This Row],[Asign5]]=0,0,Tabla19[[#This Row],[Comp5]]))</f>
        <v/>
      </c>
    </row>
    <row r="123" spans="5:19" x14ac:dyDescent="0.3">
      <c r="E123" s="99" t="str">
        <f>IF($A123="","",INDEX(ListadoProductos[],MATCH('2.C_Datos'!$C123,ListadoProductos[Productos],0),MATCH('2.C_Datos'!E$3,ListadoProductos[#Headers],0)))</f>
        <v/>
      </c>
      <c r="F123" s="99" t="str">
        <f>IF($A123="","",INDEX(ListadoProductos[],MATCH('2.C_Datos'!$C123,ListadoProductos[Productos],0),MATCH('2.C_Datos'!F$3,ListadoProductos[#Headers],0)))</f>
        <v/>
      </c>
      <c r="G123" s="99" t="str">
        <f>IF($A123="","",INDEX(ListadoProductos[],MATCH('2.C_Datos'!$C123,ListadoProductos[Productos],0),MATCH('2.C_Datos'!G$3,ListadoProductos[#Headers],0)))</f>
        <v/>
      </c>
      <c r="H123" s="99" t="str">
        <f>IF($A123="","",INDEX(ListadoProductos[],MATCH('2.C_Datos'!$C123,ListadoProductos[Productos],0),MATCH('2.C_Datos'!H$3,ListadoProductos[#Headers],0)))</f>
        <v/>
      </c>
      <c r="I123" s="99" t="str">
        <f>IF($A123="","",INDEX(ListadoProductos[],MATCH('2.C_Datos'!$C123,ListadoProductos[Productos],0),MATCH('2.C_Datos'!I$3,ListadoProductos[#Headers],0)))</f>
        <v/>
      </c>
      <c r="J123" s="99" t="str">
        <f>IF(Tabla19[[#This Row],[Comp1]]="","",COUNTIFS(TablaMaq1[Componente],Tabla19[[#This Row],[Comp1]],TablaMaq1[ID_Pedido],'2.C_Datos'!A123)+
COUNTIFS(TablaMaq2[Componente],Tabla19[[#This Row],[Comp1]],TablaMaq2[ID_Pedido],'2.C_Datos'!A123)+
COUNTIFS(TablaMaq3[Componente],Tabla19[[#This Row],[Comp1]],TablaMaq3[ID_Pedido],'2.C_Datos'!A123)+
COUNTIFS(TablaMaq4[Componente],Tabla19[[#This Row],[Comp1]],TablaMaq4[ID_Pedido],'2.C_Datos'!A123))</f>
        <v/>
      </c>
      <c r="K123" s="99" t="str">
        <f>IF(Tabla19[[#This Row],[Comp2]]="","",COUNTIFS(TablaMaq1[Componente],Tabla19[[#This Row],[Comp2]],TablaMaq1[ID_Pedido],'2.C_Datos'!A123)+
COUNTIFS(TablaMaq2[Componente],Tabla19[[#This Row],[Comp2]],TablaMaq2[ID_Pedido],'2.C_Datos'!A123)+
COUNTIFS(TablaMaq3[Componente],Tabla19[[#This Row],[Comp2]],TablaMaq3[ID_Pedido],'2.C_Datos'!A123)+
COUNTIFS(TablaMaq4[Componente],Tabla19[[#This Row],[Comp2]],TablaMaq4[ID_Pedido],'2.C_Datos'!A123))</f>
        <v/>
      </c>
      <c r="L123" s="99" t="str">
        <f>IF(Tabla19[[#This Row],[Comp3]]="","",COUNTIFS(TablaMaq1[Componente],Tabla19[[#This Row],[Comp3]],TablaMaq1[ID_Pedido],'2.C_Datos'!A123)+
COUNTIFS(TablaMaq2[Componente],Tabla19[[#This Row],[Comp3]],TablaMaq2[ID_Pedido],'2.C_Datos'!A123)+
COUNTIFS(TablaMaq3[Componente],Tabla19[[#This Row],[Comp3]],TablaMaq3[ID_Pedido],'2.C_Datos'!A123)+
COUNTIFS(TablaMaq4[Componente],Tabla19[[#This Row],[Comp3]],TablaMaq4[ID_Pedido],'2.C_Datos'!A123))</f>
        <v/>
      </c>
      <c r="M123" s="99" t="str">
        <f>IF(Tabla19[[#This Row],[Comp4]]="","",COUNTIFS(TablaMaq1[Componente],Tabla19[[#This Row],[Comp4]],TablaMaq1[ID_Pedido],'2.C_Datos'!A123)+
COUNTIFS(TablaMaq2[Componente],Tabla19[[#This Row],[Comp4]],TablaMaq2[ID_Pedido],'2.C_Datos'!A123)+
COUNTIFS(TablaMaq3[Componente],Tabla19[[#This Row],[Comp4]],TablaMaq3[ID_Pedido],'2.C_Datos'!A123)+
COUNTIFS(TablaMaq4[Componente],Tabla19[[#This Row],[Comp4]],TablaMaq4[ID_Pedido],'2.C_Datos'!A123))</f>
        <v/>
      </c>
      <c r="N123" s="99" t="str">
        <f>IF(Tabla19[[#This Row],[Comp5]]="","",COUNTIFS(TablaMaq1[Componente],Tabla19[[#This Row],[Comp5]],TablaMaq1[ID_Pedido],'2.C_Datos'!A123)+
COUNTIFS(TablaMaq1[Componente],Tabla19[[#This Row],[Comp5]],TablaMaq2[ID_Pedido],'2.C_Datos'!A123)+
COUNTIFS(TablaMaq1[Componente],Tabla19[[#This Row],[Comp5]],TablaMaq3[ID_Pedido],'2.C_Datos'!A123)+
COUNTIFS(TablaMaq1[Componente],Tabla19[[#This Row],[Comp5]],TablaMaq4[ID_Pedido],'2.C_Datos'!A123))</f>
        <v/>
      </c>
      <c r="O123" s="85" t="str">
        <f>IF(Tabla19[[#This Row],[Comp1]]="","",
IF(IF(Tabla19[[#This Row],[Comp1]]=0,0,1)*$D123-Tabla19[[#This Row],[Asign1]]=0,0,Tabla19[[#This Row],[Comp1]]))</f>
        <v/>
      </c>
      <c r="P123" s="85" t="str">
        <f>IF(Tabla19[[#This Row],[Comp2]]="","",
IF(IF(Tabla19[[#This Row],[Comp2]]=0,0,1)*$D123-Tabla19[[#This Row],[Asign2]]=0,0,Tabla19[[#This Row],[Comp2]]))</f>
        <v/>
      </c>
      <c r="Q123" s="85" t="str">
        <f>IF(Tabla19[[#This Row],[Comp3]]="","",
IF(IF(Tabla19[[#This Row],[Comp3]]=0,0,1)*$D123-Tabla19[[#This Row],[Asign3]]=0,0,Tabla19[[#This Row],[Comp3]]))</f>
        <v/>
      </c>
      <c r="R123" s="85" t="str">
        <f>IF(Tabla19[[#This Row],[Comp4]]="","",
IF(IF(Tabla19[[#This Row],[Comp4]]=0,0,1)*$D123-Tabla19[[#This Row],[Asign4]]=0,0,Tabla19[[#This Row],[Comp4]]))</f>
        <v/>
      </c>
      <c r="S123" s="85" t="str">
        <f>IF(Tabla19[[#This Row],[Comp5]]="","",
IF(IF(Tabla19[[#This Row],[Comp5]]=0,0,1)*$D123-Tabla19[[#This Row],[Asign5]]=0,0,Tabla19[[#This Row],[Comp5]]))</f>
        <v/>
      </c>
    </row>
    <row r="124" spans="5:19" x14ac:dyDescent="0.3">
      <c r="E124" s="99" t="str">
        <f>IF($A124="","",INDEX(ListadoProductos[],MATCH('2.C_Datos'!$C124,ListadoProductos[Productos],0),MATCH('2.C_Datos'!E$3,ListadoProductos[#Headers],0)))</f>
        <v/>
      </c>
      <c r="F124" s="99" t="str">
        <f>IF($A124="","",INDEX(ListadoProductos[],MATCH('2.C_Datos'!$C124,ListadoProductos[Productos],0),MATCH('2.C_Datos'!F$3,ListadoProductos[#Headers],0)))</f>
        <v/>
      </c>
      <c r="G124" s="99" t="str">
        <f>IF($A124="","",INDEX(ListadoProductos[],MATCH('2.C_Datos'!$C124,ListadoProductos[Productos],0),MATCH('2.C_Datos'!G$3,ListadoProductos[#Headers],0)))</f>
        <v/>
      </c>
      <c r="H124" s="99" t="str">
        <f>IF($A124="","",INDEX(ListadoProductos[],MATCH('2.C_Datos'!$C124,ListadoProductos[Productos],0),MATCH('2.C_Datos'!H$3,ListadoProductos[#Headers],0)))</f>
        <v/>
      </c>
      <c r="I124" s="99" t="str">
        <f>IF($A124="","",INDEX(ListadoProductos[],MATCH('2.C_Datos'!$C124,ListadoProductos[Productos],0),MATCH('2.C_Datos'!I$3,ListadoProductos[#Headers],0)))</f>
        <v/>
      </c>
      <c r="J124" s="99" t="str">
        <f>IF(Tabla19[[#This Row],[Comp1]]="","",COUNTIFS(TablaMaq1[Componente],Tabla19[[#This Row],[Comp1]],TablaMaq1[ID_Pedido],'2.C_Datos'!A124)+
COUNTIFS(TablaMaq2[Componente],Tabla19[[#This Row],[Comp1]],TablaMaq2[ID_Pedido],'2.C_Datos'!A124)+
COUNTIFS(TablaMaq3[Componente],Tabla19[[#This Row],[Comp1]],TablaMaq3[ID_Pedido],'2.C_Datos'!A124)+
COUNTIFS(TablaMaq4[Componente],Tabla19[[#This Row],[Comp1]],TablaMaq4[ID_Pedido],'2.C_Datos'!A124))</f>
        <v/>
      </c>
      <c r="K124" s="99" t="str">
        <f>IF(Tabla19[[#This Row],[Comp2]]="","",COUNTIFS(TablaMaq1[Componente],Tabla19[[#This Row],[Comp2]],TablaMaq1[ID_Pedido],'2.C_Datos'!A124)+
COUNTIFS(TablaMaq2[Componente],Tabla19[[#This Row],[Comp2]],TablaMaq2[ID_Pedido],'2.C_Datos'!A124)+
COUNTIFS(TablaMaq3[Componente],Tabla19[[#This Row],[Comp2]],TablaMaq3[ID_Pedido],'2.C_Datos'!A124)+
COUNTIFS(TablaMaq4[Componente],Tabla19[[#This Row],[Comp2]],TablaMaq4[ID_Pedido],'2.C_Datos'!A124))</f>
        <v/>
      </c>
      <c r="L124" s="99" t="str">
        <f>IF(Tabla19[[#This Row],[Comp3]]="","",COUNTIFS(TablaMaq1[Componente],Tabla19[[#This Row],[Comp3]],TablaMaq1[ID_Pedido],'2.C_Datos'!A124)+
COUNTIFS(TablaMaq2[Componente],Tabla19[[#This Row],[Comp3]],TablaMaq2[ID_Pedido],'2.C_Datos'!A124)+
COUNTIFS(TablaMaq3[Componente],Tabla19[[#This Row],[Comp3]],TablaMaq3[ID_Pedido],'2.C_Datos'!A124)+
COUNTIFS(TablaMaq4[Componente],Tabla19[[#This Row],[Comp3]],TablaMaq4[ID_Pedido],'2.C_Datos'!A124))</f>
        <v/>
      </c>
      <c r="M124" s="99" t="str">
        <f>IF(Tabla19[[#This Row],[Comp4]]="","",COUNTIFS(TablaMaq1[Componente],Tabla19[[#This Row],[Comp4]],TablaMaq1[ID_Pedido],'2.C_Datos'!A124)+
COUNTIFS(TablaMaq2[Componente],Tabla19[[#This Row],[Comp4]],TablaMaq2[ID_Pedido],'2.C_Datos'!A124)+
COUNTIFS(TablaMaq3[Componente],Tabla19[[#This Row],[Comp4]],TablaMaq3[ID_Pedido],'2.C_Datos'!A124)+
COUNTIFS(TablaMaq4[Componente],Tabla19[[#This Row],[Comp4]],TablaMaq4[ID_Pedido],'2.C_Datos'!A124))</f>
        <v/>
      </c>
      <c r="N124" s="99" t="str">
        <f>IF(Tabla19[[#This Row],[Comp5]]="","",COUNTIFS(TablaMaq1[Componente],Tabla19[[#This Row],[Comp5]],TablaMaq1[ID_Pedido],'2.C_Datos'!A124)+
COUNTIFS(TablaMaq1[Componente],Tabla19[[#This Row],[Comp5]],TablaMaq2[ID_Pedido],'2.C_Datos'!A124)+
COUNTIFS(TablaMaq1[Componente],Tabla19[[#This Row],[Comp5]],TablaMaq3[ID_Pedido],'2.C_Datos'!A124)+
COUNTIFS(TablaMaq1[Componente],Tabla19[[#This Row],[Comp5]],TablaMaq4[ID_Pedido],'2.C_Datos'!A124))</f>
        <v/>
      </c>
      <c r="O124" s="85" t="str">
        <f>IF(Tabla19[[#This Row],[Comp1]]="","",
IF(IF(Tabla19[[#This Row],[Comp1]]=0,0,1)*$D124-Tabla19[[#This Row],[Asign1]]=0,0,Tabla19[[#This Row],[Comp1]]))</f>
        <v/>
      </c>
      <c r="P124" s="85" t="str">
        <f>IF(Tabla19[[#This Row],[Comp2]]="","",
IF(IF(Tabla19[[#This Row],[Comp2]]=0,0,1)*$D124-Tabla19[[#This Row],[Asign2]]=0,0,Tabla19[[#This Row],[Comp2]]))</f>
        <v/>
      </c>
      <c r="Q124" s="85" t="str">
        <f>IF(Tabla19[[#This Row],[Comp3]]="","",
IF(IF(Tabla19[[#This Row],[Comp3]]=0,0,1)*$D124-Tabla19[[#This Row],[Asign3]]=0,0,Tabla19[[#This Row],[Comp3]]))</f>
        <v/>
      </c>
      <c r="R124" s="85" t="str">
        <f>IF(Tabla19[[#This Row],[Comp4]]="","",
IF(IF(Tabla19[[#This Row],[Comp4]]=0,0,1)*$D124-Tabla19[[#This Row],[Asign4]]=0,0,Tabla19[[#This Row],[Comp4]]))</f>
        <v/>
      </c>
      <c r="S124" s="85" t="str">
        <f>IF(Tabla19[[#This Row],[Comp5]]="","",
IF(IF(Tabla19[[#This Row],[Comp5]]=0,0,1)*$D124-Tabla19[[#This Row],[Asign5]]=0,0,Tabla19[[#This Row],[Comp5]]))</f>
        <v/>
      </c>
    </row>
    <row r="125" spans="5:19" x14ac:dyDescent="0.3">
      <c r="E125" s="99" t="str">
        <f>IF($A125="","",INDEX(ListadoProductos[],MATCH('2.C_Datos'!$C125,ListadoProductos[Productos],0),MATCH('2.C_Datos'!E$3,ListadoProductos[#Headers],0)))</f>
        <v/>
      </c>
      <c r="F125" s="99" t="str">
        <f>IF($A125="","",INDEX(ListadoProductos[],MATCH('2.C_Datos'!$C125,ListadoProductos[Productos],0),MATCH('2.C_Datos'!F$3,ListadoProductos[#Headers],0)))</f>
        <v/>
      </c>
      <c r="G125" s="99" t="str">
        <f>IF($A125="","",INDEX(ListadoProductos[],MATCH('2.C_Datos'!$C125,ListadoProductos[Productos],0),MATCH('2.C_Datos'!G$3,ListadoProductos[#Headers],0)))</f>
        <v/>
      </c>
      <c r="H125" s="99" t="str">
        <f>IF($A125="","",INDEX(ListadoProductos[],MATCH('2.C_Datos'!$C125,ListadoProductos[Productos],0),MATCH('2.C_Datos'!H$3,ListadoProductos[#Headers],0)))</f>
        <v/>
      </c>
      <c r="I125" s="99" t="str">
        <f>IF($A125="","",INDEX(ListadoProductos[],MATCH('2.C_Datos'!$C125,ListadoProductos[Productos],0),MATCH('2.C_Datos'!I$3,ListadoProductos[#Headers],0)))</f>
        <v/>
      </c>
      <c r="J125" s="99" t="str">
        <f>IF(Tabla19[[#This Row],[Comp1]]="","",COUNTIFS(TablaMaq1[Componente],Tabla19[[#This Row],[Comp1]],TablaMaq1[ID_Pedido],'2.C_Datos'!A125)+
COUNTIFS(TablaMaq2[Componente],Tabla19[[#This Row],[Comp1]],TablaMaq2[ID_Pedido],'2.C_Datos'!A125)+
COUNTIFS(TablaMaq3[Componente],Tabla19[[#This Row],[Comp1]],TablaMaq3[ID_Pedido],'2.C_Datos'!A125)+
COUNTIFS(TablaMaq4[Componente],Tabla19[[#This Row],[Comp1]],TablaMaq4[ID_Pedido],'2.C_Datos'!A125))</f>
        <v/>
      </c>
      <c r="K125" s="99" t="str">
        <f>IF(Tabla19[[#This Row],[Comp2]]="","",COUNTIFS(TablaMaq1[Componente],Tabla19[[#This Row],[Comp2]],TablaMaq1[ID_Pedido],'2.C_Datos'!A125)+
COUNTIFS(TablaMaq2[Componente],Tabla19[[#This Row],[Comp2]],TablaMaq2[ID_Pedido],'2.C_Datos'!A125)+
COUNTIFS(TablaMaq3[Componente],Tabla19[[#This Row],[Comp2]],TablaMaq3[ID_Pedido],'2.C_Datos'!A125)+
COUNTIFS(TablaMaq4[Componente],Tabla19[[#This Row],[Comp2]],TablaMaq4[ID_Pedido],'2.C_Datos'!A125))</f>
        <v/>
      </c>
      <c r="L125" s="99" t="str">
        <f>IF(Tabla19[[#This Row],[Comp3]]="","",COUNTIFS(TablaMaq1[Componente],Tabla19[[#This Row],[Comp3]],TablaMaq1[ID_Pedido],'2.C_Datos'!A125)+
COUNTIFS(TablaMaq2[Componente],Tabla19[[#This Row],[Comp3]],TablaMaq2[ID_Pedido],'2.C_Datos'!A125)+
COUNTIFS(TablaMaq3[Componente],Tabla19[[#This Row],[Comp3]],TablaMaq3[ID_Pedido],'2.C_Datos'!A125)+
COUNTIFS(TablaMaq4[Componente],Tabla19[[#This Row],[Comp3]],TablaMaq4[ID_Pedido],'2.C_Datos'!A125))</f>
        <v/>
      </c>
      <c r="M125" s="99" t="str">
        <f>IF(Tabla19[[#This Row],[Comp4]]="","",COUNTIFS(TablaMaq1[Componente],Tabla19[[#This Row],[Comp4]],TablaMaq1[ID_Pedido],'2.C_Datos'!A125)+
COUNTIFS(TablaMaq2[Componente],Tabla19[[#This Row],[Comp4]],TablaMaq2[ID_Pedido],'2.C_Datos'!A125)+
COUNTIFS(TablaMaq3[Componente],Tabla19[[#This Row],[Comp4]],TablaMaq3[ID_Pedido],'2.C_Datos'!A125)+
COUNTIFS(TablaMaq4[Componente],Tabla19[[#This Row],[Comp4]],TablaMaq4[ID_Pedido],'2.C_Datos'!A125))</f>
        <v/>
      </c>
      <c r="N125" s="99" t="str">
        <f>IF(Tabla19[[#This Row],[Comp5]]="","",COUNTIFS(TablaMaq1[Componente],Tabla19[[#This Row],[Comp5]],TablaMaq1[ID_Pedido],'2.C_Datos'!A125)+
COUNTIFS(TablaMaq1[Componente],Tabla19[[#This Row],[Comp5]],TablaMaq2[ID_Pedido],'2.C_Datos'!A125)+
COUNTIFS(TablaMaq1[Componente],Tabla19[[#This Row],[Comp5]],TablaMaq3[ID_Pedido],'2.C_Datos'!A125)+
COUNTIFS(TablaMaq1[Componente],Tabla19[[#This Row],[Comp5]],TablaMaq4[ID_Pedido],'2.C_Datos'!A125))</f>
        <v/>
      </c>
      <c r="O125" s="85" t="str">
        <f>IF(Tabla19[[#This Row],[Comp1]]="","",
IF(IF(Tabla19[[#This Row],[Comp1]]=0,0,1)*$D125-Tabla19[[#This Row],[Asign1]]=0,0,Tabla19[[#This Row],[Comp1]]))</f>
        <v/>
      </c>
      <c r="P125" s="85" t="str">
        <f>IF(Tabla19[[#This Row],[Comp2]]="","",
IF(IF(Tabla19[[#This Row],[Comp2]]=0,0,1)*$D125-Tabla19[[#This Row],[Asign2]]=0,0,Tabla19[[#This Row],[Comp2]]))</f>
        <v/>
      </c>
      <c r="Q125" s="85" t="str">
        <f>IF(Tabla19[[#This Row],[Comp3]]="","",
IF(IF(Tabla19[[#This Row],[Comp3]]=0,0,1)*$D125-Tabla19[[#This Row],[Asign3]]=0,0,Tabla19[[#This Row],[Comp3]]))</f>
        <v/>
      </c>
      <c r="R125" s="85" t="str">
        <f>IF(Tabla19[[#This Row],[Comp4]]="","",
IF(IF(Tabla19[[#This Row],[Comp4]]=0,0,1)*$D125-Tabla19[[#This Row],[Asign4]]=0,0,Tabla19[[#This Row],[Comp4]]))</f>
        <v/>
      </c>
      <c r="S125" s="85" t="str">
        <f>IF(Tabla19[[#This Row],[Comp5]]="","",
IF(IF(Tabla19[[#This Row],[Comp5]]=0,0,1)*$D125-Tabla19[[#This Row],[Asign5]]=0,0,Tabla19[[#This Row],[Comp5]]))</f>
        <v/>
      </c>
    </row>
    <row r="126" spans="5:19" x14ac:dyDescent="0.3">
      <c r="E126" s="99" t="str">
        <f>IF($A126="","",INDEX(ListadoProductos[],MATCH('2.C_Datos'!$C126,ListadoProductos[Productos],0),MATCH('2.C_Datos'!E$3,ListadoProductos[#Headers],0)))</f>
        <v/>
      </c>
      <c r="F126" s="99" t="str">
        <f>IF($A126="","",INDEX(ListadoProductos[],MATCH('2.C_Datos'!$C126,ListadoProductos[Productos],0),MATCH('2.C_Datos'!F$3,ListadoProductos[#Headers],0)))</f>
        <v/>
      </c>
      <c r="G126" s="99" t="str">
        <f>IF($A126="","",INDEX(ListadoProductos[],MATCH('2.C_Datos'!$C126,ListadoProductos[Productos],0),MATCH('2.C_Datos'!G$3,ListadoProductos[#Headers],0)))</f>
        <v/>
      </c>
      <c r="H126" s="99" t="str">
        <f>IF($A126="","",INDEX(ListadoProductos[],MATCH('2.C_Datos'!$C126,ListadoProductos[Productos],0),MATCH('2.C_Datos'!H$3,ListadoProductos[#Headers],0)))</f>
        <v/>
      </c>
      <c r="I126" s="99" t="str">
        <f>IF($A126="","",INDEX(ListadoProductos[],MATCH('2.C_Datos'!$C126,ListadoProductos[Productos],0),MATCH('2.C_Datos'!I$3,ListadoProductos[#Headers],0)))</f>
        <v/>
      </c>
      <c r="J126" s="99" t="str">
        <f>IF(Tabla19[[#This Row],[Comp1]]="","",COUNTIFS(TablaMaq1[Componente],Tabla19[[#This Row],[Comp1]],TablaMaq1[ID_Pedido],'2.C_Datos'!A126)+
COUNTIFS(TablaMaq2[Componente],Tabla19[[#This Row],[Comp1]],TablaMaq2[ID_Pedido],'2.C_Datos'!A126)+
COUNTIFS(TablaMaq3[Componente],Tabla19[[#This Row],[Comp1]],TablaMaq3[ID_Pedido],'2.C_Datos'!A126)+
COUNTIFS(TablaMaq4[Componente],Tabla19[[#This Row],[Comp1]],TablaMaq4[ID_Pedido],'2.C_Datos'!A126))</f>
        <v/>
      </c>
      <c r="K126" s="99" t="str">
        <f>IF(Tabla19[[#This Row],[Comp2]]="","",COUNTIFS(TablaMaq1[Componente],Tabla19[[#This Row],[Comp2]],TablaMaq1[ID_Pedido],'2.C_Datos'!A126)+
COUNTIFS(TablaMaq2[Componente],Tabla19[[#This Row],[Comp2]],TablaMaq2[ID_Pedido],'2.C_Datos'!A126)+
COUNTIFS(TablaMaq3[Componente],Tabla19[[#This Row],[Comp2]],TablaMaq3[ID_Pedido],'2.C_Datos'!A126)+
COUNTIFS(TablaMaq4[Componente],Tabla19[[#This Row],[Comp2]],TablaMaq4[ID_Pedido],'2.C_Datos'!A126))</f>
        <v/>
      </c>
      <c r="L126" s="99" t="str">
        <f>IF(Tabla19[[#This Row],[Comp3]]="","",COUNTIFS(TablaMaq1[Componente],Tabla19[[#This Row],[Comp3]],TablaMaq1[ID_Pedido],'2.C_Datos'!A126)+
COUNTIFS(TablaMaq2[Componente],Tabla19[[#This Row],[Comp3]],TablaMaq2[ID_Pedido],'2.C_Datos'!A126)+
COUNTIFS(TablaMaq3[Componente],Tabla19[[#This Row],[Comp3]],TablaMaq3[ID_Pedido],'2.C_Datos'!A126)+
COUNTIFS(TablaMaq4[Componente],Tabla19[[#This Row],[Comp3]],TablaMaq4[ID_Pedido],'2.C_Datos'!A126))</f>
        <v/>
      </c>
      <c r="M126" s="99" t="str">
        <f>IF(Tabla19[[#This Row],[Comp4]]="","",COUNTIFS(TablaMaq1[Componente],Tabla19[[#This Row],[Comp4]],TablaMaq1[ID_Pedido],'2.C_Datos'!A126)+
COUNTIFS(TablaMaq2[Componente],Tabla19[[#This Row],[Comp4]],TablaMaq2[ID_Pedido],'2.C_Datos'!A126)+
COUNTIFS(TablaMaq3[Componente],Tabla19[[#This Row],[Comp4]],TablaMaq3[ID_Pedido],'2.C_Datos'!A126)+
COUNTIFS(TablaMaq4[Componente],Tabla19[[#This Row],[Comp4]],TablaMaq4[ID_Pedido],'2.C_Datos'!A126))</f>
        <v/>
      </c>
      <c r="N126" s="99" t="str">
        <f>IF(Tabla19[[#This Row],[Comp5]]="","",COUNTIFS(TablaMaq1[Componente],Tabla19[[#This Row],[Comp5]],TablaMaq1[ID_Pedido],'2.C_Datos'!A126)+
COUNTIFS(TablaMaq1[Componente],Tabla19[[#This Row],[Comp5]],TablaMaq2[ID_Pedido],'2.C_Datos'!A126)+
COUNTIFS(TablaMaq1[Componente],Tabla19[[#This Row],[Comp5]],TablaMaq3[ID_Pedido],'2.C_Datos'!A126)+
COUNTIFS(TablaMaq1[Componente],Tabla19[[#This Row],[Comp5]],TablaMaq4[ID_Pedido],'2.C_Datos'!A126))</f>
        <v/>
      </c>
      <c r="O126" s="85" t="str">
        <f>IF(Tabla19[[#This Row],[Comp1]]="","",
IF(IF(Tabla19[[#This Row],[Comp1]]=0,0,1)*$D126-Tabla19[[#This Row],[Asign1]]=0,0,Tabla19[[#This Row],[Comp1]]))</f>
        <v/>
      </c>
      <c r="P126" s="85" t="str">
        <f>IF(Tabla19[[#This Row],[Comp2]]="","",
IF(IF(Tabla19[[#This Row],[Comp2]]=0,0,1)*$D126-Tabla19[[#This Row],[Asign2]]=0,0,Tabla19[[#This Row],[Comp2]]))</f>
        <v/>
      </c>
      <c r="Q126" s="85" t="str">
        <f>IF(Tabla19[[#This Row],[Comp3]]="","",
IF(IF(Tabla19[[#This Row],[Comp3]]=0,0,1)*$D126-Tabla19[[#This Row],[Asign3]]=0,0,Tabla19[[#This Row],[Comp3]]))</f>
        <v/>
      </c>
      <c r="R126" s="85" t="str">
        <f>IF(Tabla19[[#This Row],[Comp4]]="","",
IF(IF(Tabla19[[#This Row],[Comp4]]=0,0,1)*$D126-Tabla19[[#This Row],[Asign4]]=0,0,Tabla19[[#This Row],[Comp4]]))</f>
        <v/>
      </c>
      <c r="S126" s="85" t="str">
        <f>IF(Tabla19[[#This Row],[Comp5]]="","",
IF(IF(Tabla19[[#This Row],[Comp5]]=0,0,1)*$D126-Tabla19[[#This Row],[Asign5]]=0,0,Tabla19[[#This Row],[Comp5]]))</f>
        <v/>
      </c>
    </row>
    <row r="127" spans="5:19" x14ac:dyDescent="0.3">
      <c r="E127" s="99" t="str">
        <f>IF($A127="","",INDEX(ListadoProductos[],MATCH('2.C_Datos'!$C127,ListadoProductos[Productos],0),MATCH('2.C_Datos'!E$3,ListadoProductos[#Headers],0)))</f>
        <v/>
      </c>
      <c r="F127" s="99" t="str">
        <f>IF($A127="","",INDEX(ListadoProductos[],MATCH('2.C_Datos'!$C127,ListadoProductos[Productos],0),MATCH('2.C_Datos'!F$3,ListadoProductos[#Headers],0)))</f>
        <v/>
      </c>
      <c r="G127" s="99" t="str">
        <f>IF($A127="","",INDEX(ListadoProductos[],MATCH('2.C_Datos'!$C127,ListadoProductos[Productos],0),MATCH('2.C_Datos'!G$3,ListadoProductos[#Headers],0)))</f>
        <v/>
      </c>
      <c r="H127" s="99" t="str">
        <f>IF($A127="","",INDEX(ListadoProductos[],MATCH('2.C_Datos'!$C127,ListadoProductos[Productos],0),MATCH('2.C_Datos'!H$3,ListadoProductos[#Headers],0)))</f>
        <v/>
      </c>
      <c r="I127" s="99" t="str">
        <f>IF($A127="","",INDEX(ListadoProductos[],MATCH('2.C_Datos'!$C127,ListadoProductos[Productos],0),MATCH('2.C_Datos'!I$3,ListadoProductos[#Headers],0)))</f>
        <v/>
      </c>
      <c r="J127" s="99" t="str">
        <f>IF(Tabla19[[#This Row],[Comp1]]="","",COUNTIFS(TablaMaq1[Componente],Tabla19[[#This Row],[Comp1]],TablaMaq1[ID_Pedido],'2.C_Datos'!A127)+
COUNTIFS(TablaMaq2[Componente],Tabla19[[#This Row],[Comp1]],TablaMaq2[ID_Pedido],'2.C_Datos'!A127)+
COUNTIFS(TablaMaq3[Componente],Tabla19[[#This Row],[Comp1]],TablaMaq3[ID_Pedido],'2.C_Datos'!A127)+
COUNTIFS(TablaMaq4[Componente],Tabla19[[#This Row],[Comp1]],TablaMaq4[ID_Pedido],'2.C_Datos'!A127))</f>
        <v/>
      </c>
      <c r="K127" s="99" t="str">
        <f>IF(Tabla19[[#This Row],[Comp2]]="","",COUNTIFS(TablaMaq1[Componente],Tabla19[[#This Row],[Comp2]],TablaMaq1[ID_Pedido],'2.C_Datos'!A127)+
COUNTIFS(TablaMaq2[Componente],Tabla19[[#This Row],[Comp2]],TablaMaq2[ID_Pedido],'2.C_Datos'!A127)+
COUNTIFS(TablaMaq3[Componente],Tabla19[[#This Row],[Comp2]],TablaMaq3[ID_Pedido],'2.C_Datos'!A127)+
COUNTIFS(TablaMaq4[Componente],Tabla19[[#This Row],[Comp2]],TablaMaq4[ID_Pedido],'2.C_Datos'!A127))</f>
        <v/>
      </c>
      <c r="L127" s="99" t="str">
        <f>IF(Tabla19[[#This Row],[Comp3]]="","",COUNTIFS(TablaMaq1[Componente],Tabla19[[#This Row],[Comp3]],TablaMaq1[ID_Pedido],'2.C_Datos'!A127)+
COUNTIFS(TablaMaq2[Componente],Tabla19[[#This Row],[Comp3]],TablaMaq2[ID_Pedido],'2.C_Datos'!A127)+
COUNTIFS(TablaMaq3[Componente],Tabla19[[#This Row],[Comp3]],TablaMaq3[ID_Pedido],'2.C_Datos'!A127)+
COUNTIFS(TablaMaq4[Componente],Tabla19[[#This Row],[Comp3]],TablaMaq4[ID_Pedido],'2.C_Datos'!A127))</f>
        <v/>
      </c>
      <c r="M127" s="99" t="str">
        <f>IF(Tabla19[[#This Row],[Comp4]]="","",COUNTIFS(TablaMaq1[Componente],Tabla19[[#This Row],[Comp4]],TablaMaq1[ID_Pedido],'2.C_Datos'!A127)+
COUNTIFS(TablaMaq2[Componente],Tabla19[[#This Row],[Comp4]],TablaMaq2[ID_Pedido],'2.C_Datos'!A127)+
COUNTIFS(TablaMaq3[Componente],Tabla19[[#This Row],[Comp4]],TablaMaq3[ID_Pedido],'2.C_Datos'!A127)+
COUNTIFS(TablaMaq4[Componente],Tabla19[[#This Row],[Comp4]],TablaMaq4[ID_Pedido],'2.C_Datos'!A127))</f>
        <v/>
      </c>
      <c r="N127" s="99" t="str">
        <f>IF(Tabla19[[#This Row],[Comp5]]="","",COUNTIFS(TablaMaq1[Componente],Tabla19[[#This Row],[Comp5]],TablaMaq1[ID_Pedido],'2.C_Datos'!A127)+
COUNTIFS(TablaMaq1[Componente],Tabla19[[#This Row],[Comp5]],TablaMaq2[ID_Pedido],'2.C_Datos'!A127)+
COUNTIFS(TablaMaq1[Componente],Tabla19[[#This Row],[Comp5]],TablaMaq3[ID_Pedido],'2.C_Datos'!A127)+
COUNTIFS(TablaMaq1[Componente],Tabla19[[#This Row],[Comp5]],TablaMaq4[ID_Pedido],'2.C_Datos'!A127))</f>
        <v/>
      </c>
      <c r="O127" s="85" t="str">
        <f>IF(Tabla19[[#This Row],[Comp1]]="","",
IF(IF(Tabla19[[#This Row],[Comp1]]=0,0,1)*$D127-Tabla19[[#This Row],[Asign1]]=0,0,Tabla19[[#This Row],[Comp1]]))</f>
        <v/>
      </c>
      <c r="P127" s="85" t="str">
        <f>IF(Tabla19[[#This Row],[Comp2]]="","",
IF(IF(Tabla19[[#This Row],[Comp2]]=0,0,1)*$D127-Tabla19[[#This Row],[Asign2]]=0,0,Tabla19[[#This Row],[Comp2]]))</f>
        <v/>
      </c>
      <c r="Q127" s="85" t="str">
        <f>IF(Tabla19[[#This Row],[Comp3]]="","",
IF(IF(Tabla19[[#This Row],[Comp3]]=0,0,1)*$D127-Tabla19[[#This Row],[Asign3]]=0,0,Tabla19[[#This Row],[Comp3]]))</f>
        <v/>
      </c>
      <c r="R127" s="85" t="str">
        <f>IF(Tabla19[[#This Row],[Comp4]]="","",
IF(IF(Tabla19[[#This Row],[Comp4]]=0,0,1)*$D127-Tabla19[[#This Row],[Asign4]]=0,0,Tabla19[[#This Row],[Comp4]]))</f>
        <v/>
      </c>
      <c r="S127" s="85" t="str">
        <f>IF(Tabla19[[#This Row],[Comp5]]="","",
IF(IF(Tabla19[[#This Row],[Comp5]]=0,0,1)*$D127-Tabla19[[#This Row],[Asign5]]=0,0,Tabla19[[#This Row],[Comp5]]))</f>
        <v/>
      </c>
    </row>
    <row r="128" spans="5:19" x14ac:dyDescent="0.3">
      <c r="E128" s="99" t="str">
        <f>IF($A128="","",INDEX(ListadoProductos[],MATCH('2.C_Datos'!$C128,ListadoProductos[Productos],0),MATCH('2.C_Datos'!E$3,ListadoProductos[#Headers],0)))</f>
        <v/>
      </c>
      <c r="F128" s="99" t="str">
        <f>IF($A128="","",INDEX(ListadoProductos[],MATCH('2.C_Datos'!$C128,ListadoProductos[Productos],0),MATCH('2.C_Datos'!F$3,ListadoProductos[#Headers],0)))</f>
        <v/>
      </c>
      <c r="G128" s="99" t="str">
        <f>IF($A128="","",INDEX(ListadoProductos[],MATCH('2.C_Datos'!$C128,ListadoProductos[Productos],0),MATCH('2.C_Datos'!G$3,ListadoProductos[#Headers],0)))</f>
        <v/>
      </c>
      <c r="H128" s="99" t="str">
        <f>IF($A128="","",INDEX(ListadoProductos[],MATCH('2.C_Datos'!$C128,ListadoProductos[Productos],0),MATCH('2.C_Datos'!H$3,ListadoProductos[#Headers],0)))</f>
        <v/>
      </c>
      <c r="I128" s="99" t="str">
        <f>IF($A128="","",INDEX(ListadoProductos[],MATCH('2.C_Datos'!$C128,ListadoProductos[Productos],0),MATCH('2.C_Datos'!I$3,ListadoProductos[#Headers],0)))</f>
        <v/>
      </c>
      <c r="J128" s="99" t="str">
        <f>IF(Tabla19[[#This Row],[Comp1]]="","",COUNTIFS(TablaMaq1[Componente],Tabla19[[#This Row],[Comp1]],TablaMaq1[ID_Pedido],'2.C_Datos'!A128)+
COUNTIFS(TablaMaq2[Componente],Tabla19[[#This Row],[Comp1]],TablaMaq2[ID_Pedido],'2.C_Datos'!A128)+
COUNTIFS(TablaMaq3[Componente],Tabla19[[#This Row],[Comp1]],TablaMaq3[ID_Pedido],'2.C_Datos'!A128)+
COUNTIFS(TablaMaq4[Componente],Tabla19[[#This Row],[Comp1]],TablaMaq4[ID_Pedido],'2.C_Datos'!A128))</f>
        <v/>
      </c>
      <c r="K128" s="99" t="str">
        <f>IF(Tabla19[[#This Row],[Comp2]]="","",COUNTIFS(TablaMaq1[Componente],Tabla19[[#This Row],[Comp2]],TablaMaq1[ID_Pedido],'2.C_Datos'!A128)+
COUNTIFS(TablaMaq2[Componente],Tabla19[[#This Row],[Comp2]],TablaMaq2[ID_Pedido],'2.C_Datos'!A128)+
COUNTIFS(TablaMaq3[Componente],Tabla19[[#This Row],[Comp2]],TablaMaq3[ID_Pedido],'2.C_Datos'!A128)+
COUNTIFS(TablaMaq4[Componente],Tabla19[[#This Row],[Comp2]],TablaMaq4[ID_Pedido],'2.C_Datos'!A128))</f>
        <v/>
      </c>
      <c r="L128" s="99" t="str">
        <f>IF(Tabla19[[#This Row],[Comp3]]="","",COUNTIFS(TablaMaq1[Componente],Tabla19[[#This Row],[Comp3]],TablaMaq1[ID_Pedido],'2.C_Datos'!A128)+
COUNTIFS(TablaMaq2[Componente],Tabla19[[#This Row],[Comp3]],TablaMaq2[ID_Pedido],'2.C_Datos'!A128)+
COUNTIFS(TablaMaq3[Componente],Tabla19[[#This Row],[Comp3]],TablaMaq3[ID_Pedido],'2.C_Datos'!A128)+
COUNTIFS(TablaMaq4[Componente],Tabla19[[#This Row],[Comp3]],TablaMaq4[ID_Pedido],'2.C_Datos'!A128))</f>
        <v/>
      </c>
      <c r="M128" s="99" t="str">
        <f>IF(Tabla19[[#This Row],[Comp4]]="","",COUNTIFS(TablaMaq1[Componente],Tabla19[[#This Row],[Comp4]],TablaMaq1[ID_Pedido],'2.C_Datos'!A128)+
COUNTIFS(TablaMaq2[Componente],Tabla19[[#This Row],[Comp4]],TablaMaq2[ID_Pedido],'2.C_Datos'!A128)+
COUNTIFS(TablaMaq3[Componente],Tabla19[[#This Row],[Comp4]],TablaMaq3[ID_Pedido],'2.C_Datos'!A128)+
COUNTIFS(TablaMaq4[Componente],Tabla19[[#This Row],[Comp4]],TablaMaq4[ID_Pedido],'2.C_Datos'!A128))</f>
        <v/>
      </c>
      <c r="N128" s="99" t="str">
        <f>IF(Tabla19[[#This Row],[Comp5]]="","",COUNTIFS(TablaMaq1[Componente],Tabla19[[#This Row],[Comp5]],TablaMaq1[ID_Pedido],'2.C_Datos'!A128)+
COUNTIFS(TablaMaq1[Componente],Tabla19[[#This Row],[Comp5]],TablaMaq2[ID_Pedido],'2.C_Datos'!A128)+
COUNTIFS(TablaMaq1[Componente],Tabla19[[#This Row],[Comp5]],TablaMaq3[ID_Pedido],'2.C_Datos'!A128)+
COUNTIFS(TablaMaq1[Componente],Tabla19[[#This Row],[Comp5]],TablaMaq4[ID_Pedido],'2.C_Datos'!A128))</f>
        <v/>
      </c>
      <c r="O128" s="85" t="str">
        <f>IF(Tabla19[[#This Row],[Comp1]]="","",
IF(IF(Tabla19[[#This Row],[Comp1]]=0,0,1)*$D128-Tabla19[[#This Row],[Asign1]]=0,0,Tabla19[[#This Row],[Comp1]]))</f>
        <v/>
      </c>
      <c r="P128" s="85" t="str">
        <f>IF(Tabla19[[#This Row],[Comp2]]="","",
IF(IF(Tabla19[[#This Row],[Comp2]]=0,0,1)*$D128-Tabla19[[#This Row],[Asign2]]=0,0,Tabla19[[#This Row],[Comp2]]))</f>
        <v/>
      </c>
      <c r="Q128" s="85" t="str">
        <f>IF(Tabla19[[#This Row],[Comp3]]="","",
IF(IF(Tabla19[[#This Row],[Comp3]]=0,0,1)*$D128-Tabla19[[#This Row],[Asign3]]=0,0,Tabla19[[#This Row],[Comp3]]))</f>
        <v/>
      </c>
      <c r="R128" s="85" t="str">
        <f>IF(Tabla19[[#This Row],[Comp4]]="","",
IF(IF(Tabla19[[#This Row],[Comp4]]=0,0,1)*$D128-Tabla19[[#This Row],[Asign4]]=0,0,Tabla19[[#This Row],[Comp4]]))</f>
        <v/>
      </c>
      <c r="S128" s="85" t="str">
        <f>IF(Tabla19[[#This Row],[Comp5]]="","",
IF(IF(Tabla19[[#This Row],[Comp5]]=0,0,1)*$D128-Tabla19[[#This Row],[Asign5]]=0,0,Tabla19[[#This Row],[Comp5]]))</f>
        <v/>
      </c>
    </row>
    <row r="129" spans="5:19" x14ac:dyDescent="0.3">
      <c r="E129" s="99" t="str">
        <f>IF($A129="","",INDEX(ListadoProductos[],MATCH('2.C_Datos'!$C129,ListadoProductos[Productos],0),MATCH('2.C_Datos'!E$3,ListadoProductos[#Headers],0)))</f>
        <v/>
      </c>
      <c r="F129" s="99" t="str">
        <f>IF($A129="","",INDEX(ListadoProductos[],MATCH('2.C_Datos'!$C129,ListadoProductos[Productos],0),MATCH('2.C_Datos'!F$3,ListadoProductos[#Headers],0)))</f>
        <v/>
      </c>
      <c r="G129" s="99" t="str">
        <f>IF($A129="","",INDEX(ListadoProductos[],MATCH('2.C_Datos'!$C129,ListadoProductos[Productos],0),MATCH('2.C_Datos'!G$3,ListadoProductos[#Headers],0)))</f>
        <v/>
      </c>
      <c r="H129" s="99" t="str">
        <f>IF($A129="","",INDEX(ListadoProductos[],MATCH('2.C_Datos'!$C129,ListadoProductos[Productos],0),MATCH('2.C_Datos'!H$3,ListadoProductos[#Headers],0)))</f>
        <v/>
      </c>
      <c r="I129" s="99" t="str">
        <f>IF($A129="","",INDEX(ListadoProductos[],MATCH('2.C_Datos'!$C129,ListadoProductos[Productos],0),MATCH('2.C_Datos'!I$3,ListadoProductos[#Headers],0)))</f>
        <v/>
      </c>
      <c r="J129" s="99" t="str">
        <f>IF(Tabla19[[#This Row],[Comp1]]="","",COUNTIFS(TablaMaq1[Componente],Tabla19[[#This Row],[Comp1]],TablaMaq1[ID_Pedido],'2.C_Datos'!A129)+
COUNTIFS(TablaMaq2[Componente],Tabla19[[#This Row],[Comp1]],TablaMaq2[ID_Pedido],'2.C_Datos'!A129)+
COUNTIFS(TablaMaq3[Componente],Tabla19[[#This Row],[Comp1]],TablaMaq3[ID_Pedido],'2.C_Datos'!A129)+
COUNTIFS(TablaMaq4[Componente],Tabla19[[#This Row],[Comp1]],TablaMaq4[ID_Pedido],'2.C_Datos'!A129))</f>
        <v/>
      </c>
      <c r="K129" s="99" t="str">
        <f>IF(Tabla19[[#This Row],[Comp2]]="","",COUNTIFS(TablaMaq1[Componente],Tabla19[[#This Row],[Comp2]],TablaMaq1[ID_Pedido],'2.C_Datos'!A129)+
COUNTIFS(TablaMaq2[Componente],Tabla19[[#This Row],[Comp2]],TablaMaq2[ID_Pedido],'2.C_Datos'!A129)+
COUNTIFS(TablaMaq3[Componente],Tabla19[[#This Row],[Comp2]],TablaMaq3[ID_Pedido],'2.C_Datos'!A129)+
COUNTIFS(TablaMaq4[Componente],Tabla19[[#This Row],[Comp2]],TablaMaq4[ID_Pedido],'2.C_Datos'!A129))</f>
        <v/>
      </c>
      <c r="L129" s="99" t="str">
        <f>IF(Tabla19[[#This Row],[Comp3]]="","",COUNTIFS(TablaMaq1[Componente],Tabla19[[#This Row],[Comp3]],TablaMaq1[ID_Pedido],'2.C_Datos'!A129)+
COUNTIFS(TablaMaq2[Componente],Tabla19[[#This Row],[Comp3]],TablaMaq2[ID_Pedido],'2.C_Datos'!A129)+
COUNTIFS(TablaMaq3[Componente],Tabla19[[#This Row],[Comp3]],TablaMaq3[ID_Pedido],'2.C_Datos'!A129)+
COUNTIFS(TablaMaq4[Componente],Tabla19[[#This Row],[Comp3]],TablaMaq4[ID_Pedido],'2.C_Datos'!A129))</f>
        <v/>
      </c>
      <c r="M129" s="99" t="str">
        <f>IF(Tabla19[[#This Row],[Comp4]]="","",COUNTIFS(TablaMaq1[Componente],Tabla19[[#This Row],[Comp4]],TablaMaq1[ID_Pedido],'2.C_Datos'!A129)+
COUNTIFS(TablaMaq2[Componente],Tabla19[[#This Row],[Comp4]],TablaMaq2[ID_Pedido],'2.C_Datos'!A129)+
COUNTIFS(TablaMaq3[Componente],Tabla19[[#This Row],[Comp4]],TablaMaq3[ID_Pedido],'2.C_Datos'!A129)+
COUNTIFS(TablaMaq4[Componente],Tabla19[[#This Row],[Comp4]],TablaMaq4[ID_Pedido],'2.C_Datos'!A129))</f>
        <v/>
      </c>
      <c r="N129" s="99" t="str">
        <f>IF(Tabla19[[#This Row],[Comp5]]="","",COUNTIFS(TablaMaq1[Componente],Tabla19[[#This Row],[Comp5]],TablaMaq1[ID_Pedido],'2.C_Datos'!A129)+
COUNTIFS(TablaMaq1[Componente],Tabla19[[#This Row],[Comp5]],TablaMaq2[ID_Pedido],'2.C_Datos'!A129)+
COUNTIFS(TablaMaq1[Componente],Tabla19[[#This Row],[Comp5]],TablaMaq3[ID_Pedido],'2.C_Datos'!A129)+
COUNTIFS(TablaMaq1[Componente],Tabla19[[#This Row],[Comp5]],TablaMaq4[ID_Pedido],'2.C_Datos'!A129))</f>
        <v/>
      </c>
      <c r="O129" s="85" t="str">
        <f>IF(Tabla19[[#This Row],[Comp1]]="","",
IF(IF(Tabla19[[#This Row],[Comp1]]=0,0,1)*$D129-Tabla19[[#This Row],[Asign1]]=0,0,Tabla19[[#This Row],[Comp1]]))</f>
        <v/>
      </c>
      <c r="P129" s="85" t="str">
        <f>IF(Tabla19[[#This Row],[Comp2]]="","",
IF(IF(Tabla19[[#This Row],[Comp2]]=0,0,1)*$D129-Tabla19[[#This Row],[Asign2]]=0,0,Tabla19[[#This Row],[Comp2]]))</f>
        <v/>
      </c>
      <c r="Q129" s="85" t="str">
        <f>IF(Tabla19[[#This Row],[Comp3]]="","",
IF(IF(Tabla19[[#This Row],[Comp3]]=0,0,1)*$D129-Tabla19[[#This Row],[Asign3]]=0,0,Tabla19[[#This Row],[Comp3]]))</f>
        <v/>
      </c>
      <c r="R129" s="85" t="str">
        <f>IF(Tabla19[[#This Row],[Comp4]]="","",
IF(IF(Tabla19[[#This Row],[Comp4]]=0,0,1)*$D129-Tabla19[[#This Row],[Asign4]]=0,0,Tabla19[[#This Row],[Comp4]]))</f>
        <v/>
      </c>
      <c r="S129" s="85" t="str">
        <f>IF(Tabla19[[#This Row],[Comp5]]="","",
IF(IF(Tabla19[[#This Row],[Comp5]]=0,0,1)*$D129-Tabla19[[#This Row],[Asign5]]=0,0,Tabla19[[#This Row],[Comp5]]))</f>
        <v/>
      </c>
    </row>
    <row r="130" spans="5:19" x14ac:dyDescent="0.3">
      <c r="E130" s="99" t="str">
        <f>IF($A130="","",INDEX(ListadoProductos[],MATCH('2.C_Datos'!$C130,ListadoProductos[Productos],0),MATCH('2.C_Datos'!E$3,ListadoProductos[#Headers],0)))</f>
        <v/>
      </c>
      <c r="F130" s="99" t="str">
        <f>IF($A130="","",INDEX(ListadoProductos[],MATCH('2.C_Datos'!$C130,ListadoProductos[Productos],0),MATCH('2.C_Datos'!F$3,ListadoProductos[#Headers],0)))</f>
        <v/>
      </c>
      <c r="G130" s="99" t="str">
        <f>IF($A130="","",INDEX(ListadoProductos[],MATCH('2.C_Datos'!$C130,ListadoProductos[Productos],0),MATCH('2.C_Datos'!G$3,ListadoProductos[#Headers],0)))</f>
        <v/>
      </c>
      <c r="H130" s="99" t="str">
        <f>IF($A130="","",INDEX(ListadoProductos[],MATCH('2.C_Datos'!$C130,ListadoProductos[Productos],0),MATCH('2.C_Datos'!H$3,ListadoProductos[#Headers],0)))</f>
        <v/>
      </c>
      <c r="I130" s="99" t="str">
        <f>IF($A130="","",INDEX(ListadoProductos[],MATCH('2.C_Datos'!$C130,ListadoProductos[Productos],0),MATCH('2.C_Datos'!I$3,ListadoProductos[#Headers],0)))</f>
        <v/>
      </c>
      <c r="J130" s="99" t="str">
        <f>IF(Tabla19[[#This Row],[Comp1]]="","",COUNTIFS(TablaMaq1[Componente],Tabla19[[#This Row],[Comp1]],TablaMaq1[ID_Pedido],'2.C_Datos'!A130)+
COUNTIFS(TablaMaq2[Componente],Tabla19[[#This Row],[Comp1]],TablaMaq2[ID_Pedido],'2.C_Datos'!A130)+
COUNTIFS(TablaMaq3[Componente],Tabla19[[#This Row],[Comp1]],TablaMaq3[ID_Pedido],'2.C_Datos'!A130)+
COUNTIFS(TablaMaq4[Componente],Tabla19[[#This Row],[Comp1]],TablaMaq4[ID_Pedido],'2.C_Datos'!A130))</f>
        <v/>
      </c>
      <c r="K130" s="99" t="str">
        <f>IF(Tabla19[[#This Row],[Comp2]]="","",COUNTIFS(TablaMaq1[Componente],Tabla19[[#This Row],[Comp2]],TablaMaq1[ID_Pedido],'2.C_Datos'!A130)+
COUNTIFS(TablaMaq2[Componente],Tabla19[[#This Row],[Comp2]],TablaMaq2[ID_Pedido],'2.C_Datos'!A130)+
COUNTIFS(TablaMaq3[Componente],Tabla19[[#This Row],[Comp2]],TablaMaq3[ID_Pedido],'2.C_Datos'!A130)+
COUNTIFS(TablaMaq4[Componente],Tabla19[[#This Row],[Comp2]],TablaMaq4[ID_Pedido],'2.C_Datos'!A130))</f>
        <v/>
      </c>
      <c r="L130" s="99" t="str">
        <f>IF(Tabla19[[#This Row],[Comp3]]="","",COUNTIFS(TablaMaq1[Componente],Tabla19[[#This Row],[Comp3]],TablaMaq1[ID_Pedido],'2.C_Datos'!A130)+
COUNTIFS(TablaMaq2[Componente],Tabla19[[#This Row],[Comp3]],TablaMaq2[ID_Pedido],'2.C_Datos'!A130)+
COUNTIFS(TablaMaq3[Componente],Tabla19[[#This Row],[Comp3]],TablaMaq3[ID_Pedido],'2.C_Datos'!A130)+
COUNTIFS(TablaMaq4[Componente],Tabla19[[#This Row],[Comp3]],TablaMaq4[ID_Pedido],'2.C_Datos'!A130))</f>
        <v/>
      </c>
      <c r="M130" s="99" t="str">
        <f>IF(Tabla19[[#This Row],[Comp4]]="","",COUNTIFS(TablaMaq1[Componente],Tabla19[[#This Row],[Comp4]],TablaMaq1[ID_Pedido],'2.C_Datos'!A130)+
COUNTIFS(TablaMaq2[Componente],Tabla19[[#This Row],[Comp4]],TablaMaq2[ID_Pedido],'2.C_Datos'!A130)+
COUNTIFS(TablaMaq3[Componente],Tabla19[[#This Row],[Comp4]],TablaMaq3[ID_Pedido],'2.C_Datos'!A130)+
COUNTIFS(TablaMaq4[Componente],Tabla19[[#This Row],[Comp4]],TablaMaq4[ID_Pedido],'2.C_Datos'!A130))</f>
        <v/>
      </c>
      <c r="N130" s="99" t="str">
        <f>IF(Tabla19[[#This Row],[Comp5]]="","",COUNTIFS(TablaMaq1[Componente],Tabla19[[#This Row],[Comp5]],TablaMaq1[ID_Pedido],'2.C_Datos'!A130)+
COUNTIFS(TablaMaq1[Componente],Tabla19[[#This Row],[Comp5]],TablaMaq2[ID_Pedido],'2.C_Datos'!A130)+
COUNTIFS(TablaMaq1[Componente],Tabla19[[#This Row],[Comp5]],TablaMaq3[ID_Pedido],'2.C_Datos'!A130)+
COUNTIFS(TablaMaq1[Componente],Tabla19[[#This Row],[Comp5]],TablaMaq4[ID_Pedido],'2.C_Datos'!A130))</f>
        <v/>
      </c>
      <c r="O130" s="85" t="str">
        <f>IF(Tabla19[[#This Row],[Comp1]]="","",
IF(IF(Tabla19[[#This Row],[Comp1]]=0,0,1)*$D130-Tabla19[[#This Row],[Asign1]]=0,0,Tabla19[[#This Row],[Comp1]]))</f>
        <v/>
      </c>
      <c r="P130" s="85" t="str">
        <f>IF(Tabla19[[#This Row],[Comp2]]="","",
IF(IF(Tabla19[[#This Row],[Comp2]]=0,0,1)*$D130-Tabla19[[#This Row],[Asign2]]=0,0,Tabla19[[#This Row],[Comp2]]))</f>
        <v/>
      </c>
      <c r="Q130" s="85" t="str">
        <f>IF(Tabla19[[#This Row],[Comp3]]="","",
IF(IF(Tabla19[[#This Row],[Comp3]]=0,0,1)*$D130-Tabla19[[#This Row],[Asign3]]=0,0,Tabla19[[#This Row],[Comp3]]))</f>
        <v/>
      </c>
      <c r="R130" s="85" t="str">
        <f>IF(Tabla19[[#This Row],[Comp4]]="","",
IF(IF(Tabla19[[#This Row],[Comp4]]=0,0,1)*$D130-Tabla19[[#This Row],[Asign4]]=0,0,Tabla19[[#This Row],[Comp4]]))</f>
        <v/>
      </c>
      <c r="S130" s="85" t="str">
        <f>IF(Tabla19[[#This Row],[Comp5]]="","",
IF(IF(Tabla19[[#This Row],[Comp5]]=0,0,1)*$D130-Tabla19[[#This Row],[Asign5]]=0,0,Tabla19[[#This Row],[Comp5]]))</f>
        <v/>
      </c>
    </row>
    <row r="131" spans="5:19" x14ac:dyDescent="0.3">
      <c r="E131" s="99" t="str">
        <f>IF($A131="","",INDEX(ListadoProductos[],MATCH('2.C_Datos'!$C131,ListadoProductos[Productos],0),MATCH('2.C_Datos'!E$3,ListadoProductos[#Headers],0)))</f>
        <v/>
      </c>
      <c r="F131" s="99" t="str">
        <f>IF($A131="","",INDEX(ListadoProductos[],MATCH('2.C_Datos'!$C131,ListadoProductos[Productos],0),MATCH('2.C_Datos'!F$3,ListadoProductos[#Headers],0)))</f>
        <v/>
      </c>
      <c r="G131" s="99" t="str">
        <f>IF($A131="","",INDEX(ListadoProductos[],MATCH('2.C_Datos'!$C131,ListadoProductos[Productos],0),MATCH('2.C_Datos'!G$3,ListadoProductos[#Headers],0)))</f>
        <v/>
      </c>
      <c r="H131" s="99" t="str">
        <f>IF($A131="","",INDEX(ListadoProductos[],MATCH('2.C_Datos'!$C131,ListadoProductos[Productos],0),MATCH('2.C_Datos'!H$3,ListadoProductos[#Headers],0)))</f>
        <v/>
      </c>
      <c r="I131" s="99" t="str">
        <f>IF($A131="","",INDEX(ListadoProductos[],MATCH('2.C_Datos'!$C131,ListadoProductos[Productos],0),MATCH('2.C_Datos'!I$3,ListadoProductos[#Headers],0)))</f>
        <v/>
      </c>
      <c r="J131" s="99" t="str">
        <f>IF(Tabla19[[#This Row],[Comp1]]="","",COUNTIFS(TablaMaq1[Componente],Tabla19[[#This Row],[Comp1]],TablaMaq1[ID_Pedido],'2.C_Datos'!A131)+
COUNTIFS(TablaMaq2[Componente],Tabla19[[#This Row],[Comp1]],TablaMaq2[ID_Pedido],'2.C_Datos'!A131)+
COUNTIFS(TablaMaq3[Componente],Tabla19[[#This Row],[Comp1]],TablaMaq3[ID_Pedido],'2.C_Datos'!A131)+
COUNTIFS(TablaMaq4[Componente],Tabla19[[#This Row],[Comp1]],TablaMaq4[ID_Pedido],'2.C_Datos'!A131))</f>
        <v/>
      </c>
      <c r="K131" s="99" t="str">
        <f>IF(Tabla19[[#This Row],[Comp2]]="","",COUNTIFS(TablaMaq1[Componente],Tabla19[[#This Row],[Comp2]],TablaMaq1[ID_Pedido],'2.C_Datos'!A131)+
COUNTIFS(TablaMaq2[Componente],Tabla19[[#This Row],[Comp2]],TablaMaq2[ID_Pedido],'2.C_Datos'!A131)+
COUNTIFS(TablaMaq3[Componente],Tabla19[[#This Row],[Comp2]],TablaMaq3[ID_Pedido],'2.C_Datos'!A131)+
COUNTIFS(TablaMaq4[Componente],Tabla19[[#This Row],[Comp2]],TablaMaq4[ID_Pedido],'2.C_Datos'!A131))</f>
        <v/>
      </c>
      <c r="L131" s="99" t="str">
        <f>IF(Tabla19[[#This Row],[Comp3]]="","",COUNTIFS(TablaMaq1[Componente],Tabla19[[#This Row],[Comp3]],TablaMaq1[ID_Pedido],'2.C_Datos'!A131)+
COUNTIFS(TablaMaq2[Componente],Tabla19[[#This Row],[Comp3]],TablaMaq2[ID_Pedido],'2.C_Datos'!A131)+
COUNTIFS(TablaMaq3[Componente],Tabla19[[#This Row],[Comp3]],TablaMaq3[ID_Pedido],'2.C_Datos'!A131)+
COUNTIFS(TablaMaq4[Componente],Tabla19[[#This Row],[Comp3]],TablaMaq4[ID_Pedido],'2.C_Datos'!A131))</f>
        <v/>
      </c>
      <c r="M131" s="99" t="str">
        <f>IF(Tabla19[[#This Row],[Comp4]]="","",COUNTIFS(TablaMaq1[Componente],Tabla19[[#This Row],[Comp4]],TablaMaq1[ID_Pedido],'2.C_Datos'!A131)+
COUNTIFS(TablaMaq2[Componente],Tabla19[[#This Row],[Comp4]],TablaMaq2[ID_Pedido],'2.C_Datos'!A131)+
COUNTIFS(TablaMaq3[Componente],Tabla19[[#This Row],[Comp4]],TablaMaq3[ID_Pedido],'2.C_Datos'!A131)+
COUNTIFS(TablaMaq4[Componente],Tabla19[[#This Row],[Comp4]],TablaMaq4[ID_Pedido],'2.C_Datos'!A131))</f>
        <v/>
      </c>
      <c r="N131" s="99" t="str">
        <f>IF(Tabla19[[#This Row],[Comp5]]="","",COUNTIFS(TablaMaq1[Componente],Tabla19[[#This Row],[Comp5]],TablaMaq1[ID_Pedido],'2.C_Datos'!A131)+
COUNTIFS(TablaMaq1[Componente],Tabla19[[#This Row],[Comp5]],TablaMaq2[ID_Pedido],'2.C_Datos'!A131)+
COUNTIFS(TablaMaq1[Componente],Tabla19[[#This Row],[Comp5]],TablaMaq3[ID_Pedido],'2.C_Datos'!A131)+
COUNTIFS(TablaMaq1[Componente],Tabla19[[#This Row],[Comp5]],TablaMaq4[ID_Pedido],'2.C_Datos'!A131))</f>
        <v/>
      </c>
      <c r="O131" s="85" t="str">
        <f>IF(Tabla19[[#This Row],[Comp1]]="","",
IF(IF(Tabla19[[#This Row],[Comp1]]=0,0,1)*$D131-Tabla19[[#This Row],[Asign1]]=0,0,Tabla19[[#This Row],[Comp1]]))</f>
        <v/>
      </c>
      <c r="P131" s="85" t="str">
        <f>IF(Tabla19[[#This Row],[Comp2]]="","",
IF(IF(Tabla19[[#This Row],[Comp2]]=0,0,1)*$D131-Tabla19[[#This Row],[Asign2]]=0,0,Tabla19[[#This Row],[Comp2]]))</f>
        <v/>
      </c>
      <c r="Q131" s="85" t="str">
        <f>IF(Tabla19[[#This Row],[Comp3]]="","",
IF(IF(Tabla19[[#This Row],[Comp3]]=0,0,1)*$D131-Tabla19[[#This Row],[Asign3]]=0,0,Tabla19[[#This Row],[Comp3]]))</f>
        <v/>
      </c>
      <c r="R131" s="85" t="str">
        <f>IF(Tabla19[[#This Row],[Comp4]]="","",
IF(IF(Tabla19[[#This Row],[Comp4]]=0,0,1)*$D131-Tabla19[[#This Row],[Asign4]]=0,0,Tabla19[[#This Row],[Comp4]]))</f>
        <v/>
      </c>
      <c r="S131" s="85" t="str">
        <f>IF(Tabla19[[#This Row],[Comp5]]="","",
IF(IF(Tabla19[[#This Row],[Comp5]]=0,0,1)*$D131-Tabla19[[#This Row],[Asign5]]=0,0,Tabla19[[#This Row],[Comp5]]))</f>
        <v/>
      </c>
    </row>
    <row r="132" spans="5:19" x14ac:dyDescent="0.3">
      <c r="E132" s="99" t="str">
        <f>IF($A132="","",INDEX(ListadoProductos[],MATCH('2.C_Datos'!$C132,ListadoProductos[Productos],0),MATCH('2.C_Datos'!E$3,ListadoProductos[#Headers],0)))</f>
        <v/>
      </c>
      <c r="F132" s="99" t="str">
        <f>IF($A132="","",INDEX(ListadoProductos[],MATCH('2.C_Datos'!$C132,ListadoProductos[Productos],0),MATCH('2.C_Datos'!F$3,ListadoProductos[#Headers],0)))</f>
        <v/>
      </c>
      <c r="G132" s="99" t="str">
        <f>IF($A132="","",INDEX(ListadoProductos[],MATCH('2.C_Datos'!$C132,ListadoProductos[Productos],0),MATCH('2.C_Datos'!G$3,ListadoProductos[#Headers],0)))</f>
        <v/>
      </c>
      <c r="H132" s="99" t="str">
        <f>IF($A132="","",INDEX(ListadoProductos[],MATCH('2.C_Datos'!$C132,ListadoProductos[Productos],0),MATCH('2.C_Datos'!H$3,ListadoProductos[#Headers],0)))</f>
        <v/>
      </c>
      <c r="I132" s="99" t="str">
        <f>IF($A132="","",INDEX(ListadoProductos[],MATCH('2.C_Datos'!$C132,ListadoProductos[Productos],0),MATCH('2.C_Datos'!I$3,ListadoProductos[#Headers],0)))</f>
        <v/>
      </c>
      <c r="J132" s="99" t="str">
        <f>IF(Tabla19[[#This Row],[Comp1]]="","",COUNTIFS(TablaMaq1[Componente],Tabla19[[#This Row],[Comp1]],TablaMaq1[ID_Pedido],'2.C_Datos'!A132)+
COUNTIFS(TablaMaq2[Componente],Tabla19[[#This Row],[Comp1]],TablaMaq2[ID_Pedido],'2.C_Datos'!A132)+
COUNTIFS(TablaMaq3[Componente],Tabla19[[#This Row],[Comp1]],TablaMaq3[ID_Pedido],'2.C_Datos'!A132)+
COUNTIFS(TablaMaq4[Componente],Tabla19[[#This Row],[Comp1]],TablaMaq4[ID_Pedido],'2.C_Datos'!A132))</f>
        <v/>
      </c>
      <c r="K132" s="99" t="str">
        <f>IF(Tabla19[[#This Row],[Comp2]]="","",COUNTIFS(TablaMaq1[Componente],Tabla19[[#This Row],[Comp2]],TablaMaq1[ID_Pedido],'2.C_Datos'!A132)+
COUNTIFS(TablaMaq2[Componente],Tabla19[[#This Row],[Comp2]],TablaMaq2[ID_Pedido],'2.C_Datos'!A132)+
COUNTIFS(TablaMaq3[Componente],Tabla19[[#This Row],[Comp2]],TablaMaq3[ID_Pedido],'2.C_Datos'!A132)+
COUNTIFS(TablaMaq4[Componente],Tabla19[[#This Row],[Comp2]],TablaMaq4[ID_Pedido],'2.C_Datos'!A132))</f>
        <v/>
      </c>
      <c r="L132" s="99" t="str">
        <f>IF(Tabla19[[#This Row],[Comp3]]="","",COUNTIFS(TablaMaq1[Componente],Tabla19[[#This Row],[Comp3]],TablaMaq1[ID_Pedido],'2.C_Datos'!A132)+
COUNTIFS(TablaMaq2[Componente],Tabla19[[#This Row],[Comp3]],TablaMaq2[ID_Pedido],'2.C_Datos'!A132)+
COUNTIFS(TablaMaq3[Componente],Tabla19[[#This Row],[Comp3]],TablaMaq3[ID_Pedido],'2.C_Datos'!A132)+
COUNTIFS(TablaMaq4[Componente],Tabla19[[#This Row],[Comp3]],TablaMaq4[ID_Pedido],'2.C_Datos'!A132))</f>
        <v/>
      </c>
      <c r="M132" s="99" t="str">
        <f>IF(Tabla19[[#This Row],[Comp4]]="","",COUNTIFS(TablaMaq1[Componente],Tabla19[[#This Row],[Comp4]],TablaMaq1[ID_Pedido],'2.C_Datos'!A132)+
COUNTIFS(TablaMaq2[Componente],Tabla19[[#This Row],[Comp4]],TablaMaq2[ID_Pedido],'2.C_Datos'!A132)+
COUNTIFS(TablaMaq3[Componente],Tabla19[[#This Row],[Comp4]],TablaMaq3[ID_Pedido],'2.C_Datos'!A132)+
COUNTIFS(TablaMaq4[Componente],Tabla19[[#This Row],[Comp4]],TablaMaq4[ID_Pedido],'2.C_Datos'!A132))</f>
        <v/>
      </c>
      <c r="N132" s="99" t="str">
        <f>IF(Tabla19[[#This Row],[Comp5]]="","",COUNTIFS(TablaMaq1[Componente],Tabla19[[#This Row],[Comp5]],TablaMaq1[ID_Pedido],'2.C_Datos'!A132)+
COUNTIFS(TablaMaq1[Componente],Tabla19[[#This Row],[Comp5]],TablaMaq2[ID_Pedido],'2.C_Datos'!A132)+
COUNTIFS(TablaMaq1[Componente],Tabla19[[#This Row],[Comp5]],TablaMaq3[ID_Pedido],'2.C_Datos'!A132)+
COUNTIFS(TablaMaq1[Componente],Tabla19[[#This Row],[Comp5]],TablaMaq4[ID_Pedido],'2.C_Datos'!A132))</f>
        <v/>
      </c>
      <c r="O132" s="85" t="str">
        <f>IF(Tabla19[[#This Row],[Comp1]]="","",
IF(IF(Tabla19[[#This Row],[Comp1]]=0,0,1)*$D132-Tabla19[[#This Row],[Asign1]]=0,0,Tabla19[[#This Row],[Comp1]]))</f>
        <v/>
      </c>
      <c r="P132" s="85" t="str">
        <f>IF(Tabla19[[#This Row],[Comp2]]="","",
IF(IF(Tabla19[[#This Row],[Comp2]]=0,0,1)*$D132-Tabla19[[#This Row],[Asign2]]=0,0,Tabla19[[#This Row],[Comp2]]))</f>
        <v/>
      </c>
      <c r="Q132" s="85" t="str">
        <f>IF(Tabla19[[#This Row],[Comp3]]="","",
IF(IF(Tabla19[[#This Row],[Comp3]]=0,0,1)*$D132-Tabla19[[#This Row],[Asign3]]=0,0,Tabla19[[#This Row],[Comp3]]))</f>
        <v/>
      </c>
      <c r="R132" s="85" t="str">
        <f>IF(Tabla19[[#This Row],[Comp4]]="","",
IF(IF(Tabla19[[#This Row],[Comp4]]=0,0,1)*$D132-Tabla19[[#This Row],[Asign4]]=0,0,Tabla19[[#This Row],[Comp4]]))</f>
        <v/>
      </c>
      <c r="S132" s="85" t="str">
        <f>IF(Tabla19[[#This Row],[Comp5]]="","",
IF(IF(Tabla19[[#This Row],[Comp5]]=0,0,1)*$D132-Tabla19[[#This Row],[Asign5]]=0,0,Tabla19[[#This Row],[Comp5]]))</f>
        <v/>
      </c>
    </row>
    <row r="133" spans="5:19" x14ac:dyDescent="0.3">
      <c r="E133" s="99" t="str">
        <f>IF($A133="","",INDEX(ListadoProductos[],MATCH('2.C_Datos'!$C133,ListadoProductos[Productos],0),MATCH('2.C_Datos'!E$3,ListadoProductos[#Headers],0)))</f>
        <v/>
      </c>
      <c r="F133" s="99" t="str">
        <f>IF($A133="","",INDEX(ListadoProductos[],MATCH('2.C_Datos'!$C133,ListadoProductos[Productos],0),MATCH('2.C_Datos'!F$3,ListadoProductos[#Headers],0)))</f>
        <v/>
      </c>
      <c r="G133" s="99" t="str">
        <f>IF($A133="","",INDEX(ListadoProductos[],MATCH('2.C_Datos'!$C133,ListadoProductos[Productos],0),MATCH('2.C_Datos'!G$3,ListadoProductos[#Headers],0)))</f>
        <v/>
      </c>
      <c r="H133" s="99" t="str">
        <f>IF($A133="","",INDEX(ListadoProductos[],MATCH('2.C_Datos'!$C133,ListadoProductos[Productos],0),MATCH('2.C_Datos'!H$3,ListadoProductos[#Headers],0)))</f>
        <v/>
      </c>
      <c r="I133" s="99" t="str">
        <f>IF($A133="","",INDEX(ListadoProductos[],MATCH('2.C_Datos'!$C133,ListadoProductos[Productos],0),MATCH('2.C_Datos'!I$3,ListadoProductos[#Headers],0)))</f>
        <v/>
      </c>
      <c r="J133" s="99" t="str">
        <f>IF(Tabla19[[#This Row],[Comp1]]="","",COUNTIFS(TablaMaq1[Componente],Tabla19[[#This Row],[Comp1]],TablaMaq1[ID_Pedido],'2.C_Datos'!A133)+
COUNTIFS(TablaMaq2[Componente],Tabla19[[#This Row],[Comp1]],TablaMaq2[ID_Pedido],'2.C_Datos'!A133)+
COUNTIFS(TablaMaq3[Componente],Tabla19[[#This Row],[Comp1]],TablaMaq3[ID_Pedido],'2.C_Datos'!A133)+
COUNTIFS(TablaMaq4[Componente],Tabla19[[#This Row],[Comp1]],TablaMaq4[ID_Pedido],'2.C_Datos'!A133))</f>
        <v/>
      </c>
      <c r="K133" s="99" t="str">
        <f>IF(Tabla19[[#This Row],[Comp2]]="","",COUNTIFS(TablaMaq1[Componente],Tabla19[[#This Row],[Comp2]],TablaMaq1[ID_Pedido],'2.C_Datos'!A133)+
COUNTIFS(TablaMaq2[Componente],Tabla19[[#This Row],[Comp2]],TablaMaq2[ID_Pedido],'2.C_Datos'!A133)+
COUNTIFS(TablaMaq3[Componente],Tabla19[[#This Row],[Comp2]],TablaMaq3[ID_Pedido],'2.C_Datos'!A133)+
COUNTIFS(TablaMaq4[Componente],Tabla19[[#This Row],[Comp2]],TablaMaq4[ID_Pedido],'2.C_Datos'!A133))</f>
        <v/>
      </c>
      <c r="L133" s="99" t="str">
        <f>IF(Tabla19[[#This Row],[Comp3]]="","",COUNTIFS(TablaMaq1[Componente],Tabla19[[#This Row],[Comp3]],TablaMaq1[ID_Pedido],'2.C_Datos'!A133)+
COUNTIFS(TablaMaq2[Componente],Tabla19[[#This Row],[Comp3]],TablaMaq2[ID_Pedido],'2.C_Datos'!A133)+
COUNTIFS(TablaMaq3[Componente],Tabla19[[#This Row],[Comp3]],TablaMaq3[ID_Pedido],'2.C_Datos'!A133)+
COUNTIFS(TablaMaq4[Componente],Tabla19[[#This Row],[Comp3]],TablaMaq4[ID_Pedido],'2.C_Datos'!A133))</f>
        <v/>
      </c>
      <c r="M133" s="99" t="str">
        <f>IF(Tabla19[[#This Row],[Comp4]]="","",COUNTIFS(TablaMaq1[Componente],Tabla19[[#This Row],[Comp4]],TablaMaq1[ID_Pedido],'2.C_Datos'!A133)+
COUNTIFS(TablaMaq2[Componente],Tabla19[[#This Row],[Comp4]],TablaMaq2[ID_Pedido],'2.C_Datos'!A133)+
COUNTIFS(TablaMaq3[Componente],Tabla19[[#This Row],[Comp4]],TablaMaq3[ID_Pedido],'2.C_Datos'!A133)+
COUNTIFS(TablaMaq4[Componente],Tabla19[[#This Row],[Comp4]],TablaMaq4[ID_Pedido],'2.C_Datos'!A133))</f>
        <v/>
      </c>
      <c r="N133" s="99" t="str">
        <f>IF(Tabla19[[#This Row],[Comp5]]="","",COUNTIFS(TablaMaq1[Componente],Tabla19[[#This Row],[Comp5]],TablaMaq1[ID_Pedido],'2.C_Datos'!A133)+
COUNTIFS(TablaMaq1[Componente],Tabla19[[#This Row],[Comp5]],TablaMaq2[ID_Pedido],'2.C_Datos'!A133)+
COUNTIFS(TablaMaq1[Componente],Tabla19[[#This Row],[Comp5]],TablaMaq3[ID_Pedido],'2.C_Datos'!A133)+
COUNTIFS(TablaMaq1[Componente],Tabla19[[#This Row],[Comp5]],TablaMaq4[ID_Pedido],'2.C_Datos'!A133))</f>
        <v/>
      </c>
      <c r="O133" s="85" t="str">
        <f>IF(Tabla19[[#This Row],[Comp1]]="","",
IF(IF(Tabla19[[#This Row],[Comp1]]=0,0,1)*$D133-Tabla19[[#This Row],[Asign1]]=0,0,Tabla19[[#This Row],[Comp1]]))</f>
        <v/>
      </c>
      <c r="P133" s="85" t="str">
        <f>IF(Tabla19[[#This Row],[Comp2]]="","",
IF(IF(Tabla19[[#This Row],[Comp2]]=0,0,1)*$D133-Tabla19[[#This Row],[Asign2]]=0,0,Tabla19[[#This Row],[Comp2]]))</f>
        <v/>
      </c>
      <c r="Q133" s="85" t="str">
        <f>IF(Tabla19[[#This Row],[Comp3]]="","",
IF(IF(Tabla19[[#This Row],[Comp3]]=0,0,1)*$D133-Tabla19[[#This Row],[Asign3]]=0,0,Tabla19[[#This Row],[Comp3]]))</f>
        <v/>
      </c>
      <c r="R133" s="85" t="str">
        <f>IF(Tabla19[[#This Row],[Comp4]]="","",
IF(IF(Tabla19[[#This Row],[Comp4]]=0,0,1)*$D133-Tabla19[[#This Row],[Asign4]]=0,0,Tabla19[[#This Row],[Comp4]]))</f>
        <v/>
      </c>
      <c r="S133" s="85" t="str">
        <f>IF(Tabla19[[#This Row],[Comp5]]="","",
IF(IF(Tabla19[[#This Row],[Comp5]]=0,0,1)*$D133-Tabla19[[#This Row],[Asign5]]=0,0,Tabla19[[#This Row],[Comp5]]))</f>
        <v/>
      </c>
    </row>
    <row r="134" spans="5:19" x14ac:dyDescent="0.3">
      <c r="E134" s="99" t="str">
        <f>IF($A134="","",INDEX(ListadoProductos[],MATCH('2.C_Datos'!$C134,ListadoProductos[Productos],0),MATCH('2.C_Datos'!E$3,ListadoProductos[#Headers],0)))</f>
        <v/>
      </c>
      <c r="F134" s="99" t="str">
        <f>IF($A134="","",INDEX(ListadoProductos[],MATCH('2.C_Datos'!$C134,ListadoProductos[Productos],0),MATCH('2.C_Datos'!F$3,ListadoProductos[#Headers],0)))</f>
        <v/>
      </c>
      <c r="G134" s="99" t="str">
        <f>IF($A134="","",INDEX(ListadoProductos[],MATCH('2.C_Datos'!$C134,ListadoProductos[Productos],0),MATCH('2.C_Datos'!G$3,ListadoProductos[#Headers],0)))</f>
        <v/>
      </c>
      <c r="H134" s="99" t="str">
        <f>IF($A134="","",INDEX(ListadoProductos[],MATCH('2.C_Datos'!$C134,ListadoProductos[Productos],0),MATCH('2.C_Datos'!H$3,ListadoProductos[#Headers],0)))</f>
        <v/>
      </c>
      <c r="I134" s="99" t="str">
        <f>IF($A134="","",INDEX(ListadoProductos[],MATCH('2.C_Datos'!$C134,ListadoProductos[Productos],0),MATCH('2.C_Datos'!I$3,ListadoProductos[#Headers],0)))</f>
        <v/>
      </c>
      <c r="J134" s="99" t="str">
        <f>IF(Tabla19[[#This Row],[Comp1]]="","",COUNTIFS(TablaMaq1[Componente],Tabla19[[#This Row],[Comp1]],TablaMaq1[ID_Pedido],'2.C_Datos'!A134)+
COUNTIFS(TablaMaq2[Componente],Tabla19[[#This Row],[Comp1]],TablaMaq2[ID_Pedido],'2.C_Datos'!A134)+
COUNTIFS(TablaMaq3[Componente],Tabla19[[#This Row],[Comp1]],TablaMaq3[ID_Pedido],'2.C_Datos'!A134)+
COUNTIFS(TablaMaq4[Componente],Tabla19[[#This Row],[Comp1]],TablaMaq4[ID_Pedido],'2.C_Datos'!A134))</f>
        <v/>
      </c>
      <c r="K134" s="99" t="str">
        <f>IF(Tabla19[[#This Row],[Comp2]]="","",COUNTIFS(TablaMaq1[Componente],Tabla19[[#This Row],[Comp2]],TablaMaq1[ID_Pedido],'2.C_Datos'!A134)+
COUNTIFS(TablaMaq2[Componente],Tabla19[[#This Row],[Comp2]],TablaMaq2[ID_Pedido],'2.C_Datos'!A134)+
COUNTIFS(TablaMaq3[Componente],Tabla19[[#This Row],[Comp2]],TablaMaq3[ID_Pedido],'2.C_Datos'!A134)+
COUNTIFS(TablaMaq4[Componente],Tabla19[[#This Row],[Comp2]],TablaMaq4[ID_Pedido],'2.C_Datos'!A134))</f>
        <v/>
      </c>
      <c r="L134" s="99" t="str">
        <f>IF(Tabla19[[#This Row],[Comp3]]="","",COUNTIFS(TablaMaq1[Componente],Tabla19[[#This Row],[Comp3]],TablaMaq1[ID_Pedido],'2.C_Datos'!A134)+
COUNTIFS(TablaMaq2[Componente],Tabla19[[#This Row],[Comp3]],TablaMaq2[ID_Pedido],'2.C_Datos'!A134)+
COUNTIFS(TablaMaq3[Componente],Tabla19[[#This Row],[Comp3]],TablaMaq3[ID_Pedido],'2.C_Datos'!A134)+
COUNTIFS(TablaMaq4[Componente],Tabla19[[#This Row],[Comp3]],TablaMaq4[ID_Pedido],'2.C_Datos'!A134))</f>
        <v/>
      </c>
      <c r="M134" s="99" t="str">
        <f>IF(Tabla19[[#This Row],[Comp4]]="","",COUNTIFS(TablaMaq1[Componente],Tabla19[[#This Row],[Comp4]],TablaMaq1[ID_Pedido],'2.C_Datos'!A134)+
COUNTIFS(TablaMaq2[Componente],Tabla19[[#This Row],[Comp4]],TablaMaq2[ID_Pedido],'2.C_Datos'!A134)+
COUNTIFS(TablaMaq3[Componente],Tabla19[[#This Row],[Comp4]],TablaMaq3[ID_Pedido],'2.C_Datos'!A134)+
COUNTIFS(TablaMaq4[Componente],Tabla19[[#This Row],[Comp4]],TablaMaq4[ID_Pedido],'2.C_Datos'!A134))</f>
        <v/>
      </c>
      <c r="N134" s="99" t="str">
        <f>IF(Tabla19[[#This Row],[Comp5]]="","",COUNTIFS(TablaMaq1[Componente],Tabla19[[#This Row],[Comp5]],TablaMaq1[ID_Pedido],'2.C_Datos'!A134)+
COUNTIFS(TablaMaq1[Componente],Tabla19[[#This Row],[Comp5]],TablaMaq2[ID_Pedido],'2.C_Datos'!A134)+
COUNTIFS(TablaMaq1[Componente],Tabla19[[#This Row],[Comp5]],TablaMaq3[ID_Pedido],'2.C_Datos'!A134)+
COUNTIFS(TablaMaq1[Componente],Tabla19[[#This Row],[Comp5]],TablaMaq4[ID_Pedido],'2.C_Datos'!A134))</f>
        <v/>
      </c>
      <c r="O134" s="85" t="str">
        <f>IF(Tabla19[[#This Row],[Comp1]]="","",
IF(IF(Tabla19[[#This Row],[Comp1]]=0,0,1)*$D134-Tabla19[[#This Row],[Asign1]]=0,0,Tabla19[[#This Row],[Comp1]]))</f>
        <v/>
      </c>
      <c r="P134" s="85" t="str">
        <f>IF(Tabla19[[#This Row],[Comp2]]="","",
IF(IF(Tabla19[[#This Row],[Comp2]]=0,0,1)*$D134-Tabla19[[#This Row],[Asign2]]=0,0,Tabla19[[#This Row],[Comp2]]))</f>
        <v/>
      </c>
      <c r="Q134" s="85" t="str">
        <f>IF(Tabla19[[#This Row],[Comp3]]="","",
IF(IF(Tabla19[[#This Row],[Comp3]]=0,0,1)*$D134-Tabla19[[#This Row],[Asign3]]=0,0,Tabla19[[#This Row],[Comp3]]))</f>
        <v/>
      </c>
      <c r="R134" s="85" t="str">
        <f>IF(Tabla19[[#This Row],[Comp4]]="","",
IF(IF(Tabla19[[#This Row],[Comp4]]=0,0,1)*$D134-Tabla19[[#This Row],[Asign4]]=0,0,Tabla19[[#This Row],[Comp4]]))</f>
        <v/>
      </c>
      <c r="S134" s="85" t="str">
        <f>IF(Tabla19[[#This Row],[Comp5]]="","",
IF(IF(Tabla19[[#This Row],[Comp5]]=0,0,1)*$D134-Tabla19[[#This Row],[Asign5]]=0,0,Tabla19[[#This Row],[Comp5]]))</f>
        <v/>
      </c>
    </row>
    <row r="135" spans="5:19" x14ac:dyDescent="0.3">
      <c r="E135" s="99" t="str">
        <f>IF($A135="","",INDEX(ListadoProductos[],MATCH('2.C_Datos'!$C135,ListadoProductos[Productos],0),MATCH('2.C_Datos'!E$3,ListadoProductos[#Headers],0)))</f>
        <v/>
      </c>
      <c r="F135" s="99" t="str">
        <f>IF($A135="","",INDEX(ListadoProductos[],MATCH('2.C_Datos'!$C135,ListadoProductos[Productos],0),MATCH('2.C_Datos'!F$3,ListadoProductos[#Headers],0)))</f>
        <v/>
      </c>
      <c r="G135" s="99" t="str">
        <f>IF($A135="","",INDEX(ListadoProductos[],MATCH('2.C_Datos'!$C135,ListadoProductos[Productos],0),MATCH('2.C_Datos'!G$3,ListadoProductos[#Headers],0)))</f>
        <v/>
      </c>
      <c r="H135" s="99" t="str">
        <f>IF($A135="","",INDEX(ListadoProductos[],MATCH('2.C_Datos'!$C135,ListadoProductos[Productos],0),MATCH('2.C_Datos'!H$3,ListadoProductos[#Headers],0)))</f>
        <v/>
      </c>
      <c r="I135" s="99" t="str">
        <f>IF($A135="","",INDEX(ListadoProductos[],MATCH('2.C_Datos'!$C135,ListadoProductos[Productos],0),MATCH('2.C_Datos'!I$3,ListadoProductos[#Headers],0)))</f>
        <v/>
      </c>
      <c r="J135" s="99" t="str">
        <f>IF(Tabla19[[#This Row],[Comp1]]="","",COUNTIFS(TablaMaq1[Componente],Tabla19[[#This Row],[Comp1]],TablaMaq1[ID_Pedido],'2.C_Datos'!A135)+
COUNTIFS(TablaMaq2[Componente],Tabla19[[#This Row],[Comp1]],TablaMaq2[ID_Pedido],'2.C_Datos'!A135)+
COUNTIFS(TablaMaq3[Componente],Tabla19[[#This Row],[Comp1]],TablaMaq3[ID_Pedido],'2.C_Datos'!A135)+
COUNTIFS(TablaMaq4[Componente],Tabla19[[#This Row],[Comp1]],TablaMaq4[ID_Pedido],'2.C_Datos'!A135))</f>
        <v/>
      </c>
      <c r="K135" s="99" t="str">
        <f>IF(Tabla19[[#This Row],[Comp2]]="","",COUNTIFS(TablaMaq1[Componente],Tabla19[[#This Row],[Comp2]],TablaMaq1[ID_Pedido],'2.C_Datos'!A135)+
COUNTIFS(TablaMaq2[Componente],Tabla19[[#This Row],[Comp2]],TablaMaq2[ID_Pedido],'2.C_Datos'!A135)+
COUNTIFS(TablaMaq3[Componente],Tabla19[[#This Row],[Comp2]],TablaMaq3[ID_Pedido],'2.C_Datos'!A135)+
COUNTIFS(TablaMaq4[Componente],Tabla19[[#This Row],[Comp2]],TablaMaq4[ID_Pedido],'2.C_Datos'!A135))</f>
        <v/>
      </c>
      <c r="L135" s="99" t="str">
        <f>IF(Tabla19[[#This Row],[Comp3]]="","",COUNTIFS(TablaMaq1[Componente],Tabla19[[#This Row],[Comp3]],TablaMaq1[ID_Pedido],'2.C_Datos'!A135)+
COUNTIFS(TablaMaq2[Componente],Tabla19[[#This Row],[Comp3]],TablaMaq2[ID_Pedido],'2.C_Datos'!A135)+
COUNTIFS(TablaMaq3[Componente],Tabla19[[#This Row],[Comp3]],TablaMaq3[ID_Pedido],'2.C_Datos'!A135)+
COUNTIFS(TablaMaq4[Componente],Tabla19[[#This Row],[Comp3]],TablaMaq4[ID_Pedido],'2.C_Datos'!A135))</f>
        <v/>
      </c>
      <c r="M135" s="99" t="str">
        <f>IF(Tabla19[[#This Row],[Comp4]]="","",COUNTIFS(TablaMaq1[Componente],Tabla19[[#This Row],[Comp4]],TablaMaq1[ID_Pedido],'2.C_Datos'!A135)+
COUNTIFS(TablaMaq2[Componente],Tabla19[[#This Row],[Comp4]],TablaMaq2[ID_Pedido],'2.C_Datos'!A135)+
COUNTIFS(TablaMaq3[Componente],Tabla19[[#This Row],[Comp4]],TablaMaq3[ID_Pedido],'2.C_Datos'!A135)+
COUNTIFS(TablaMaq4[Componente],Tabla19[[#This Row],[Comp4]],TablaMaq4[ID_Pedido],'2.C_Datos'!A135))</f>
        <v/>
      </c>
      <c r="N135" s="99" t="str">
        <f>IF(Tabla19[[#This Row],[Comp5]]="","",COUNTIFS(TablaMaq1[Componente],Tabla19[[#This Row],[Comp5]],TablaMaq1[ID_Pedido],'2.C_Datos'!A135)+
COUNTIFS(TablaMaq1[Componente],Tabla19[[#This Row],[Comp5]],TablaMaq2[ID_Pedido],'2.C_Datos'!A135)+
COUNTIFS(TablaMaq1[Componente],Tabla19[[#This Row],[Comp5]],TablaMaq3[ID_Pedido],'2.C_Datos'!A135)+
COUNTIFS(TablaMaq1[Componente],Tabla19[[#This Row],[Comp5]],TablaMaq4[ID_Pedido],'2.C_Datos'!A135))</f>
        <v/>
      </c>
      <c r="O135" s="85" t="str">
        <f>IF(Tabla19[[#This Row],[Comp1]]="","",
IF(IF(Tabla19[[#This Row],[Comp1]]=0,0,1)*$D135-Tabla19[[#This Row],[Asign1]]=0,0,Tabla19[[#This Row],[Comp1]]))</f>
        <v/>
      </c>
      <c r="P135" s="85" t="str">
        <f>IF(Tabla19[[#This Row],[Comp2]]="","",
IF(IF(Tabla19[[#This Row],[Comp2]]=0,0,1)*$D135-Tabla19[[#This Row],[Asign2]]=0,0,Tabla19[[#This Row],[Comp2]]))</f>
        <v/>
      </c>
      <c r="Q135" s="85" t="str">
        <f>IF(Tabla19[[#This Row],[Comp3]]="","",
IF(IF(Tabla19[[#This Row],[Comp3]]=0,0,1)*$D135-Tabla19[[#This Row],[Asign3]]=0,0,Tabla19[[#This Row],[Comp3]]))</f>
        <v/>
      </c>
      <c r="R135" s="85" t="str">
        <f>IF(Tabla19[[#This Row],[Comp4]]="","",
IF(IF(Tabla19[[#This Row],[Comp4]]=0,0,1)*$D135-Tabla19[[#This Row],[Asign4]]=0,0,Tabla19[[#This Row],[Comp4]]))</f>
        <v/>
      </c>
      <c r="S135" s="85" t="str">
        <f>IF(Tabla19[[#This Row],[Comp5]]="","",
IF(IF(Tabla19[[#This Row],[Comp5]]=0,0,1)*$D135-Tabla19[[#This Row],[Asign5]]=0,0,Tabla19[[#This Row],[Comp5]]))</f>
        <v/>
      </c>
    </row>
    <row r="136" spans="5:19" x14ac:dyDescent="0.3">
      <c r="E136" s="99" t="str">
        <f>IF($A136="","",INDEX(ListadoProductos[],MATCH('2.C_Datos'!$C136,ListadoProductos[Productos],0),MATCH('2.C_Datos'!E$3,ListadoProductos[#Headers],0)))</f>
        <v/>
      </c>
      <c r="F136" s="99" t="str">
        <f>IF($A136="","",INDEX(ListadoProductos[],MATCH('2.C_Datos'!$C136,ListadoProductos[Productos],0),MATCH('2.C_Datos'!F$3,ListadoProductos[#Headers],0)))</f>
        <v/>
      </c>
      <c r="G136" s="99" t="str">
        <f>IF($A136="","",INDEX(ListadoProductos[],MATCH('2.C_Datos'!$C136,ListadoProductos[Productos],0),MATCH('2.C_Datos'!G$3,ListadoProductos[#Headers],0)))</f>
        <v/>
      </c>
      <c r="H136" s="99" t="str">
        <f>IF($A136="","",INDEX(ListadoProductos[],MATCH('2.C_Datos'!$C136,ListadoProductos[Productos],0),MATCH('2.C_Datos'!H$3,ListadoProductos[#Headers],0)))</f>
        <v/>
      </c>
      <c r="I136" s="99" t="str">
        <f>IF($A136="","",INDEX(ListadoProductos[],MATCH('2.C_Datos'!$C136,ListadoProductos[Productos],0),MATCH('2.C_Datos'!I$3,ListadoProductos[#Headers],0)))</f>
        <v/>
      </c>
      <c r="J136" s="99" t="str">
        <f>IF(Tabla19[[#This Row],[Comp1]]="","",COUNTIFS(TablaMaq1[Componente],Tabla19[[#This Row],[Comp1]],TablaMaq1[ID_Pedido],'2.C_Datos'!A136)+
COUNTIFS(TablaMaq2[Componente],Tabla19[[#This Row],[Comp1]],TablaMaq2[ID_Pedido],'2.C_Datos'!A136)+
COUNTIFS(TablaMaq3[Componente],Tabla19[[#This Row],[Comp1]],TablaMaq3[ID_Pedido],'2.C_Datos'!A136)+
COUNTIFS(TablaMaq4[Componente],Tabla19[[#This Row],[Comp1]],TablaMaq4[ID_Pedido],'2.C_Datos'!A136))</f>
        <v/>
      </c>
      <c r="K136" s="99" t="str">
        <f>IF(Tabla19[[#This Row],[Comp2]]="","",COUNTIFS(TablaMaq1[Componente],Tabla19[[#This Row],[Comp2]],TablaMaq1[ID_Pedido],'2.C_Datos'!A136)+
COUNTIFS(TablaMaq2[Componente],Tabla19[[#This Row],[Comp2]],TablaMaq2[ID_Pedido],'2.C_Datos'!A136)+
COUNTIFS(TablaMaq3[Componente],Tabla19[[#This Row],[Comp2]],TablaMaq3[ID_Pedido],'2.C_Datos'!A136)+
COUNTIFS(TablaMaq4[Componente],Tabla19[[#This Row],[Comp2]],TablaMaq4[ID_Pedido],'2.C_Datos'!A136))</f>
        <v/>
      </c>
      <c r="L136" s="99" t="str">
        <f>IF(Tabla19[[#This Row],[Comp3]]="","",COUNTIFS(TablaMaq1[Componente],Tabla19[[#This Row],[Comp3]],TablaMaq1[ID_Pedido],'2.C_Datos'!A136)+
COUNTIFS(TablaMaq2[Componente],Tabla19[[#This Row],[Comp3]],TablaMaq2[ID_Pedido],'2.C_Datos'!A136)+
COUNTIFS(TablaMaq3[Componente],Tabla19[[#This Row],[Comp3]],TablaMaq3[ID_Pedido],'2.C_Datos'!A136)+
COUNTIFS(TablaMaq4[Componente],Tabla19[[#This Row],[Comp3]],TablaMaq4[ID_Pedido],'2.C_Datos'!A136))</f>
        <v/>
      </c>
      <c r="M136" s="99" t="str">
        <f>IF(Tabla19[[#This Row],[Comp4]]="","",COUNTIFS(TablaMaq1[Componente],Tabla19[[#This Row],[Comp4]],TablaMaq1[ID_Pedido],'2.C_Datos'!A136)+
COUNTIFS(TablaMaq2[Componente],Tabla19[[#This Row],[Comp4]],TablaMaq2[ID_Pedido],'2.C_Datos'!A136)+
COUNTIFS(TablaMaq3[Componente],Tabla19[[#This Row],[Comp4]],TablaMaq3[ID_Pedido],'2.C_Datos'!A136)+
COUNTIFS(TablaMaq4[Componente],Tabla19[[#This Row],[Comp4]],TablaMaq4[ID_Pedido],'2.C_Datos'!A136))</f>
        <v/>
      </c>
      <c r="N136" s="99" t="str">
        <f>IF(Tabla19[[#This Row],[Comp5]]="","",COUNTIFS(TablaMaq1[Componente],Tabla19[[#This Row],[Comp5]],TablaMaq1[ID_Pedido],'2.C_Datos'!A136)+
COUNTIFS(TablaMaq1[Componente],Tabla19[[#This Row],[Comp5]],TablaMaq2[ID_Pedido],'2.C_Datos'!A136)+
COUNTIFS(TablaMaq1[Componente],Tabla19[[#This Row],[Comp5]],TablaMaq3[ID_Pedido],'2.C_Datos'!A136)+
COUNTIFS(TablaMaq1[Componente],Tabla19[[#This Row],[Comp5]],TablaMaq4[ID_Pedido],'2.C_Datos'!A136))</f>
        <v/>
      </c>
      <c r="O136" s="85" t="str">
        <f>IF(Tabla19[[#This Row],[Comp1]]="","",
IF(IF(Tabla19[[#This Row],[Comp1]]=0,0,1)*$D136-Tabla19[[#This Row],[Asign1]]=0,0,Tabla19[[#This Row],[Comp1]]))</f>
        <v/>
      </c>
      <c r="P136" s="85" t="str">
        <f>IF(Tabla19[[#This Row],[Comp2]]="","",
IF(IF(Tabla19[[#This Row],[Comp2]]=0,0,1)*$D136-Tabla19[[#This Row],[Asign2]]=0,0,Tabla19[[#This Row],[Comp2]]))</f>
        <v/>
      </c>
      <c r="Q136" s="85" t="str">
        <f>IF(Tabla19[[#This Row],[Comp3]]="","",
IF(IF(Tabla19[[#This Row],[Comp3]]=0,0,1)*$D136-Tabla19[[#This Row],[Asign3]]=0,0,Tabla19[[#This Row],[Comp3]]))</f>
        <v/>
      </c>
      <c r="R136" s="85" t="str">
        <f>IF(Tabla19[[#This Row],[Comp4]]="","",
IF(IF(Tabla19[[#This Row],[Comp4]]=0,0,1)*$D136-Tabla19[[#This Row],[Asign4]]=0,0,Tabla19[[#This Row],[Comp4]]))</f>
        <v/>
      </c>
      <c r="S136" s="85" t="str">
        <f>IF(Tabla19[[#This Row],[Comp5]]="","",
IF(IF(Tabla19[[#This Row],[Comp5]]=0,0,1)*$D136-Tabla19[[#This Row],[Asign5]]=0,0,Tabla19[[#This Row],[Comp5]]))</f>
        <v/>
      </c>
    </row>
    <row r="137" spans="5:19" x14ac:dyDescent="0.3">
      <c r="E137" s="99" t="str">
        <f>IF($A137="","",INDEX(ListadoProductos[],MATCH('2.C_Datos'!$C137,ListadoProductos[Productos],0),MATCH('2.C_Datos'!E$3,ListadoProductos[#Headers],0)))</f>
        <v/>
      </c>
      <c r="F137" s="99" t="str">
        <f>IF($A137="","",INDEX(ListadoProductos[],MATCH('2.C_Datos'!$C137,ListadoProductos[Productos],0),MATCH('2.C_Datos'!F$3,ListadoProductos[#Headers],0)))</f>
        <v/>
      </c>
      <c r="G137" s="99" t="str">
        <f>IF($A137="","",INDEX(ListadoProductos[],MATCH('2.C_Datos'!$C137,ListadoProductos[Productos],0),MATCH('2.C_Datos'!G$3,ListadoProductos[#Headers],0)))</f>
        <v/>
      </c>
      <c r="H137" s="99" t="str">
        <f>IF($A137="","",INDEX(ListadoProductos[],MATCH('2.C_Datos'!$C137,ListadoProductos[Productos],0),MATCH('2.C_Datos'!H$3,ListadoProductos[#Headers],0)))</f>
        <v/>
      </c>
      <c r="I137" s="99" t="str">
        <f>IF($A137="","",INDEX(ListadoProductos[],MATCH('2.C_Datos'!$C137,ListadoProductos[Productos],0),MATCH('2.C_Datos'!I$3,ListadoProductos[#Headers],0)))</f>
        <v/>
      </c>
      <c r="J137" s="99" t="str">
        <f>IF(Tabla19[[#This Row],[Comp1]]="","",COUNTIFS(TablaMaq1[Componente],Tabla19[[#This Row],[Comp1]],TablaMaq1[ID_Pedido],'2.C_Datos'!A137)+
COUNTIFS(TablaMaq2[Componente],Tabla19[[#This Row],[Comp1]],TablaMaq2[ID_Pedido],'2.C_Datos'!A137)+
COUNTIFS(TablaMaq3[Componente],Tabla19[[#This Row],[Comp1]],TablaMaq3[ID_Pedido],'2.C_Datos'!A137)+
COUNTIFS(TablaMaq4[Componente],Tabla19[[#This Row],[Comp1]],TablaMaq4[ID_Pedido],'2.C_Datos'!A137))</f>
        <v/>
      </c>
      <c r="K137" s="99" t="str">
        <f>IF(Tabla19[[#This Row],[Comp2]]="","",COUNTIFS(TablaMaq1[Componente],Tabla19[[#This Row],[Comp2]],TablaMaq1[ID_Pedido],'2.C_Datos'!A137)+
COUNTIFS(TablaMaq2[Componente],Tabla19[[#This Row],[Comp2]],TablaMaq2[ID_Pedido],'2.C_Datos'!A137)+
COUNTIFS(TablaMaq3[Componente],Tabla19[[#This Row],[Comp2]],TablaMaq3[ID_Pedido],'2.C_Datos'!A137)+
COUNTIFS(TablaMaq4[Componente],Tabla19[[#This Row],[Comp2]],TablaMaq4[ID_Pedido],'2.C_Datos'!A137))</f>
        <v/>
      </c>
      <c r="L137" s="99" t="str">
        <f>IF(Tabla19[[#This Row],[Comp3]]="","",COUNTIFS(TablaMaq1[Componente],Tabla19[[#This Row],[Comp3]],TablaMaq1[ID_Pedido],'2.C_Datos'!A137)+
COUNTIFS(TablaMaq2[Componente],Tabla19[[#This Row],[Comp3]],TablaMaq2[ID_Pedido],'2.C_Datos'!A137)+
COUNTIFS(TablaMaq3[Componente],Tabla19[[#This Row],[Comp3]],TablaMaq3[ID_Pedido],'2.C_Datos'!A137)+
COUNTIFS(TablaMaq4[Componente],Tabla19[[#This Row],[Comp3]],TablaMaq4[ID_Pedido],'2.C_Datos'!A137))</f>
        <v/>
      </c>
      <c r="M137" s="99" t="str">
        <f>IF(Tabla19[[#This Row],[Comp4]]="","",COUNTIFS(TablaMaq1[Componente],Tabla19[[#This Row],[Comp4]],TablaMaq1[ID_Pedido],'2.C_Datos'!A137)+
COUNTIFS(TablaMaq2[Componente],Tabla19[[#This Row],[Comp4]],TablaMaq2[ID_Pedido],'2.C_Datos'!A137)+
COUNTIFS(TablaMaq3[Componente],Tabla19[[#This Row],[Comp4]],TablaMaq3[ID_Pedido],'2.C_Datos'!A137)+
COUNTIFS(TablaMaq4[Componente],Tabla19[[#This Row],[Comp4]],TablaMaq4[ID_Pedido],'2.C_Datos'!A137))</f>
        <v/>
      </c>
      <c r="N137" s="99" t="str">
        <f>IF(Tabla19[[#This Row],[Comp5]]="","",COUNTIFS(TablaMaq1[Componente],Tabla19[[#This Row],[Comp5]],TablaMaq1[ID_Pedido],'2.C_Datos'!A137)+
COUNTIFS(TablaMaq1[Componente],Tabla19[[#This Row],[Comp5]],TablaMaq2[ID_Pedido],'2.C_Datos'!A137)+
COUNTIFS(TablaMaq1[Componente],Tabla19[[#This Row],[Comp5]],TablaMaq3[ID_Pedido],'2.C_Datos'!A137)+
COUNTIFS(TablaMaq1[Componente],Tabla19[[#This Row],[Comp5]],TablaMaq4[ID_Pedido],'2.C_Datos'!A137))</f>
        <v/>
      </c>
      <c r="O137" s="85" t="str">
        <f>IF(Tabla19[[#This Row],[Comp1]]="","",
IF(IF(Tabla19[[#This Row],[Comp1]]=0,0,1)*$D137-Tabla19[[#This Row],[Asign1]]=0,0,Tabla19[[#This Row],[Comp1]]))</f>
        <v/>
      </c>
      <c r="P137" s="85" t="str">
        <f>IF(Tabla19[[#This Row],[Comp2]]="","",
IF(IF(Tabla19[[#This Row],[Comp2]]=0,0,1)*$D137-Tabla19[[#This Row],[Asign2]]=0,0,Tabla19[[#This Row],[Comp2]]))</f>
        <v/>
      </c>
      <c r="Q137" s="85" t="str">
        <f>IF(Tabla19[[#This Row],[Comp3]]="","",
IF(IF(Tabla19[[#This Row],[Comp3]]=0,0,1)*$D137-Tabla19[[#This Row],[Asign3]]=0,0,Tabla19[[#This Row],[Comp3]]))</f>
        <v/>
      </c>
      <c r="R137" s="85" t="str">
        <f>IF(Tabla19[[#This Row],[Comp4]]="","",
IF(IF(Tabla19[[#This Row],[Comp4]]=0,0,1)*$D137-Tabla19[[#This Row],[Asign4]]=0,0,Tabla19[[#This Row],[Comp4]]))</f>
        <v/>
      </c>
      <c r="S137" s="85" t="str">
        <f>IF(Tabla19[[#This Row],[Comp5]]="","",
IF(IF(Tabla19[[#This Row],[Comp5]]=0,0,1)*$D137-Tabla19[[#This Row],[Asign5]]=0,0,Tabla19[[#This Row],[Comp5]]))</f>
        <v/>
      </c>
    </row>
    <row r="138" spans="5:19" x14ac:dyDescent="0.3">
      <c r="E138" s="99" t="str">
        <f>IF($A138="","",INDEX(ListadoProductos[],MATCH('2.C_Datos'!$C138,ListadoProductos[Productos],0),MATCH('2.C_Datos'!E$3,ListadoProductos[#Headers],0)))</f>
        <v/>
      </c>
      <c r="F138" s="99" t="str">
        <f>IF($A138="","",INDEX(ListadoProductos[],MATCH('2.C_Datos'!$C138,ListadoProductos[Productos],0),MATCH('2.C_Datos'!F$3,ListadoProductos[#Headers],0)))</f>
        <v/>
      </c>
      <c r="G138" s="99" t="str">
        <f>IF($A138="","",INDEX(ListadoProductos[],MATCH('2.C_Datos'!$C138,ListadoProductos[Productos],0),MATCH('2.C_Datos'!G$3,ListadoProductos[#Headers],0)))</f>
        <v/>
      </c>
      <c r="H138" s="99" t="str">
        <f>IF($A138="","",INDEX(ListadoProductos[],MATCH('2.C_Datos'!$C138,ListadoProductos[Productos],0),MATCH('2.C_Datos'!H$3,ListadoProductos[#Headers],0)))</f>
        <v/>
      </c>
      <c r="I138" s="99" t="str">
        <f>IF($A138="","",INDEX(ListadoProductos[],MATCH('2.C_Datos'!$C138,ListadoProductos[Productos],0),MATCH('2.C_Datos'!I$3,ListadoProductos[#Headers],0)))</f>
        <v/>
      </c>
      <c r="J138" s="99" t="str">
        <f>IF(Tabla19[[#This Row],[Comp1]]="","",COUNTIFS(TablaMaq1[Componente],Tabla19[[#This Row],[Comp1]],TablaMaq1[ID_Pedido],'2.C_Datos'!A138)+
COUNTIFS(TablaMaq2[Componente],Tabla19[[#This Row],[Comp1]],TablaMaq2[ID_Pedido],'2.C_Datos'!A138)+
COUNTIFS(TablaMaq3[Componente],Tabla19[[#This Row],[Comp1]],TablaMaq3[ID_Pedido],'2.C_Datos'!A138)+
COUNTIFS(TablaMaq4[Componente],Tabla19[[#This Row],[Comp1]],TablaMaq4[ID_Pedido],'2.C_Datos'!A138))</f>
        <v/>
      </c>
      <c r="K138" s="99" t="str">
        <f>IF(Tabla19[[#This Row],[Comp2]]="","",COUNTIFS(TablaMaq1[Componente],Tabla19[[#This Row],[Comp2]],TablaMaq1[ID_Pedido],'2.C_Datos'!A138)+
COUNTIFS(TablaMaq2[Componente],Tabla19[[#This Row],[Comp2]],TablaMaq2[ID_Pedido],'2.C_Datos'!A138)+
COUNTIFS(TablaMaq3[Componente],Tabla19[[#This Row],[Comp2]],TablaMaq3[ID_Pedido],'2.C_Datos'!A138)+
COUNTIFS(TablaMaq4[Componente],Tabla19[[#This Row],[Comp2]],TablaMaq4[ID_Pedido],'2.C_Datos'!A138))</f>
        <v/>
      </c>
      <c r="L138" s="99" t="str">
        <f>IF(Tabla19[[#This Row],[Comp3]]="","",COUNTIFS(TablaMaq1[Componente],Tabla19[[#This Row],[Comp3]],TablaMaq1[ID_Pedido],'2.C_Datos'!A138)+
COUNTIFS(TablaMaq2[Componente],Tabla19[[#This Row],[Comp3]],TablaMaq2[ID_Pedido],'2.C_Datos'!A138)+
COUNTIFS(TablaMaq3[Componente],Tabla19[[#This Row],[Comp3]],TablaMaq3[ID_Pedido],'2.C_Datos'!A138)+
COUNTIFS(TablaMaq4[Componente],Tabla19[[#This Row],[Comp3]],TablaMaq4[ID_Pedido],'2.C_Datos'!A138))</f>
        <v/>
      </c>
      <c r="M138" s="99" t="str">
        <f>IF(Tabla19[[#This Row],[Comp4]]="","",COUNTIFS(TablaMaq1[Componente],Tabla19[[#This Row],[Comp4]],TablaMaq1[ID_Pedido],'2.C_Datos'!A138)+
COUNTIFS(TablaMaq2[Componente],Tabla19[[#This Row],[Comp4]],TablaMaq2[ID_Pedido],'2.C_Datos'!A138)+
COUNTIFS(TablaMaq3[Componente],Tabla19[[#This Row],[Comp4]],TablaMaq3[ID_Pedido],'2.C_Datos'!A138)+
COUNTIFS(TablaMaq4[Componente],Tabla19[[#This Row],[Comp4]],TablaMaq4[ID_Pedido],'2.C_Datos'!A138))</f>
        <v/>
      </c>
      <c r="N138" s="99" t="str">
        <f>IF(Tabla19[[#This Row],[Comp5]]="","",COUNTIFS(TablaMaq1[Componente],Tabla19[[#This Row],[Comp5]],TablaMaq1[ID_Pedido],'2.C_Datos'!A138)+
COUNTIFS(TablaMaq1[Componente],Tabla19[[#This Row],[Comp5]],TablaMaq2[ID_Pedido],'2.C_Datos'!A138)+
COUNTIFS(TablaMaq1[Componente],Tabla19[[#This Row],[Comp5]],TablaMaq3[ID_Pedido],'2.C_Datos'!A138)+
COUNTIFS(TablaMaq1[Componente],Tabla19[[#This Row],[Comp5]],TablaMaq4[ID_Pedido],'2.C_Datos'!A138))</f>
        <v/>
      </c>
      <c r="O138" s="85" t="str">
        <f>IF(Tabla19[[#This Row],[Comp1]]="","",
IF(IF(Tabla19[[#This Row],[Comp1]]=0,0,1)*$D138-Tabla19[[#This Row],[Asign1]]=0,0,Tabla19[[#This Row],[Comp1]]))</f>
        <v/>
      </c>
      <c r="P138" s="85" t="str">
        <f>IF(Tabla19[[#This Row],[Comp2]]="","",
IF(IF(Tabla19[[#This Row],[Comp2]]=0,0,1)*$D138-Tabla19[[#This Row],[Asign2]]=0,0,Tabla19[[#This Row],[Comp2]]))</f>
        <v/>
      </c>
      <c r="Q138" s="85" t="str">
        <f>IF(Tabla19[[#This Row],[Comp3]]="","",
IF(IF(Tabla19[[#This Row],[Comp3]]=0,0,1)*$D138-Tabla19[[#This Row],[Asign3]]=0,0,Tabla19[[#This Row],[Comp3]]))</f>
        <v/>
      </c>
      <c r="R138" s="85" t="str">
        <f>IF(Tabla19[[#This Row],[Comp4]]="","",
IF(IF(Tabla19[[#This Row],[Comp4]]=0,0,1)*$D138-Tabla19[[#This Row],[Asign4]]=0,0,Tabla19[[#This Row],[Comp4]]))</f>
        <v/>
      </c>
      <c r="S138" s="85" t="str">
        <f>IF(Tabla19[[#This Row],[Comp5]]="","",
IF(IF(Tabla19[[#This Row],[Comp5]]=0,0,1)*$D138-Tabla19[[#This Row],[Asign5]]=0,0,Tabla19[[#This Row],[Comp5]]))</f>
        <v/>
      </c>
    </row>
    <row r="139" spans="5:19" x14ac:dyDescent="0.3">
      <c r="E139" s="99" t="str">
        <f>IF($A139="","",INDEX(ListadoProductos[],MATCH('2.C_Datos'!$C139,ListadoProductos[Productos],0),MATCH('2.C_Datos'!E$3,ListadoProductos[#Headers],0)))</f>
        <v/>
      </c>
      <c r="F139" s="99" t="str">
        <f>IF($A139="","",INDEX(ListadoProductos[],MATCH('2.C_Datos'!$C139,ListadoProductos[Productos],0),MATCH('2.C_Datos'!F$3,ListadoProductos[#Headers],0)))</f>
        <v/>
      </c>
      <c r="G139" s="99" t="str">
        <f>IF($A139="","",INDEX(ListadoProductos[],MATCH('2.C_Datos'!$C139,ListadoProductos[Productos],0),MATCH('2.C_Datos'!G$3,ListadoProductos[#Headers],0)))</f>
        <v/>
      </c>
      <c r="H139" s="99" t="str">
        <f>IF($A139="","",INDEX(ListadoProductos[],MATCH('2.C_Datos'!$C139,ListadoProductos[Productos],0),MATCH('2.C_Datos'!H$3,ListadoProductos[#Headers],0)))</f>
        <v/>
      </c>
      <c r="I139" s="99" t="str">
        <f>IF($A139="","",INDEX(ListadoProductos[],MATCH('2.C_Datos'!$C139,ListadoProductos[Productos],0),MATCH('2.C_Datos'!I$3,ListadoProductos[#Headers],0)))</f>
        <v/>
      </c>
      <c r="J139" s="99" t="str">
        <f>IF(Tabla19[[#This Row],[Comp1]]="","",COUNTIFS(TablaMaq1[Componente],Tabla19[[#This Row],[Comp1]],TablaMaq1[ID_Pedido],'2.C_Datos'!A139)+
COUNTIFS(TablaMaq2[Componente],Tabla19[[#This Row],[Comp1]],TablaMaq2[ID_Pedido],'2.C_Datos'!A139)+
COUNTIFS(TablaMaq3[Componente],Tabla19[[#This Row],[Comp1]],TablaMaq3[ID_Pedido],'2.C_Datos'!A139)+
COUNTIFS(TablaMaq4[Componente],Tabla19[[#This Row],[Comp1]],TablaMaq4[ID_Pedido],'2.C_Datos'!A139))</f>
        <v/>
      </c>
      <c r="K139" s="99" t="str">
        <f>IF(Tabla19[[#This Row],[Comp2]]="","",COUNTIFS(TablaMaq1[Componente],Tabla19[[#This Row],[Comp2]],TablaMaq1[ID_Pedido],'2.C_Datos'!A139)+
COUNTIFS(TablaMaq2[Componente],Tabla19[[#This Row],[Comp2]],TablaMaq2[ID_Pedido],'2.C_Datos'!A139)+
COUNTIFS(TablaMaq3[Componente],Tabla19[[#This Row],[Comp2]],TablaMaq3[ID_Pedido],'2.C_Datos'!A139)+
COUNTIFS(TablaMaq4[Componente],Tabla19[[#This Row],[Comp2]],TablaMaq4[ID_Pedido],'2.C_Datos'!A139))</f>
        <v/>
      </c>
      <c r="L139" s="99" t="str">
        <f>IF(Tabla19[[#This Row],[Comp3]]="","",COUNTIFS(TablaMaq1[Componente],Tabla19[[#This Row],[Comp3]],TablaMaq1[ID_Pedido],'2.C_Datos'!A139)+
COUNTIFS(TablaMaq2[Componente],Tabla19[[#This Row],[Comp3]],TablaMaq2[ID_Pedido],'2.C_Datos'!A139)+
COUNTIFS(TablaMaq3[Componente],Tabla19[[#This Row],[Comp3]],TablaMaq3[ID_Pedido],'2.C_Datos'!A139)+
COUNTIFS(TablaMaq4[Componente],Tabla19[[#This Row],[Comp3]],TablaMaq4[ID_Pedido],'2.C_Datos'!A139))</f>
        <v/>
      </c>
      <c r="M139" s="99" t="str">
        <f>IF(Tabla19[[#This Row],[Comp4]]="","",COUNTIFS(TablaMaq1[Componente],Tabla19[[#This Row],[Comp4]],TablaMaq1[ID_Pedido],'2.C_Datos'!A139)+
COUNTIFS(TablaMaq2[Componente],Tabla19[[#This Row],[Comp4]],TablaMaq2[ID_Pedido],'2.C_Datos'!A139)+
COUNTIFS(TablaMaq3[Componente],Tabla19[[#This Row],[Comp4]],TablaMaq3[ID_Pedido],'2.C_Datos'!A139)+
COUNTIFS(TablaMaq4[Componente],Tabla19[[#This Row],[Comp4]],TablaMaq4[ID_Pedido],'2.C_Datos'!A139))</f>
        <v/>
      </c>
      <c r="N139" s="99" t="str">
        <f>IF(Tabla19[[#This Row],[Comp5]]="","",COUNTIFS(TablaMaq1[Componente],Tabla19[[#This Row],[Comp5]],TablaMaq1[ID_Pedido],'2.C_Datos'!A139)+
COUNTIFS(TablaMaq1[Componente],Tabla19[[#This Row],[Comp5]],TablaMaq2[ID_Pedido],'2.C_Datos'!A139)+
COUNTIFS(TablaMaq1[Componente],Tabla19[[#This Row],[Comp5]],TablaMaq3[ID_Pedido],'2.C_Datos'!A139)+
COUNTIFS(TablaMaq1[Componente],Tabla19[[#This Row],[Comp5]],TablaMaq4[ID_Pedido],'2.C_Datos'!A139))</f>
        <v/>
      </c>
      <c r="O139" s="85" t="str">
        <f>IF(Tabla19[[#This Row],[Comp1]]="","",
IF(IF(Tabla19[[#This Row],[Comp1]]=0,0,1)*$D139-Tabla19[[#This Row],[Asign1]]=0,0,Tabla19[[#This Row],[Comp1]]))</f>
        <v/>
      </c>
      <c r="P139" s="85" t="str">
        <f>IF(Tabla19[[#This Row],[Comp2]]="","",
IF(IF(Tabla19[[#This Row],[Comp2]]=0,0,1)*$D139-Tabla19[[#This Row],[Asign2]]=0,0,Tabla19[[#This Row],[Comp2]]))</f>
        <v/>
      </c>
      <c r="Q139" s="85" t="str">
        <f>IF(Tabla19[[#This Row],[Comp3]]="","",
IF(IF(Tabla19[[#This Row],[Comp3]]=0,0,1)*$D139-Tabla19[[#This Row],[Asign3]]=0,0,Tabla19[[#This Row],[Comp3]]))</f>
        <v/>
      </c>
      <c r="R139" s="85" t="str">
        <f>IF(Tabla19[[#This Row],[Comp4]]="","",
IF(IF(Tabla19[[#This Row],[Comp4]]=0,0,1)*$D139-Tabla19[[#This Row],[Asign4]]=0,0,Tabla19[[#This Row],[Comp4]]))</f>
        <v/>
      </c>
      <c r="S139" s="85" t="str">
        <f>IF(Tabla19[[#This Row],[Comp5]]="","",
IF(IF(Tabla19[[#This Row],[Comp5]]=0,0,1)*$D139-Tabla19[[#This Row],[Asign5]]=0,0,Tabla19[[#This Row],[Comp5]]))</f>
        <v/>
      </c>
    </row>
    <row r="140" spans="5:19" x14ac:dyDescent="0.3">
      <c r="E140" s="99" t="str">
        <f>IF($A140="","",INDEX(ListadoProductos[],MATCH('2.C_Datos'!$C140,ListadoProductos[Productos],0),MATCH('2.C_Datos'!E$3,ListadoProductos[#Headers],0)))</f>
        <v/>
      </c>
      <c r="F140" s="99" t="str">
        <f>IF($A140="","",INDEX(ListadoProductos[],MATCH('2.C_Datos'!$C140,ListadoProductos[Productos],0),MATCH('2.C_Datos'!F$3,ListadoProductos[#Headers],0)))</f>
        <v/>
      </c>
      <c r="G140" s="99" t="str">
        <f>IF($A140="","",INDEX(ListadoProductos[],MATCH('2.C_Datos'!$C140,ListadoProductos[Productos],0),MATCH('2.C_Datos'!G$3,ListadoProductos[#Headers],0)))</f>
        <v/>
      </c>
      <c r="H140" s="99" t="str">
        <f>IF($A140="","",INDEX(ListadoProductos[],MATCH('2.C_Datos'!$C140,ListadoProductos[Productos],0),MATCH('2.C_Datos'!H$3,ListadoProductos[#Headers],0)))</f>
        <v/>
      </c>
      <c r="I140" s="99" t="str">
        <f>IF($A140="","",INDEX(ListadoProductos[],MATCH('2.C_Datos'!$C140,ListadoProductos[Productos],0),MATCH('2.C_Datos'!I$3,ListadoProductos[#Headers],0)))</f>
        <v/>
      </c>
      <c r="J140" s="99" t="str">
        <f>IF(Tabla19[[#This Row],[Comp1]]="","",COUNTIFS(TablaMaq1[Componente],Tabla19[[#This Row],[Comp1]],TablaMaq1[ID_Pedido],'2.C_Datos'!A140)+
COUNTIFS(TablaMaq2[Componente],Tabla19[[#This Row],[Comp1]],TablaMaq2[ID_Pedido],'2.C_Datos'!A140)+
COUNTIFS(TablaMaq3[Componente],Tabla19[[#This Row],[Comp1]],TablaMaq3[ID_Pedido],'2.C_Datos'!A140)+
COUNTIFS(TablaMaq4[Componente],Tabla19[[#This Row],[Comp1]],TablaMaq4[ID_Pedido],'2.C_Datos'!A140))</f>
        <v/>
      </c>
      <c r="K140" s="99" t="str">
        <f>IF(Tabla19[[#This Row],[Comp2]]="","",COUNTIFS(TablaMaq1[Componente],Tabla19[[#This Row],[Comp2]],TablaMaq1[ID_Pedido],'2.C_Datos'!A140)+
COUNTIFS(TablaMaq2[Componente],Tabla19[[#This Row],[Comp2]],TablaMaq2[ID_Pedido],'2.C_Datos'!A140)+
COUNTIFS(TablaMaq3[Componente],Tabla19[[#This Row],[Comp2]],TablaMaq3[ID_Pedido],'2.C_Datos'!A140)+
COUNTIFS(TablaMaq4[Componente],Tabla19[[#This Row],[Comp2]],TablaMaq4[ID_Pedido],'2.C_Datos'!A140))</f>
        <v/>
      </c>
      <c r="L140" s="99" t="str">
        <f>IF(Tabla19[[#This Row],[Comp3]]="","",COUNTIFS(TablaMaq1[Componente],Tabla19[[#This Row],[Comp3]],TablaMaq1[ID_Pedido],'2.C_Datos'!A140)+
COUNTIFS(TablaMaq2[Componente],Tabla19[[#This Row],[Comp3]],TablaMaq2[ID_Pedido],'2.C_Datos'!A140)+
COUNTIFS(TablaMaq3[Componente],Tabla19[[#This Row],[Comp3]],TablaMaq3[ID_Pedido],'2.C_Datos'!A140)+
COUNTIFS(TablaMaq4[Componente],Tabla19[[#This Row],[Comp3]],TablaMaq4[ID_Pedido],'2.C_Datos'!A140))</f>
        <v/>
      </c>
      <c r="M140" s="99" t="str">
        <f>IF(Tabla19[[#This Row],[Comp4]]="","",COUNTIFS(TablaMaq1[Componente],Tabla19[[#This Row],[Comp4]],TablaMaq1[ID_Pedido],'2.C_Datos'!A140)+
COUNTIFS(TablaMaq2[Componente],Tabla19[[#This Row],[Comp4]],TablaMaq2[ID_Pedido],'2.C_Datos'!A140)+
COUNTIFS(TablaMaq3[Componente],Tabla19[[#This Row],[Comp4]],TablaMaq3[ID_Pedido],'2.C_Datos'!A140)+
COUNTIFS(TablaMaq4[Componente],Tabla19[[#This Row],[Comp4]],TablaMaq4[ID_Pedido],'2.C_Datos'!A140))</f>
        <v/>
      </c>
      <c r="N140" s="99" t="str">
        <f>IF(Tabla19[[#This Row],[Comp5]]="","",COUNTIFS(TablaMaq1[Componente],Tabla19[[#This Row],[Comp5]],TablaMaq1[ID_Pedido],'2.C_Datos'!A140)+
COUNTIFS(TablaMaq1[Componente],Tabla19[[#This Row],[Comp5]],TablaMaq2[ID_Pedido],'2.C_Datos'!A140)+
COUNTIFS(TablaMaq1[Componente],Tabla19[[#This Row],[Comp5]],TablaMaq3[ID_Pedido],'2.C_Datos'!A140)+
COUNTIFS(TablaMaq1[Componente],Tabla19[[#This Row],[Comp5]],TablaMaq4[ID_Pedido],'2.C_Datos'!A140))</f>
        <v/>
      </c>
      <c r="O140" s="85" t="str">
        <f>IF(Tabla19[[#This Row],[Comp1]]="","",
IF(IF(Tabla19[[#This Row],[Comp1]]=0,0,1)*$D140-Tabla19[[#This Row],[Asign1]]=0,0,Tabla19[[#This Row],[Comp1]]))</f>
        <v/>
      </c>
      <c r="P140" s="85" t="str">
        <f>IF(Tabla19[[#This Row],[Comp2]]="","",
IF(IF(Tabla19[[#This Row],[Comp2]]=0,0,1)*$D140-Tabla19[[#This Row],[Asign2]]=0,0,Tabla19[[#This Row],[Comp2]]))</f>
        <v/>
      </c>
      <c r="Q140" s="85" t="str">
        <f>IF(Tabla19[[#This Row],[Comp3]]="","",
IF(IF(Tabla19[[#This Row],[Comp3]]=0,0,1)*$D140-Tabla19[[#This Row],[Asign3]]=0,0,Tabla19[[#This Row],[Comp3]]))</f>
        <v/>
      </c>
      <c r="R140" s="85" t="str">
        <f>IF(Tabla19[[#This Row],[Comp4]]="","",
IF(IF(Tabla19[[#This Row],[Comp4]]=0,0,1)*$D140-Tabla19[[#This Row],[Asign4]]=0,0,Tabla19[[#This Row],[Comp4]]))</f>
        <v/>
      </c>
      <c r="S140" s="85" t="str">
        <f>IF(Tabla19[[#This Row],[Comp5]]="","",
IF(IF(Tabla19[[#This Row],[Comp5]]=0,0,1)*$D140-Tabla19[[#This Row],[Asign5]]=0,0,Tabla19[[#This Row],[Comp5]]))</f>
        <v/>
      </c>
    </row>
    <row r="141" spans="5:19" x14ac:dyDescent="0.3">
      <c r="E141" s="99" t="str">
        <f>IF($A141="","",INDEX(ListadoProductos[],MATCH('2.C_Datos'!$C141,ListadoProductos[Productos],0),MATCH('2.C_Datos'!E$3,ListadoProductos[#Headers],0)))</f>
        <v/>
      </c>
      <c r="F141" s="99" t="str">
        <f>IF($A141="","",INDEX(ListadoProductos[],MATCH('2.C_Datos'!$C141,ListadoProductos[Productos],0),MATCH('2.C_Datos'!F$3,ListadoProductos[#Headers],0)))</f>
        <v/>
      </c>
      <c r="G141" s="99" t="str">
        <f>IF($A141="","",INDEX(ListadoProductos[],MATCH('2.C_Datos'!$C141,ListadoProductos[Productos],0),MATCH('2.C_Datos'!G$3,ListadoProductos[#Headers],0)))</f>
        <v/>
      </c>
      <c r="H141" s="99" t="str">
        <f>IF($A141="","",INDEX(ListadoProductos[],MATCH('2.C_Datos'!$C141,ListadoProductos[Productos],0),MATCH('2.C_Datos'!H$3,ListadoProductos[#Headers],0)))</f>
        <v/>
      </c>
      <c r="I141" s="99" t="str">
        <f>IF($A141="","",INDEX(ListadoProductos[],MATCH('2.C_Datos'!$C141,ListadoProductos[Productos],0),MATCH('2.C_Datos'!I$3,ListadoProductos[#Headers],0)))</f>
        <v/>
      </c>
      <c r="J141" s="99" t="str">
        <f>IF(Tabla19[[#This Row],[Comp1]]="","",COUNTIFS(TablaMaq1[Componente],Tabla19[[#This Row],[Comp1]],TablaMaq1[ID_Pedido],'2.C_Datos'!A141)+
COUNTIFS(TablaMaq2[Componente],Tabla19[[#This Row],[Comp1]],TablaMaq2[ID_Pedido],'2.C_Datos'!A141)+
COUNTIFS(TablaMaq3[Componente],Tabla19[[#This Row],[Comp1]],TablaMaq3[ID_Pedido],'2.C_Datos'!A141)+
COUNTIFS(TablaMaq4[Componente],Tabla19[[#This Row],[Comp1]],TablaMaq4[ID_Pedido],'2.C_Datos'!A141))</f>
        <v/>
      </c>
      <c r="K141" s="99" t="str">
        <f>IF(Tabla19[[#This Row],[Comp2]]="","",COUNTIFS(TablaMaq1[Componente],Tabla19[[#This Row],[Comp2]],TablaMaq1[ID_Pedido],'2.C_Datos'!A141)+
COUNTIFS(TablaMaq2[Componente],Tabla19[[#This Row],[Comp2]],TablaMaq2[ID_Pedido],'2.C_Datos'!A141)+
COUNTIFS(TablaMaq3[Componente],Tabla19[[#This Row],[Comp2]],TablaMaq3[ID_Pedido],'2.C_Datos'!A141)+
COUNTIFS(TablaMaq4[Componente],Tabla19[[#This Row],[Comp2]],TablaMaq4[ID_Pedido],'2.C_Datos'!A141))</f>
        <v/>
      </c>
      <c r="L141" s="99" t="str">
        <f>IF(Tabla19[[#This Row],[Comp3]]="","",COUNTIFS(TablaMaq1[Componente],Tabla19[[#This Row],[Comp3]],TablaMaq1[ID_Pedido],'2.C_Datos'!A141)+
COUNTIFS(TablaMaq2[Componente],Tabla19[[#This Row],[Comp3]],TablaMaq2[ID_Pedido],'2.C_Datos'!A141)+
COUNTIFS(TablaMaq3[Componente],Tabla19[[#This Row],[Comp3]],TablaMaq3[ID_Pedido],'2.C_Datos'!A141)+
COUNTIFS(TablaMaq4[Componente],Tabla19[[#This Row],[Comp3]],TablaMaq4[ID_Pedido],'2.C_Datos'!A141))</f>
        <v/>
      </c>
      <c r="M141" s="99" t="str">
        <f>IF(Tabla19[[#This Row],[Comp4]]="","",COUNTIFS(TablaMaq1[Componente],Tabla19[[#This Row],[Comp4]],TablaMaq1[ID_Pedido],'2.C_Datos'!A141)+
COUNTIFS(TablaMaq2[Componente],Tabla19[[#This Row],[Comp4]],TablaMaq2[ID_Pedido],'2.C_Datos'!A141)+
COUNTIFS(TablaMaq3[Componente],Tabla19[[#This Row],[Comp4]],TablaMaq3[ID_Pedido],'2.C_Datos'!A141)+
COUNTIFS(TablaMaq4[Componente],Tabla19[[#This Row],[Comp4]],TablaMaq4[ID_Pedido],'2.C_Datos'!A141))</f>
        <v/>
      </c>
      <c r="N141" s="99" t="str">
        <f>IF(Tabla19[[#This Row],[Comp5]]="","",COUNTIFS(TablaMaq1[Componente],Tabla19[[#This Row],[Comp5]],TablaMaq1[ID_Pedido],'2.C_Datos'!A141)+
COUNTIFS(TablaMaq1[Componente],Tabla19[[#This Row],[Comp5]],TablaMaq2[ID_Pedido],'2.C_Datos'!A141)+
COUNTIFS(TablaMaq1[Componente],Tabla19[[#This Row],[Comp5]],TablaMaq3[ID_Pedido],'2.C_Datos'!A141)+
COUNTIFS(TablaMaq1[Componente],Tabla19[[#This Row],[Comp5]],TablaMaq4[ID_Pedido],'2.C_Datos'!A141))</f>
        <v/>
      </c>
      <c r="O141" s="85" t="str">
        <f>IF(Tabla19[[#This Row],[Comp1]]="","",
IF(IF(Tabla19[[#This Row],[Comp1]]=0,0,1)*$D141-Tabla19[[#This Row],[Asign1]]=0,0,Tabla19[[#This Row],[Comp1]]))</f>
        <v/>
      </c>
      <c r="P141" s="85" t="str">
        <f>IF(Tabla19[[#This Row],[Comp2]]="","",
IF(IF(Tabla19[[#This Row],[Comp2]]=0,0,1)*$D141-Tabla19[[#This Row],[Asign2]]=0,0,Tabla19[[#This Row],[Comp2]]))</f>
        <v/>
      </c>
      <c r="Q141" s="85" t="str">
        <f>IF(Tabla19[[#This Row],[Comp3]]="","",
IF(IF(Tabla19[[#This Row],[Comp3]]=0,0,1)*$D141-Tabla19[[#This Row],[Asign3]]=0,0,Tabla19[[#This Row],[Comp3]]))</f>
        <v/>
      </c>
      <c r="R141" s="85" t="str">
        <f>IF(Tabla19[[#This Row],[Comp4]]="","",
IF(IF(Tabla19[[#This Row],[Comp4]]=0,0,1)*$D141-Tabla19[[#This Row],[Asign4]]=0,0,Tabla19[[#This Row],[Comp4]]))</f>
        <v/>
      </c>
      <c r="S141" s="85" t="str">
        <f>IF(Tabla19[[#This Row],[Comp5]]="","",
IF(IF(Tabla19[[#This Row],[Comp5]]=0,0,1)*$D141-Tabla19[[#This Row],[Asign5]]=0,0,Tabla19[[#This Row],[Comp5]]))</f>
        <v/>
      </c>
    </row>
    <row r="142" spans="5:19" x14ac:dyDescent="0.3">
      <c r="E142" s="99" t="str">
        <f>IF($A142="","",INDEX(ListadoProductos[],MATCH('2.C_Datos'!$C142,ListadoProductos[Productos],0),MATCH('2.C_Datos'!E$3,ListadoProductos[#Headers],0)))</f>
        <v/>
      </c>
      <c r="F142" s="99" t="str">
        <f>IF($A142="","",INDEX(ListadoProductos[],MATCH('2.C_Datos'!$C142,ListadoProductos[Productos],0),MATCH('2.C_Datos'!F$3,ListadoProductos[#Headers],0)))</f>
        <v/>
      </c>
      <c r="G142" s="99" t="str">
        <f>IF($A142="","",INDEX(ListadoProductos[],MATCH('2.C_Datos'!$C142,ListadoProductos[Productos],0),MATCH('2.C_Datos'!G$3,ListadoProductos[#Headers],0)))</f>
        <v/>
      </c>
      <c r="H142" s="99" t="str">
        <f>IF($A142="","",INDEX(ListadoProductos[],MATCH('2.C_Datos'!$C142,ListadoProductos[Productos],0),MATCH('2.C_Datos'!H$3,ListadoProductos[#Headers],0)))</f>
        <v/>
      </c>
      <c r="I142" s="99" t="str">
        <f>IF($A142="","",INDEX(ListadoProductos[],MATCH('2.C_Datos'!$C142,ListadoProductos[Productos],0),MATCH('2.C_Datos'!I$3,ListadoProductos[#Headers],0)))</f>
        <v/>
      </c>
      <c r="J142" s="99" t="str">
        <f>IF(Tabla19[[#This Row],[Comp1]]="","",COUNTIFS(TablaMaq1[Componente],Tabla19[[#This Row],[Comp1]],TablaMaq1[ID_Pedido],'2.C_Datos'!A142)+
COUNTIFS(TablaMaq2[Componente],Tabla19[[#This Row],[Comp1]],TablaMaq2[ID_Pedido],'2.C_Datos'!A142)+
COUNTIFS(TablaMaq3[Componente],Tabla19[[#This Row],[Comp1]],TablaMaq3[ID_Pedido],'2.C_Datos'!A142)+
COUNTIFS(TablaMaq4[Componente],Tabla19[[#This Row],[Comp1]],TablaMaq4[ID_Pedido],'2.C_Datos'!A142))</f>
        <v/>
      </c>
      <c r="K142" s="99" t="str">
        <f>IF(Tabla19[[#This Row],[Comp2]]="","",COUNTIFS(TablaMaq1[Componente],Tabla19[[#This Row],[Comp2]],TablaMaq1[ID_Pedido],'2.C_Datos'!A142)+
COUNTIFS(TablaMaq2[Componente],Tabla19[[#This Row],[Comp2]],TablaMaq2[ID_Pedido],'2.C_Datos'!A142)+
COUNTIFS(TablaMaq3[Componente],Tabla19[[#This Row],[Comp2]],TablaMaq3[ID_Pedido],'2.C_Datos'!A142)+
COUNTIFS(TablaMaq4[Componente],Tabla19[[#This Row],[Comp2]],TablaMaq4[ID_Pedido],'2.C_Datos'!A142))</f>
        <v/>
      </c>
      <c r="L142" s="99" t="str">
        <f>IF(Tabla19[[#This Row],[Comp3]]="","",COUNTIFS(TablaMaq1[Componente],Tabla19[[#This Row],[Comp3]],TablaMaq1[ID_Pedido],'2.C_Datos'!A142)+
COUNTIFS(TablaMaq2[Componente],Tabla19[[#This Row],[Comp3]],TablaMaq2[ID_Pedido],'2.C_Datos'!A142)+
COUNTIFS(TablaMaq3[Componente],Tabla19[[#This Row],[Comp3]],TablaMaq3[ID_Pedido],'2.C_Datos'!A142)+
COUNTIFS(TablaMaq4[Componente],Tabla19[[#This Row],[Comp3]],TablaMaq4[ID_Pedido],'2.C_Datos'!A142))</f>
        <v/>
      </c>
      <c r="M142" s="99" t="str">
        <f>IF(Tabla19[[#This Row],[Comp4]]="","",COUNTIFS(TablaMaq1[Componente],Tabla19[[#This Row],[Comp4]],TablaMaq1[ID_Pedido],'2.C_Datos'!A142)+
COUNTIFS(TablaMaq2[Componente],Tabla19[[#This Row],[Comp4]],TablaMaq2[ID_Pedido],'2.C_Datos'!A142)+
COUNTIFS(TablaMaq3[Componente],Tabla19[[#This Row],[Comp4]],TablaMaq3[ID_Pedido],'2.C_Datos'!A142)+
COUNTIFS(TablaMaq4[Componente],Tabla19[[#This Row],[Comp4]],TablaMaq4[ID_Pedido],'2.C_Datos'!A142))</f>
        <v/>
      </c>
      <c r="N142" s="99" t="str">
        <f>IF(Tabla19[[#This Row],[Comp5]]="","",COUNTIFS(TablaMaq1[Componente],Tabla19[[#This Row],[Comp5]],TablaMaq1[ID_Pedido],'2.C_Datos'!A142)+
COUNTIFS(TablaMaq1[Componente],Tabla19[[#This Row],[Comp5]],TablaMaq2[ID_Pedido],'2.C_Datos'!A142)+
COUNTIFS(TablaMaq1[Componente],Tabla19[[#This Row],[Comp5]],TablaMaq3[ID_Pedido],'2.C_Datos'!A142)+
COUNTIFS(TablaMaq1[Componente],Tabla19[[#This Row],[Comp5]],TablaMaq4[ID_Pedido],'2.C_Datos'!A142))</f>
        <v/>
      </c>
      <c r="O142" s="85" t="str">
        <f>IF(Tabla19[[#This Row],[Comp1]]="","",
IF(IF(Tabla19[[#This Row],[Comp1]]=0,0,1)*$D142-Tabla19[[#This Row],[Asign1]]=0,0,Tabla19[[#This Row],[Comp1]]))</f>
        <v/>
      </c>
      <c r="P142" s="85" t="str">
        <f>IF(Tabla19[[#This Row],[Comp2]]="","",
IF(IF(Tabla19[[#This Row],[Comp2]]=0,0,1)*$D142-Tabla19[[#This Row],[Asign2]]=0,0,Tabla19[[#This Row],[Comp2]]))</f>
        <v/>
      </c>
      <c r="Q142" s="85" t="str">
        <f>IF(Tabla19[[#This Row],[Comp3]]="","",
IF(IF(Tabla19[[#This Row],[Comp3]]=0,0,1)*$D142-Tabla19[[#This Row],[Asign3]]=0,0,Tabla19[[#This Row],[Comp3]]))</f>
        <v/>
      </c>
      <c r="R142" s="85" t="str">
        <f>IF(Tabla19[[#This Row],[Comp4]]="","",
IF(IF(Tabla19[[#This Row],[Comp4]]=0,0,1)*$D142-Tabla19[[#This Row],[Asign4]]=0,0,Tabla19[[#This Row],[Comp4]]))</f>
        <v/>
      </c>
      <c r="S142" s="85" t="str">
        <f>IF(Tabla19[[#This Row],[Comp5]]="","",
IF(IF(Tabla19[[#This Row],[Comp5]]=0,0,1)*$D142-Tabla19[[#This Row],[Asign5]]=0,0,Tabla19[[#This Row],[Comp5]]))</f>
        <v/>
      </c>
    </row>
    <row r="143" spans="5:19" x14ac:dyDescent="0.3">
      <c r="E143" s="99" t="str">
        <f>IF($A143="","",INDEX(ListadoProductos[],MATCH('2.C_Datos'!$C143,ListadoProductos[Productos],0),MATCH('2.C_Datos'!E$3,ListadoProductos[#Headers],0)))</f>
        <v/>
      </c>
      <c r="F143" s="99" t="str">
        <f>IF($A143="","",INDEX(ListadoProductos[],MATCH('2.C_Datos'!$C143,ListadoProductos[Productos],0),MATCH('2.C_Datos'!F$3,ListadoProductos[#Headers],0)))</f>
        <v/>
      </c>
      <c r="G143" s="99" t="str">
        <f>IF($A143="","",INDEX(ListadoProductos[],MATCH('2.C_Datos'!$C143,ListadoProductos[Productos],0),MATCH('2.C_Datos'!G$3,ListadoProductos[#Headers],0)))</f>
        <v/>
      </c>
      <c r="H143" s="99" t="str">
        <f>IF($A143="","",INDEX(ListadoProductos[],MATCH('2.C_Datos'!$C143,ListadoProductos[Productos],0),MATCH('2.C_Datos'!H$3,ListadoProductos[#Headers],0)))</f>
        <v/>
      </c>
      <c r="I143" s="99" t="str">
        <f>IF($A143="","",INDEX(ListadoProductos[],MATCH('2.C_Datos'!$C143,ListadoProductos[Productos],0),MATCH('2.C_Datos'!I$3,ListadoProductos[#Headers],0)))</f>
        <v/>
      </c>
      <c r="J143" s="99" t="str">
        <f>IF(Tabla19[[#This Row],[Comp1]]="","",COUNTIFS(TablaMaq1[Componente],Tabla19[[#This Row],[Comp1]],TablaMaq1[ID_Pedido],'2.C_Datos'!A143)+
COUNTIFS(TablaMaq2[Componente],Tabla19[[#This Row],[Comp1]],TablaMaq2[ID_Pedido],'2.C_Datos'!A143)+
COUNTIFS(TablaMaq3[Componente],Tabla19[[#This Row],[Comp1]],TablaMaq3[ID_Pedido],'2.C_Datos'!A143)+
COUNTIFS(TablaMaq4[Componente],Tabla19[[#This Row],[Comp1]],TablaMaq4[ID_Pedido],'2.C_Datos'!A143))</f>
        <v/>
      </c>
      <c r="K143" s="99" t="str">
        <f>IF(Tabla19[[#This Row],[Comp2]]="","",COUNTIFS(TablaMaq1[Componente],Tabla19[[#This Row],[Comp2]],TablaMaq1[ID_Pedido],'2.C_Datos'!A143)+
COUNTIFS(TablaMaq2[Componente],Tabla19[[#This Row],[Comp2]],TablaMaq2[ID_Pedido],'2.C_Datos'!A143)+
COUNTIFS(TablaMaq3[Componente],Tabla19[[#This Row],[Comp2]],TablaMaq3[ID_Pedido],'2.C_Datos'!A143)+
COUNTIFS(TablaMaq4[Componente],Tabla19[[#This Row],[Comp2]],TablaMaq4[ID_Pedido],'2.C_Datos'!A143))</f>
        <v/>
      </c>
      <c r="L143" s="99" t="str">
        <f>IF(Tabla19[[#This Row],[Comp3]]="","",COUNTIFS(TablaMaq1[Componente],Tabla19[[#This Row],[Comp3]],TablaMaq1[ID_Pedido],'2.C_Datos'!A143)+
COUNTIFS(TablaMaq2[Componente],Tabla19[[#This Row],[Comp3]],TablaMaq2[ID_Pedido],'2.C_Datos'!A143)+
COUNTIFS(TablaMaq3[Componente],Tabla19[[#This Row],[Comp3]],TablaMaq3[ID_Pedido],'2.C_Datos'!A143)+
COUNTIFS(TablaMaq4[Componente],Tabla19[[#This Row],[Comp3]],TablaMaq4[ID_Pedido],'2.C_Datos'!A143))</f>
        <v/>
      </c>
      <c r="M143" s="99" t="str">
        <f>IF(Tabla19[[#This Row],[Comp4]]="","",COUNTIFS(TablaMaq1[Componente],Tabla19[[#This Row],[Comp4]],TablaMaq1[ID_Pedido],'2.C_Datos'!A143)+
COUNTIFS(TablaMaq2[Componente],Tabla19[[#This Row],[Comp4]],TablaMaq2[ID_Pedido],'2.C_Datos'!A143)+
COUNTIFS(TablaMaq3[Componente],Tabla19[[#This Row],[Comp4]],TablaMaq3[ID_Pedido],'2.C_Datos'!A143)+
COUNTIFS(TablaMaq4[Componente],Tabla19[[#This Row],[Comp4]],TablaMaq4[ID_Pedido],'2.C_Datos'!A143))</f>
        <v/>
      </c>
      <c r="N143" s="99" t="str">
        <f>IF(Tabla19[[#This Row],[Comp5]]="","",COUNTIFS(TablaMaq1[Componente],Tabla19[[#This Row],[Comp5]],TablaMaq1[ID_Pedido],'2.C_Datos'!A143)+
COUNTIFS(TablaMaq1[Componente],Tabla19[[#This Row],[Comp5]],TablaMaq2[ID_Pedido],'2.C_Datos'!A143)+
COUNTIFS(TablaMaq1[Componente],Tabla19[[#This Row],[Comp5]],TablaMaq3[ID_Pedido],'2.C_Datos'!A143)+
COUNTIFS(TablaMaq1[Componente],Tabla19[[#This Row],[Comp5]],TablaMaq4[ID_Pedido],'2.C_Datos'!A143))</f>
        <v/>
      </c>
      <c r="O143" s="85" t="str">
        <f>IF(Tabla19[[#This Row],[Comp1]]="","",
IF(IF(Tabla19[[#This Row],[Comp1]]=0,0,1)*$D143-Tabla19[[#This Row],[Asign1]]=0,0,Tabla19[[#This Row],[Comp1]]))</f>
        <v/>
      </c>
      <c r="P143" s="85" t="str">
        <f>IF(Tabla19[[#This Row],[Comp2]]="","",
IF(IF(Tabla19[[#This Row],[Comp2]]=0,0,1)*$D143-Tabla19[[#This Row],[Asign2]]=0,0,Tabla19[[#This Row],[Comp2]]))</f>
        <v/>
      </c>
      <c r="Q143" s="85" t="str">
        <f>IF(Tabla19[[#This Row],[Comp3]]="","",
IF(IF(Tabla19[[#This Row],[Comp3]]=0,0,1)*$D143-Tabla19[[#This Row],[Asign3]]=0,0,Tabla19[[#This Row],[Comp3]]))</f>
        <v/>
      </c>
      <c r="R143" s="85" t="str">
        <f>IF(Tabla19[[#This Row],[Comp4]]="","",
IF(IF(Tabla19[[#This Row],[Comp4]]=0,0,1)*$D143-Tabla19[[#This Row],[Asign4]]=0,0,Tabla19[[#This Row],[Comp4]]))</f>
        <v/>
      </c>
      <c r="S143" s="85" t="str">
        <f>IF(Tabla19[[#This Row],[Comp5]]="","",
IF(IF(Tabla19[[#This Row],[Comp5]]=0,0,1)*$D143-Tabla19[[#This Row],[Asign5]]=0,0,Tabla19[[#This Row],[Comp5]]))</f>
        <v/>
      </c>
    </row>
    <row r="144" spans="5:19" x14ac:dyDescent="0.3">
      <c r="E144" s="99" t="str">
        <f>IF($A144="","",INDEX(ListadoProductos[],MATCH('2.C_Datos'!$C144,ListadoProductos[Productos],0),MATCH('2.C_Datos'!E$3,ListadoProductos[#Headers],0)))</f>
        <v/>
      </c>
      <c r="F144" s="99" t="str">
        <f>IF($A144="","",INDEX(ListadoProductos[],MATCH('2.C_Datos'!$C144,ListadoProductos[Productos],0),MATCH('2.C_Datos'!F$3,ListadoProductos[#Headers],0)))</f>
        <v/>
      </c>
      <c r="G144" s="99" t="str">
        <f>IF($A144="","",INDEX(ListadoProductos[],MATCH('2.C_Datos'!$C144,ListadoProductos[Productos],0),MATCH('2.C_Datos'!G$3,ListadoProductos[#Headers],0)))</f>
        <v/>
      </c>
      <c r="H144" s="99" t="str">
        <f>IF($A144="","",INDEX(ListadoProductos[],MATCH('2.C_Datos'!$C144,ListadoProductos[Productos],0),MATCH('2.C_Datos'!H$3,ListadoProductos[#Headers],0)))</f>
        <v/>
      </c>
      <c r="I144" s="99" t="str">
        <f>IF($A144="","",INDEX(ListadoProductos[],MATCH('2.C_Datos'!$C144,ListadoProductos[Productos],0),MATCH('2.C_Datos'!I$3,ListadoProductos[#Headers],0)))</f>
        <v/>
      </c>
      <c r="J144" s="99" t="str">
        <f>IF(Tabla19[[#This Row],[Comp1]]="","",COUNTIFS(TablaMaq1[Componente],Tabla19[[#This Row],[Comp1]],TablaMaq1[ID_Pedido],'2.C_Datos'!A144)+
COUNTIFS(TablaMaq2[Componente],Tabla19[[#This Row],[Comp1]],TablaMaq2[ID_Pedido],'2.C_Datos'!A144)+
COUNTIFS(TablaMaq3[Componente],Tabla19[[#This Row],[Comp1]],TablaMaq3[ID_Pedido],'2.C_Datos'!A144)+
COUNTIFS(TablaMaq4[Componente],Tabla19[[#This Row],[Comp1]],TablaMaq4[ID_Pedido],'2.C_Datos'!A144))</f>
        <v/>
      </c>
      <c r="K144" s="99" t="str">
        <f>IF(Tabla19[[#This Row],[Comp2]]="","",COUNTIFS(TablaMaq1[Componente],Tabla19[[#This Row],[Comp2]],TablaMaq1[ID_Pedido],'2.C_Datos'!A144)+
COUNTIFS(TablaMaq2[Componente],Tabla19[[#This Row],[Comp2]],TablaMaq2[ID_Pedido],'2.C_Datos'!A144)+
COUNTIFS(TablaMaq3[Componente],Tabla19[[#This Row],[Comp2]],TablaMaq3[ID_Pedido],'2.C_Datos'!A144)+
COUNTIFS(TablaMaq4[Componente],Tabla19[[#This Row],[Comp2]],TablaMaq4[ID_Pedido],'2.C_Datos'!A144))</f>
        <v/>
      </c>
      <c r="L144" s="99" t="str">
        <f>IF(Tabla19[[#This Row],[Comp3]]="","",COUNTIFS(TablaMaq1[Componente],Tabla19[[#This Row],[Comp3]],TablaMaq1[ID_Pedido],'2.C_Datos'!A144)+
COUNTIFS(TablaMaq2[Componente],Tabla19[[#This Row],[Comp3]],TablaMaq2[ID_Pedido],'2.C_Datos'!A144)+
COUNTIFS(TablaMaq3[Componente],Tabla19[[#This Row],[Comp3]],TablaMaq3[ID_Pedido],'2.C_Datos'!A144)+
COUNTIFS(TablaMaq4[Componente],Tabla19[[#This Row],[Comp3]],TablaMaq4[ID_Pedido],'2.C_Datos'!A144))</f>
        <v/>
      </c>
      <c r="M144" s="99" t="str">
        <f>IF(Tabla19[[#This Row],[Comp4]]="","",COUNTIFS(TablaMaq1[Componente],Tabla19[[#This Row],[Comp4]],TablaMaq1[ID_Pedido],'2.C_Datos'!A144)+
COUNTIFS(TablaMaq2[Componente],Tabla19[[#This Row],[Comp4]],TablaMaq2[ID_Pedido],'2.C_Datos'!A144)+
COUNTIFS(TablaMaq3[Componente],Tabla19[[#This Row],[Comp4]],TablaMaq3[ID_Pedido],'2.C_Datos'!A144)+
COUNTIFS(TablaMaq4[Componente],Tabla19[[#This Row],[Comp4]],TablaMaq4[ID_Pedido],'2.C_Datos'!A144))</f>
        <v/>
      </c>
      <c r="N144" s="99" t="str">
        <f>IF(Tabla19[[#This Row],[Comp5]]="","",COUNTIFS(TablaMaq1[Componente],Tabla19[[#This Row],[Comp5]],TablaMaq1[ID_Pedido],'2.C_Datos'!A144)+
COUNTIFS(TablaMaq1[Componente],Tabla19[[#This Row],[Comp5]],TablaMaq2[ID_Pedido],'2.C_Datos'!A144)+
COUNTIFS(TablaMaq1[Componente],Tabla19[[#This Row],[Comp5]],TablaMaq3[ID_Pedido],'2.C_Datos'!A144)+
COUNTIFS(TablaMaq1[Componente],Tabla19[[#This Row],[Comp5]],TablaMaq4[ID_Pedido],'2.C_Datos'!A144))</f>
        <v/>
      </c>
      <c r="O144" s="85" t="str">
        <f>IF(Tabla19[[#This Row],[Comp1]]="","",
IF(IF(Tabla19[[#This Row],[Comp1]]=0,0,1)*$D144-Tabla19[[#This Row],[Asign1]]=0,0,Tabla19[[#This Row],[Comp1]]))</f>
        <v/>
      </c>
      <c r="P144" s="85" t="str">
        <f>IF(Tabla19[[#This Row],[Comp2]]="","",
IF(IF(Tabla19[[#This Row],[Comp2]]=0,0,1)*$D144-Tabla19[[#This Row],[Asign2]]=0,0,Tabla19[[#This Row],[Comp2]]))</f>
        <v/>
      </c>
      <c r="Q144" s="85" t="str">
        <f>IF(Tabla19[[#This Row],[Comp3]]="","",
IF(IF(Tabla19[[#This Row],[Comp3]]=0,0,1)*$D144-Tabla19[[#This Row],[Asign3]]=0,0,Tabla19[[#This Row],[Comp3]]))</f>
        <v/>
      </c>
      <c r="R144" s="85" t="str">
        <f>IF(Tabla19[[#This Row],[Comp4]]="","",
IF(IF(Tabla19[[#This Row],[Comp4]]=0,0,1)*$D144-Tabla19[[#This Row],[Asign4]]=0,0,Tabla19[[#This Row],[Comp4]]))</f>
        <v/>
      </c>
      <c r="S144" s="85" t="str">
        <f>IF(Tabla19[[#This Row],[Comp5]]="","",
IF(IF(Tabla19[[#This Row],[Comp5]]=0,0,1)*$D144-Tabla19[[#This Row],[Asign5]]=0,0,Tabla19[[#This Row],[Comp5]]))</f>
        <v/>
      </c>
    </row>
    <row r="145" spans="5:19" x14ac:dyDescent="0.3">
      <c r="E145" s="99" t="str">
        <f>IF($A145="","",INDEX(ListadoProductos[],MATCH('2.C_Datos'!$C145,ListadoProductos[Productos],0),MATCH('2.C_Datos'!E$3,ListadoProductos[#Headers],0)))</f>
        <v/>
      </c>
      <c r="F145" s="99" t="str">
        <f>IF($A145="","",INDEX(ListadoProductos[],MATCH('2.C_Datos'!$C145,ListadoProductos[Productos],0),MATCH('2.C_Datos'!F$3,ListadoProductos[#Headers],0)))</f>
        <v/>
      </c>
      <c r="G145" s="99" t="str">
        <f>IF($A145="","",INDEX(ListadoProductos[],MATCH('2.C_Datos'!$C145,ListadoProductos[Productos],0),MATCH('2.C_Datos'!G$3,ListadoProductos[#Headers],0)))</f>
        <v/>
      </c>
      <c r="H145" s="99" t="str">
        <f>IF($A145="","",INDEX(ListadoProductos[],MATCH('2.C_Datos'!$C145,ListadoProductos[Productos],0),MATCH('2.C_Datos'!H$3,ListadoProductos[#Headers],0)))</f>
        <v/>
      </c>
      <c r="I145" s="99" t="str">
        <f>IF($A145="","",INDEX(ListadoProductos[],MATCH('2.C_Datos'!$C145,ListadoProductos[Productos],0),MATCH('2.C_Datos'!I$3,ListadoProductos[#Headers],0)))</f>
        <v/>
      </c>
      <c r="J145" s="99" t="str">
        <f>IF(Tabla19[[#This Row],[Comp1]]="","",COUNTIFS(TablaMaq1[Componente],Tabla19[[#This Row],[Comp1]],TablaMaq1[ID_Pedido],'2.C_Datos'!A145)+
COUNTIFS(TablaMaq2[Componente],Tabla19[[#This Row],[Comp1]],TablaMaq2[ID_Pedido],'2.C_Datos'!A145)+
COUNTIFS(TablaMaq3[Componente],Tabla19[[#This Row],[Comp1]],TablaMaq3[ID_Pedido],'2.C_Datos'!A145)+
COUNTIFS(TablaMaq4[Componente],Tabla19[[#This Row],[Comp1]],TablaMaq4[ID_Pedido],'2.C_Datos'!A145))</f>
        <v/>
      </c>
      <c r="K145" s="99" t="str">
        <f>IF(Tabla19[[#This Row],[Comp2]]="","",COUNTIFS(TablaMaq1[Componente],Tabla19[[#This Row],[Comp2]],TablaMaq1[ID_Pedido],'2.C_Datos'!A145)+
COUNTIFS(TablaMaq2[Componente],Tabla19[[#This Row],[Comp2]],TablaMaq2[ID_Pedido],'2.C_Datos'!A145)+
COUNTIFS(TablaMaq3[Componente],Tabla19[[#This Row],[Comp2]],TablaMaq3[ID_Pedido],'2.C_Datos'!A145)+
COUNTIFS(TablaMaq4[Componente],Tabla19[[#This Row],[Comp2]],TablaMaq4[ID_Pedido],'2.C_Datos'!A145))</f>
        <v/>
      </c>
      <c r="L145" s="99" t="str">
        <f>IF(Tabla19[[#This Row],[Comp3]]="","",COUNTIFS(TablaMaq1[Componente],Tabla19[[#This Row],[Comp3]],TablaMaq1[ID_Pedido],'2.C_Datos'!A145)+
COUNTIFS(TablaMaq2[Componente],Tabla19[[#This Row],[Comp3]],TablaMaq2[ID_Pedido],'2.C_Datos'!A145)+
COUNTIFS(TablaMaq3[Componente],Tabla19[[#This Row],[Comp3]],TablaMaq3[ID_Pedido],'2.C_Datos'!A145)+
COUNTIFS(TablaMaq4[Componente],Tabla19[[#This Row],[Comp3]],TablaMaq4[ID_Pedido],'2.C_Datos'!A145))</f>
        <v/>
      </c>
      <c r="M145" s="99" t="str">
        <f>IF(Tabla19[[#This Row],[Comp4]]="","",COUNTIFS(TablaMaq1[Componente],Tabla19[[#This Row],[Comp4]],TablaMaq1[ID_Pedido],'2.C_Datos'!A145)+
COUNTIFS(TablaMaq2[Componente],Tabla19[[#This Row],[Comp4]],TablaMaq2[ID_Pedido],'2.C_Datos'!A145)+
COUNTIFS(TablaMaq3[Componente],Tabla19[[#This Row],[Comp4]],TablaMaq3[ID_Pedido],'2.C_Datos'!A145)+
COUNTIFS(TablaMaq4[Componente],Tabla19[[#This Row],[Comp4]],TablaMaq4[ID_Pedido],'2.C_Datos'!A145))</f>
        <v/>
      </c>
      <c r="N145" s="99" t="str">
        <f>IF(Tabla19[[#This Row],[Comp5]]="","",COUNTIFS(TablaMaq1[Componente],Tabla19[[#This Row],[Comp5]],TablaMaq1[ID_Pedido],'2.C_Datos'!A145)+
COUNTIFS(TablaMaq1[Componente],Tabla19[[#This Row],[Comp5]],TablaMaq2[ID_Pedido],'2.C_Datos'!A145)+
COUNTIFS(TablaMaq1[Componente],Tabla19[[#This Row],[Comp5]],TablaMaq3[ID_Pedido],'2.C_Datos'!A145)+
COUNTIFS(TablaMaq1[Componente],Tabla19[[#This Row],[Comp5]],TablaMaq4[ID_Pedido],'2.C_Datos'!A145))</f>
        <v/>
      </c>
      <c r="O145" s="85" t="str">
        <f>IF(Tabla19[[#This Row],[Comp1]]="","",
IF(IF(Tabla19[[#This Row],[Comp1]]=0,0,1)*$D145-Tabla19[[#This Row],[Asign1]]=0,0,Tabla19[[#This Row],[Comp1]]))</f>
        <v/>
      </c>
      <c r="P145" s="85" t="str">
        <f>IF(Tabla19[[#This Row],[Comp2]]="","",
IF(IF(Tabla19[[#This Row],[Comp2]]=0,0,1)*$D145-Tabla19[[#This Row],[Asign2]]=0,0,Tabla19[[#This Row],[Comp2]]))</f>
        <v/>
      </c>
      <c r="Q145" s="85" t="str">
        <f>IF(Tabla19[[#This Row],[Comp3]]="","",
IF(IF(Tabla19[[#This Row],[Comp3]]=0,0,1)*$D145-Tabla19[[#This Row],[Asign3]]=0,0,Tabla19[[#This Row],[Comp3]]))</f>
        <v/>
      </c>
      <c r="R145" s="85" t="str">
        <f>IF(Tabla19[[#This Row],[Comp4]]="","",
IF(IF(Tabla19[[#This Row],[Comp4]]=0,0,1)*$D145-Tabla19[[#This Row],[Asign4]]=0,0,Tabla19[[#This Row],[Comp4]]))</f>
        <v/>
      </c>
      <c r="S145" s="85" t="str">
        <f>IF(Tabla19[[#This Row],[Comp5]]="","",
IF(IF(Tabla19[[#This Row],[Comp5]]=0,0,1)*$D145-Tabla19[[#This Row],[Asign5]]=0,0,Tabla19[[#This Row],[Comp5]]))</f>
        <v/>
      </c>
    </row>
    <row r="146" spans="5:19" x14ac:dyDescent="0.3">
      <c r="E146" s="99" t="str">
        <f>IF($A146="","",INDEX(ListadoProductos[],MATCH('2.C_Datos'!$C146,ListadoProductos[Productos],0),MATCH('2.C_Datos'!E$3,ListadoProductos[#Headers],0)))</f>
        <v/>
      </c>
      <c r="F146" s="99" t="str">
        <f>IF($A146="","",INDEX(ListadoProductos[],MATCH('2.C_Datos'!$C146,ListadoProductos[Productos],0),MATCH('2.C_Datos'!F$3,ListadoProductos[#Headers],0)))</f>
        <v/>
      </c>
      <c r="G146" s="99" t="str">
        <f>IF($A146="","",INDEX(ListadoProductos[],MATCH('2.C_Datos'!$C146,ListadoProductos[Productos],0),MATCH('2.C_Datos'!G$3,ListadoProductos[#Headers],0)))</f>
        <v/>
      </c>
      <c r="H146" s="99" t="str">
        <f>IF($A146="","",INDEX(ListadoProductos[],MATCH('2.C_Datos'!$C146,ListadoProductos[Productos],0),MATCH('2.C_Datos'!H$3,ListadoProductos[#Headers],0)))</f>
        <v/>
      </c>
      <c r="I146" s="99" t="str">
        <f>IF($A146="","",INDEX(ListadoProductos[],MATCH('2.C_Datos'!$C146,ListadoProductos[Productos],0),MATCH('2.C_Datos'!I$3,ListadoProductos[#Headers],0)))</f>
        <v/>
      </c>
      <c r="J146" s="99" t="str">
        <f>IF(Tabla19[[#This Row],[Comp1]]="","",COUNTIFS(TablaMaq1[Componente],Tabla19[[#This Row],[Comp1]],TablaMaq1[ID_Pedido],'2.C_Datos'!A146)+
COUNTIFS(TablaMaq2[Componente],Tabla19[[#This Row],[Comp1]],TablaMaq2[ID_Pedido],'2.C_Datos'!A146)+
COUNTIFS(TablaMaq3[Componente],Tabla19[[#This Row],[Comp1]],TablaMaq3[ID_Pedido],'2.C_Datos'!A146)+
COUNTIFS(TablaMaq4[Componente],Tabla19[[#This Row],[Comp1]],TablaMaq4[ID_Pedido],'2.C_Datos'!A146))</f>
        <v/>
      </c>
      <c r="K146" s="99" t="str">
        <f>IF(Tabla19[[#This Row],[Comp2]]="","",COUNTIFS(TablaMaq1[Componente],Tabla19[[#This Row],[Comp2]],TablaMaq1[ID_Pedido],'2.C_Datos'!A146)+
COUNTIFS(TablaMaq2[Componente],Tabla19[[#This Row],[Comp2]],TablaMaq2[ID_Pedido],'2.C_Datos'!A146)+
COUNTIFS(TablaMaq3[Componente],Tabla19[[#This Row],[Comp2]],TablaMaq3[ID_Pedido],'2.C_Datos'!A146)+
COUNTIFS(TablaMaq4[Componente],Tabla19[[#This Row],[Comp2]],TablaMaq4[ID_Pedido],'2.C_Datos'!A146))</f>
        <v/>
      </c>
      <c r="L146" s="99" t="str">
        <f>IF(Tabla19[[#This Row],[Comp3]]="","",COUNTIFS(TablaMaq1[Componente],Tabla19[[#This Row],[Comp3]],TablaMaq1[ID_Pedido],'2.C_Datos'!A146)+
COUNTIFS(TablaMaq2[Componente],Tabla19[[#This Row],[Comp3]],TablaMaq2[ID_Pedido],'2.C_Datos'!A146)+
COUNTIFS(TablaMaq3[Componente],Tabla19[[#This Row],[Comp3]],TablaMaq3[ID_Pedido],'2.C_Datos'!A146)+
COUNTIFS(TablaMaq4[Componente],Tabla19[[#This Row],[Comp3]],TablaMaq4[ID_Pedido],'2.C_Datos'!A146))</f>
        <v/>
      </c>
      <c r="M146" s="99" t="str">
        <f>IF(Tabla19[[#This Row],[Comp4]]="","",COUNTIFS(TablaMaq1[Componente],Tabla19[[#This Row],[Comp4]],TablaMaq1[ID_Pedido],'2.C_Datos'!A146)+
COUNTIFS(TablaMaq2[Componente],Tabla19[[#This Row],[Comp4]],TablaMaq2[ID_Pedido],'2.C_Datos'!A146)+
COUNTIFS(TablaMaq3[Componente],Tabla19[[#This Row],[Comp4]],TablaMaq3[ID_Pedido],'2.C_Datos'!A146)+
COUNTIFS(TablaMaq4[Componente],Tabla19[[#This Row],[Comp4]],TablaMaq4[ID_Pedido],'2.C_Datos'!A146))</f>
        <v/>
      </c>
      <c r="N146" s="99" t="str">
        <f>IF(Tabla19[[#This Row],[Comp5]]="","",COUNTIFS(TablaMaq1[Componente],Tabla19[[#This Row],[Comp5]],TablaMaq1[ID_Pedido],'2.C_Datos'!A146)+
COUNTIFS(TablaMaq1[Componente],Tabla19[[#This Row],[Comp5]],TablaMaq2[ID_Pedido],'2.C_Datos'!A146)+
COUNTIFS(TablaMaq1[Componente],Tabla19[[#This Row],[Comp5]],TablaMaq3[ID_Pedido],'2.C_Datos'!A146)+
COUNTIFS(TablaMaq1[Componente],Tabla19[[#This Row],[Comp5]],TablaMaq4[ID_Pedido],'2.C_Datos'!A146))</f>
        <v/>
      </c>
      <c r="O146" s="85" t="str">
        <f>IF(Tabla19[[#This Row],[Comp1]]="","",
IF(IF(Tabla19[[#This Row],[Comp1]]=0,0,1)*$D146-Tabla19[[#This Row],[Asign1]]=0,0,Tabla19[[#This Row],[Comp1]]))</f>
        <v/>
      </c>
      <c r="P146" s="85" t="str">
        <f>IF(Tabla19[[#This Row],[Comp2]]="","",
IF(IF(Tabla19[[#This Row],[Comp2]]=0,0,1)*$D146-Tabla19[[#This Row],[Asign2]]=0,0,Tabla19[[#This Row],[Comp2]]))</f>
        <v/>
      </c>
      <c r="Q146" s="85" t="str">
        <f>IF(Tabla19[[#This Row],[Comp3]]="","",
IF(IF(Tabla19[[#This Row],[Comp3]]=0,0,1)*$D146-Tabla19[[#This Row],[Asign3]]=0,0,Tabla19[[#This Row],[Comp3]]))</f>
        <v/>
      </c>
      <c r="R146" s="85" t="str">
        <f>IF(Tabla19[[#This Row],[Comp4]]="","",
IF(IF(Tabla19[[#This Row],[Comp4]]=0,0,1)*$D146-Tabla19[[#This Row],[Asign4]]=0,0,Tabla19[[#This Row],[Comp4]]))</f>
        <v/>
      </c>
      <c r="S146" s="85" t="str">
        <f>IF(Tabla19[[#This Row],[Comp5]]="","",
IF(IF(Tabla19[[#This Row],[Comp5]]=0,0,1)*$D146-Tabla19[[#This Row],[Asign5]]=0,0,Tabla19[[#This Row],[Comp5]]))</f>
        <v/>
      </c>
    </row>
    <row r="147" spans="5:19" x14ac:dyDescent="0.3">
      <c r="E147" s="99" t="str">
        <f>IF($A147="","",INDEX(ListadoProductos[],MATCH('2.C_Datos'!$C147,ListadoProductos[Productos],0),MATCH('2.C_Datos'!E$3,ListadoProductos[#Headers],0)))</f>
        <v/>
      </c>
      <c r="F147" s="99" t="str">
        <f>IF($A147="","",INDEX(ListadoProductos[],MATCH('2.C_Datos'!$C147,ListadoProductos[Productos],0),MATCH('2.C_Datos'!F$3,ListadoProductos[#Headers],0)))</f>
        <v/>
      </c>
      <c r="G147" s="99" t="str">
        <f>IF($A147="","",INDEX(ListadoProductos[],MATCH('2.C_Datos'!$C147,ListadoProductos[Productos],0),MATCH('2.C_Datos'!G$3,ListadoProductos[#Headers],0)))</f>
        <v/>
      </c>
      <c r="H147" s="99" t="str">
        <f>IF($A147="","",INDEX(ListadoProductos[],MATCH('2.C_Datos'!$C147,ListadoProductos[Productos],0),MATCH('2.C_Datos'!H$3,ListadoProductos[#Headers],0)))</f>
        <v/>
      </c>
      <c r="I147" s="99" t="str">
        <f>IF($A147="","",INDEX(ListadoProductos[],MATCH('2.C_Datos'!$C147,ListadoProductos[Productos],0),MATCH('2.C_Datos'!I$3,ListadoProductos[#Headers],0)))</f>
        <v/>
      </c>
      <c r="J147" s="99" t="str">
        <f>IF(Tabla19[[#This Row],[Comp1]]="","",COUNTIFS(TablaMaq1[Componente],Tabla19[[#This Row],[Comp1]],TablaMaq1[ID_Pedido],'2.C_Datos'!A147)+
COUNTIFS(TablaMaq2[Componente],Tabla19[[#This Row],[Comp1]],TablaMaq2[ID_Pedido],'2.C_Datos'!A147)+
COUNTIFS(TablaMaq3[Componente],Tabla19[[#This Row],[Comp1]],TablaMaq3[ID_Pedido],'2.C_Datos'!A147)+
COUNTIFS(TablaMaq4[Componente],Tabla19[[#This Row],[Comp1]],TablaMaq4[ID_Pedido],'2.C_Datos'!A147))</f>
        <v/>
      </c>
      <c r="K147" s="99" t="str">
        <f>IF(Tabla19[[#This Row],[Comp2]]="","",COUNTIFS(TablaMaq1[Componente],Tabla19[[#This Row],[Comp2]],TablaMaq1[ID_Pedido],'2.C_Datos'!A147)+
COUNTIFS(TablaMaq2[Componente],Tabla19[[#This Row],[Comp2]],TablaMaq2[ID_Pedido],'2.C_Datos'!A147)+
COUNTIFS(TablaMaq3[Componente],Tabla19[[#This Row],[Comp2]],TablaMaq3[ID_Pedido],'2.C_Datos'!A147)+
COUNTIFS(TablaMaq4[Componente],Tabla19[[#This Row],[Comp2]],TablaMaq4[ID_Pedido],'2.C_Datos'!A147))</f>
        <v/>
      </c>
      <c r="L147" s="99" t="str">
        <f>IF(Tabla19[[#This Row],[Comp3]]="","",COUNTIFS(TablaMaq1[Componente],Tabla19[[#This Row],[Comp3]],TablaMaq1[ID_Pedido],'2.C_Datos'!A147)+
COUNTIFS(TablaMaq2[Componente],Tabla19[[#This Row],[Comp3]],TablaMaq2[ID_Pedido],'2.C_Datos'!A147)+
COUNTIFS(TablaMaq3[Componente],Tabla19[[#This Row],[Comp3]],TablaMaq3[ID_Pedido],'2.C_Datos'!A147)+
COUNTIFS(TablaMaq4[Componente],Tabla19[[#This Row],[Comp3]],TablaMaq4[ID_Pedido],'2.C_Datos'!A147))</f>
        <v/>
      </c>
      <c r="M147" s="99" t="str">
        <f>IF(Tabla19[[#This Row],[Comp4]]="","",COUNTIFS(TablaMaq1[Componente],Tabla19[[#This Row],[Comp4]],TablaMaq1[ID_Pedido],'2.C_Datos'!A147)+
COUNTIFS(TablaMaq2[Componente],Tabla19[[#This Row],[Comp4]],TablaMaq2[ID_Pedido],'2.C_Datos'!A147)+
COUNTIFS(TablaMaq3[Componente],Tabla19[[#This Row],[Comp4]],TablaMaq3[ID_Pedido],'2.C_Datos'!A147)+
COUNTIFS(TablaMaq4[Componente],Tabla19[[#This Row],[Comp4]],TablaMaq4[ID_Pedido],'2.C_Datos'!A147))</f>
        <v/>
      </c>
      <c r="N147" s="99" t="str">
        <f>IF(Tabla19[[#This Row],[Comp5]]="","",COUNTIFS(TablaMaq1[Componente],Tabla19[[#This Row],[Comp5]],TablaMaq1[ID_Pedido],'2.C_Datos'!A147)+
COUNTIFS(TablaMaq1[Componente],Tabla19[[#This Row],[Comp5]],TablaMaq2[ID_Pedido],'2.C_Datos'!A147)+
COUNTIFS(TablaMaq1[Componente],Tabla19[[#This Row],[Comp5]],TablaMaq3[ID_Pedido],'2.C_Datos'!A147)+
COUNTIFS(TablaMaq1[Componente],Tabla19[[#This Row],[Comp5]],TablaMaq4[ID_Pedido],'2.C_Datos'!A147))</f>
        <v/>
      </c>
      <c r="O147" s="85" t="str">
        <f>IF(Tabla19[[#This Row],[Comp1]]="","",
IF(IF(Tabla19[[#This Row],[Comp1]]=0,0,1)*$D147-Tabla19[[#This Row],[Asign1]]=0,0,Tabla19[[#This Row],[Comp1]]))</f>
        <v/>
      </c>
      <c r="P147" s="85" t="str">
        <f>IF(Tabla19[[#This Row],[Comp2]]="","",
IF(IF(Tabla19[[#This Row],[Comp2]]=0,0,1)*$D147-Tabla19[[#This Row],[Asign2]]=0,0,Tabla19[[#This Row],[Comp2]]))</f>
        <v/>
      </c>
      <c r="Q147" s="85" t="str">
        <f>IF(Tabla19[[#This Row],[Comp3]]="","",
IF(IF(Tabla19[[#This Row],[Comp3]]=0,0,1)*$D147-Tabla19[[#This Row],[Asign3]]=0,0,Tabla19[[#This Row],[Comp3]]))</f>
        <v/>
      </c>
      <c r="R147" s="85" t="str">
        <f>IF(Tabla19[[#This Row],[Comp4]]="","",
IF(IF(Tabla19[[#This Row],[Comp4]]=0,0,1)*$D147-Tabla19[[#This Row],[Asign4]]=0,0,Tabla19[[#This Row],[Comp4]]))</f>
        <v/>
      </c>
      <c r="S147" s="85" t="str">
        <f>IF(Tabla19[[#This Row],[Comp5]]="","",
IF(IF(Tabla19[[#This Row],[Comp5]]=0,0,1)*$D147-Tabla19[[#This Row],[Asign5]]=0,0,Tabla19[[#This Row],[Comp5]]))</f>
        <v/>
      </c>
    </row>
    <row r="148" spans="5:19" x14ac:dyDescent="0.3">
      <c r="E148" s="99" t="str">
        <f>IF($A148="","",INDEX(ListadoProductos[],MATCH('2.C_Datos'!$C148,ListadoProductos[Productos],0),MATCH('2.C_Datos'!E$3,ListadoProductos[#Headers],0)))</f>
        <v/>
      </c>
      <c r="F148" s="99" t="str">
        <f>IF($A148="","",INDEX(ListadoProductos[],MATCH('2.C_Datos'!$C148,ListadoProductos[Productos],0),MATCH('2.C_Datos'!F$3,ListadoProductos[#Headers],0)))</f>
        <v/>
      </c>
      <c r="G148" s="99" t="str">
        <f>IF($A148="","",INDEX(ListadoProductos[],MATCH('2.C_Datos'!$C148,ListadoProductos[Productos],0),MATCH('2.C_Datos'!G$3,ListadoProductos[#Headers],0)))</f>
        <v/>
      </c>
      <c r="H148" s="99" t="str">
        <f>IF($A148="","",INDEX(ListadoProductos[],MATCH('2.C_Datos'!$C148,ListadoProductos[Productos],0),MATCH('2.C_Datos'!H$3,ListadoProductos[#Headers],0)))</f>
        <v/>
      </c>
      <c r="I148" s="99" t="str">
        <f>IF($A148="","",INDEX(ListadoProductos[],MATCH('2.C_Datos'!$C148,ListadoProductos[Productos],0),MATCH('2.C_Datos'!I$3,ListadoProductos[#Headers],0)))</f>
        <v/>
      </c>
      <c r="J148" s="99" t="str">
        <f>IF(Tabla19[[#This Row],[Comp1]]="","",COUNTIFS(TablaMaq1[Componente],Tabla19[[#This Row],[Comp1]],TablaMaq1[ID_Pedido],'2.C_Datos'!A148)+
COUNTIFS(TablaMaq2[Componente],Tabla19[[#This Row],[Comp1]],TablaMaq2[ID_Pedido],'2.C_Datos'!A148)+
COUNTIFS(TablaMaq3[Componente],Tabla19[[#This Row],[Comp1]],TablaMaq3[ID_Pedido],'2.C_Datos'!A148)+
COUNTIFS(TablaMaq4[Componente],Tabla19[[#This Row],[Comp1]],TablaMaq4[ID_Pedido],'2.C_Datos'!A148))</f>
        <v/>
      </c>
      <c r="K148" s="99" t="str">
        <f>IF(Tabla19[[#This Row],[Comp2]]="","",COUNTIFS(TablaMaq1[Componente],Tabla19[[#This Row],[Comp2]],TablaMaq1[ID_Pedido],'2.C_Datos'!A148)+
COUNTIFS(TablaMaq2[Componente],Tabla19[[#This Row],[Comp2]],TablaMaq2[ID_Pedido],'2.C_Datos'!A148)+
COUNTIFS(TablaMaq3[Componente],Tabla19[[#This Row],[Comp2]],TablaMaq3[ID_Pedido],'2.C_Datos'!A148)+
COUNTIFS(TablaMaq4[Componente],Tabla19[[#This Row],[Comp2]],TablaMaq4[ID_Pedido],'2.C_Datos'!A148))</f>
        <v/>
      </c>
      <c r="L148" s="99" t="str">
        <f>IF(Tabla19[[#This Row],[Comp3]]="","",COUNTIFS(TablaMaq1[Componente],Tabla19[[#This Row],[Comp3]],TablaMaq1[ID_Pedido],'2.C_Datos'!A148)+
COUNTIFS(TablaMaq2[Componente],Tabla19[[#This Row],[Comp3]],TablaMaq2[ID_Pedido],'2.C_Datos'!A148)+
COUNTIFS(TablaMaq3[Componente],Tabla19[[#This Row],[Comp3]],TablaMaq3[ID_Pedido],'2.C_Datos'!A148)+
COUNTIFS(TablaMaq4[Componente],Tabla19[[#This Row],[Comp3]],TablaMaq4[ID_Pedido],'2.C_Datos'!A148))</f>
        <v/>
      </c>
      <c r="M148" s="99" t="str">
        <f>IF(Tabla19[[#This Row],[Comp4]]="","",COUNTIFS(TablaMaq1[Componente],Tabla19[[#This Row],[Comp4]],TablaMaq1[ID_Pedido],'2.C_Datos'!A148)+
COUNTIFS(TablaMaq2[Componente],Tabla19[[#This Row],[Comp4]],TablaMaq2[ID_Pedido],'2.C_Datos'!A148)+
COUNTIFS(TablaMaq3[Componente],Tabla19[[#This Row],[Comp4]],TablaMaq3[ID_Pedido],'2.C_Datos'!A148)+
COUNTIFS(TablaMaq4[Componente],Tabla19[[#This Row],[Comp4]],TablaMaq4[ID_Pedido],'2.C_Datos'!A148))</f>
        <v/>
      </c>
      <c r="N148" s="99" t="str">
        <f>IF(Tabla19[[#This Row],[Comp5]]="","",COUNTIFS(TablaMaq1[Componente],Tabla19[[#This Row],[Comp5]],TablaMaq1[ID_Pedido],'2.C_Datos'!A148)+
COUNTIFS(TablaMaq1[Componente],Tabla19[[#This Row],[Comp5]],TablaMaq2[ID_Pedido],'2.C_Datos'!A148)+
COUNTIFS(TablaMaq1[Componente],Tabla19[[#This Row],[Comp5]],TablaMaq3[ID_Pedido],'2.C_Datos'!A148)+
COUNTIFS(TablaMaq1[Componente],Tabla19[[#This Row],[Comp5]],TablaMaq4[ID_Pedido],'2.C_Datos'!A148))</f>
        <v/>
      </c>
      <c r="O148" s="85" t="str">
        <f>IF(Tabla19[[#This Row],[Comp1]]="","",
IF(IF(Tabla19[[#This Row],[Comp1]]=0,0,1)*$D148-Tabla19[[#This Row],[Asign1]]=0,0,Tabla19[[#This Row],[Comp1]]))</f>
        <v/>
      </c>
      <c r="P148" s="85" t="str">
        <f>IF(Tabla19[[#This Row],[Comp2]]="","",
IF(IF(Tabla19[[#This Row],[Comp2]]=0,0,1)*$D148-Tabla19[[#This Row],[Asign2]]=0,0,Tabla19[[#This Row],[Comp2]]))</f>
        <v/>
      </c>
      <c r="Q148" s="85" t="str">
        <f>IF(Tabla19[[#This Row],[Comp3]]="","",
IF(IF(Tabla19[[#This Row],[Comp3]]=0,0,1)*$D148-Tabla19[[#This Row],[Asign3]]=0,0,Tabla19[[#This Row],[Comp3]]))</f>
        <v/>
      </c>
      <c r="R148" s="85" t="str">
        <f>IF(Tabla19[[#This Row],[Comp4]]="","",
IF(IF(Tabla19[[#This Row],[Comp4]]=0,0,1)*$D148-Tabla19[[#This Row],[Asign4]]=0,0,Tabla19[[#This Row],[Comp4]]))</f>
        <v/>
      </c>
      <c r="S148" s="85" t="str">
        <f>IF(Tabla19[[#This Row],[Comp5]]="","",
IF(IF(Tabla19[[#This Row],[Comp5]]=0,0,1)*$D148-Tabla19[[#This Row],[Asign5]]=0,0,Tabla19[[#This Row],[Comp5]]))</f>
        <v/>
      </c>
    </row>
    <row r="149" spans="5:19" x14ac:dyDescent="0.3">
      <c r="E149" s="99" t="str">
        <f>IF($A149="","",INDEX(ListadoProductos[],MATCH('2.C_Datos'!$C149,ListadoProductos[Productos],0),MATCH('2.C_Datos'!E$3,ListadoProductos[#Headers],0)))</f>
        <v/>
      </c>
      <c r="F149" s="99" t="str">
        <f>IF($A149="","",INDEX(ListadoProductos[],MATCH('2.C_Datos'!$C149,ListadoProductos[Productos],0),MATCH('2.C_Datos'!F$3,ListadoProductos[#Headers],0)))</f>
        <v/>
      </c>
      <c r="G149" s="99" t="str">
        <f>IF($A149="","",INDEX(ListadoProductos[],MATCH('2.C_Datos'!$C149,ListadoProductos[Productos],0),MATCH('2.C_Datos'!G$3,ListadoProductos[#Headers],0)))</f>
        <v/>
      </c>
      <c r="H149" s="99" t="str">
        <f>IF($A149="","",INDEX(ListadoProductos[],MATCH('2.C_Datos'!$C149,ListadoProductos[Productos],0),MATCH('2.C_Datos'!H$3,ListadoProductos[#Headers],0)))</f>
        <v/>
      </c>
      <c r="I149" s="99" t="str">
        <f>IF($A149="","",INDEX(ListadoProductos[],MATCH('2.C_Datos'!$C149,ListadoProductos[Productos],0),MATCH('2.C_Datos'!I$3,ListadoProductos[#Headers],0)))</f>
        <v/>
      </c>
      <c r="J149" s="99" t="str">
        <f>IF(Tabla19[[#This Row],[Comp1]]="","",COUNTIFS(TablaMaq1[Componente],Tabla19[[#This Row],[Comp1]],TablaMaq1[ID_Pedido],'2.C_Datos'!A149)+
COUNTIFS(TablaMaq2[Componente],Tabla19[[#This Row],[Comp1]],TablaMaq2[ID_Pedido],'2.C_Datos'!A149)+
COUNTIFS(TablaMaq3[Componente],Tabla19[[#This Row],[Comp1]],TablaMaq3[ID_Pedido],'2.C_Datos'!A149)+
COUNTIFS(TablaMaq4[Componente],Tabla19[[#This Row],[Comp1]],TablaMaq4[ID_Pedido],'2.C_Datos'!A149))</f>
        <v/>
      </c>
      <c r="K149" s="99" t="str">
        <f>IF(Tabla19[[#This Row],[Comp2]]="","",COUNTIFS(TablaMaq1[Componente],Tabla19[[#This Row],[Comp2]],TablaMaq1[ID_Pedido],'2.C_Datos'!A149)+
COUNTIFS(TablaMaq2[Componente],Tabla19[[#This Row],[Comp2]],TablaMaq2[ID_Pedido],'2.C_Datos'!A149)+
COUNTIFS(TablaMaq3[Componente],Tabla19[[#This Row],[Comp2]],TablaMaq3[ID_Pedido],'2.C_Datos'!A149)+
COUNTIFS(TablaMaq4[Componente],Tabla19[[#This Row],[Comp2]],TablaMaq4[ID_Pedido],'2.C_Datos'!A149))</f>
        <v/>
      </c>
      <c r="L149" s="99" t="str">
        <f>IF(Tabla19[[#This Row],[Comp3]]="","",COUNTIFS(TablaMaq1[Componente],Tabla19[[#This Row],[Comp3]],TablaMaq1[ID_Pedido],'2.C_Datos'!A149)+
COUNTIFS(TablaMaq2[Componente],Tabla19[[#This Row],[Comp3]],TablaMaq2[ID_Pedido],'2.C_Datos'!A149)+
COUNTIFS(TablaMaq3[Componente],Tabla19[[#This Row],[Comp3]],TablaMaq3[ID_Pedido],'2.C_Datos'!A149)+
COUNTIFS(TablaMaq4[Componente],Tabla19[[#This Row],[Comp3]],TablaMaq4[ID_Pedido],'2.C_Datos'!A149))</f>
        <v/>
      </c>
      <c r="M149" s="99" t="str">
        <f>IF(Tabla19[[#This Row],[Comp4]]="","",COUNTIFS(TablaMaq1[Componente],Tabla19[[#This Row],[Comp4]],TablaMaq1[ID_Pedido],'2.C_Datos'!A149)+
COUNTIFS(TablaMaq2[Componente],Tabla19[[#This Row],[Comp4]],TablaMaq2[ID_Pedido],'2.C_Datos'!A149)+
COUNTIFS(TablaMaq3[Componente],Tabla19[[#This Row],[Comp4]],TablaMaq3[ID_Pedido],'2.C_Datos'!A149)+
COUNTIFS(TablaMaq4[Componente],Tabla19[[#This Row],[Comp4]],TablaMaq4[ID_Pedido],'2.C_Datos'!A149))</f>
        <v/>
      </c>
      <c r="N149" s="99" t="str">
        <f>IF(Tabla19[[#This Row],[Comp5]]="","",COUNTIFS(TablaMaq1[Componente],Tabla19[[#This Row],[Comp5]],TablaMaq1[ID_Pedido],'2.C_Datos'!A149)+
COUNTIFS(TablaMaq1[Componente],Tabla19[[#This Row],[Comp5]],TablaMaq2[ID_Pedido],'2.C_Datos'!A149)+
COUNTIFS(TablaMaq1[Componente],Tabla19[[#This Row],[Comp5]],TablaMaq3[ID_Pedido],'2.C_Datos'!A149)+
COUNTIFS(TablaMaq1[Componente],Tabla19[[#This Row],[Comp5]],TablaMaq4[ID_Pedido],'2.C_Datos'!A149))</f>
        <v/>
      </c>
      <c r="O149" s="85" t="str">
        <f>IF(Tabla19[[#This Row],[Comp1]]="","",
IF(IF(Tabla19[[#This Row],[Comp1]]=0,0,1)*$D149-Tabla19[[#This Row],[Asign1]]=0,0,Tabla19[[#This Row],[Comp1]]))</f>
        <v/>
      </c>
      <c r="P149" s="85" t="str">
        <f>IF(Tabla19[[#This Row],[Comp2]]="","",
IF(IF(Tabla19[[#This Row],[Comp2]]=0,0,1)*$D149-Tabla19[[#This Row],[Asign2]]=0,0,Tabla19[[#This Row],[Comp2]]))</f>
        <v/>
      </c>
      <c r="Q149" s="85" t="str">
        <f>IF(Tabla19[[#This Row],[Comp3]]="","",
IF(IF(Tabla19[[#This Row],[Comp3]]=0,0,1)*$D149-Tabla19[[#This Row],[Asign3]]=0,0,Tabla19[[#This Row],[Comp3]]))</f>
        <v/>
      </c>
      <c r="R149" s="85" t="str">
        <f>IF(Tabla19[[#This Row],[Comp4]]="","",
IF(IF(Tabla19[[#This Row],[Comp4]]=0,0,1)*$D149-Tabla19[[#This Row],[Asign4]]=0,0,Tabla19[[#This Row],[Comp4]]))</f>
        <v/>
      </c>
      <c r="S149" s="85" t="str">
        <f>IF(Tabla19[[#This Row],[Comp5]]="","",
IF(IF(Tabla19[[#This Row],[Comp5]]=0,0,1)*$D149-Tabla19[[#This Row],[Asign5]]=0,0,Tabla19[[#This Row],[Comp5]]))</f>
        <v/>
      </c>
    </row>
    <row r="150" spans="5:19" x14ac:dyDescent="0.3">
      <c r="E150" s="99" t="str">
        <f>IF($A150="","",INDEX(ListadoProductos[],MATCH('2.C_Datos'!$C150,ListadoProductos[Productos],0),MATCH('2.C_Datos'!E$3,ListadoProductos[#Headers],0)))</f>
        <v/>
      </c>
      <c r="F150" s="99" t="str">
        <f>IF($A150="","",INDEX(ListadoProductos[],MATCH('2.C_Datos'!$C150,ListadoProductos[Productos],0),MATCH('2.C_Datos'!F$3,ListadoProductos[#Headers],0)))</f>
        <v/>
      </c>
      <c r="G150" s="99" t="str">
        <f>IF($A150="","",INDEX(ListadoProductos[],MATCH('2.C_Datos'!$C150,ListadoProductos[Productos],0),MATCH('2.C_Datos'!G$3,ListadoProductos[#Headers],0)))</f>
        <v/>
      </c>
      <c r="H150" s="99" t="str">
        <f>IF($A150="","",INDEX(ListadoProductos[],MATCH('2.C_Datos'!$C150,ListadoProductos[Productos],0),MATCH('2.C_Datos'!H$3,ListadoProductos[#Headers],0)))</f>
        <v/>
      </c>
      <c r="I150" s="99" t="str">
        <f>IF($A150="","",INDEX(ListadoProductos[],MATCH('2.C_Datos'!$C150,ListadoProductos[Productos],0),MATCH('2.C_Datos'!I$3,ListadoProductos[#Headers],0)))</f>
        <v/>
      </c>
      <c r="J150" s="99" t="str">
        <f>IF(Tabla19[[#This Row],[Comp1]]="","",COUNTIFS(TablaMaq1[Componente],Tabla19[[#This Row],[Comp1]],TablaMaq1[ID_Pedido],'2.C_Datos'!A150)+
COUNTIFS(TablaMaq2[Componente],Tabla19[[#This Row],[Comp1]],TablaMaq2[ID_Pedido],'2.C_Datos'!A150)+
COUNTIFS(TablaMaq3[Componente],Tabla19[[#This Row],[Comp1]],TablaMaq3[ID_Pedido],'2.C_Datos'!A150)+
COUNTIFS(TablaMaq4[Componente],Tabla19[[#This Row],[Comp1]],TablaMaq4[ID_Pedido],'2.C_Datos'!A150))</f>
        <v/>
      </c>
      <c r="K150" s="99" t="str">
        <f>IF(Tabla19[[#This Row],[Comp2]]="","",COUNTIFS(TablaMaq1[Componente],Tabla19[[#This Row],[Comp2]],TablaMaq1[ID_Pedido],'2.C_Datos'!A150)+
COUNTIFS(TablaMaq2[Componente],Tabla19[[#This Row],[Comp2]],TablaMaq2[ID_Pedido],'2.C_Datos'!A150)+
COUNTIFS(TablaMaq3[Componente],Tabla19[[#This Row],[Comp2]],TablaMaq3[ID_Pedido],'2.C_Datos'!A150)+
COUNTIFS(TablaMaq4[Componente],Tabla19[[#This Row],[Comp2]],TablaMaq4[ID_Pedido],'2.C_Datos'!A150))</f>
        <v/>
      </c>
      <c r="L150" s="99" t="str">
        <f>IF(Tabla19[[#This Row],[Comp3]]="","",COUNTIFS(TablaMaq1[Componente],Tabla19[[#This Row],[Comp3]],TablaMaq1[ID_Pedido],'2.C_Datos'!A150)+
COUNTIFS(TablaMaq2[Componente],Tabla19[[#This Row],[Comp3]],TablaMaq2[ID_Pedido],'2.C_Datos'!A150)+
COUNTIFS(TablaMaq3[Componente],Tabla19[[#This Row],[Comp3]],TablaMaq3[ID_Pedido],'2.C_Datos'!A150)+
COUNTIFS(TablaMaq4[Componente],Tabla19[[#This Row],[Comp3]],TablaMaq4[ID_Pedido],'2.C_Datos'!A150))</f>
        <v/>
      </c>
      <c r="M150" s="99" t="str">
        <f>IF(Tabla19[[#This Row],[Comp4]]="","",COUNTIFS(TablaMaq1[Componente],Tabla19[[#This Row],[Comp4]],TablaMaq1[ID_Pedido],'2.C_Datos'!A150)+
COUNTIFS(TablaMaq2[Componente],Tabla19[[#This Row],[Comp4]],TablaMaq2[ID_Pedido],'2.C_Datos'!A150)+
COUNTIFS(TablaMaq3[Componente],Tabla19[[#This Row],[Comp4]],TablaMaq3[ID_Pedido],'2.C_Datos'!A150)+
COUNTIFS(TablaMaq4[Componente],Tabla19[[#This Row],[Comp4]],TablaMaq4[ID_Pedido],'2.C_Datos'!A150))</f>
        <v/>
      </c>
      <c r="N150" s="99" t="str">
        <f>IF(Tabla19[[#This Row],[Comp5]]="","",COUNTIFS(TablaMaq1[Componente],Tabla19[[#This Row],[Comp5]],TablaMaq1[ID_Pedido],'2.C_Datos'!A150)+
COUNTIFS(TablaMaq1[Componente],Tabla19[[#This Row],[Comp5]],TablaMaq2[ID_Pedido],'2.C_Datos'!A150)+
COUNTIFS(TablaMaq1[Componente],Tabla19[[#This Row],[Comp5]],TablaMaq3[ID_Pedido],'2.C_Datos'!A150)+
COUNTIFS(TablaMaq1[Componente],Tabla19[[#This Row],[Comp5]],TablaMaq4[ID_Pedido],'2.C_Datos'!A150))</f>
        <v/>
      </c>
      <c r="O150" s="85" t="str">
        <f>IF(Tabla19[[#This Row],[Comp1]]="","",
IF(IF(Tabla19[[#This Row],[Comp1]]=0,0,1)*$D150-Tabla19[[#This Row],[Asign1]]=0,0,Tabla19[[#This Row],[Comp1]]))</f>
        <v/>
      </c>
      <c r="P150" s="85" t="str">
        <f>IF(Tabla19[[#This Row],[Comp2]]="","",
IF(IF(Tabla19[[#This Row],[Comp2]]=0,0,1)*$D150-Tabla19[[#This Row],[Asign2]]=0,0,Tabla19[[#This Row],[Comp2]]))</f>
        <v/>
      </c>
      <c r="Q150" s="85" t="str">
        <f>IF(Tabla19[[#This Row],[Comp3]]="","",
IF(IF(Tabla19[[#This Row],[Comp3]]=0,0,1)*$D150-Tabla19[[#This Row],[Asign3]]=0,0,Tabla19[[#This Row],[Comp3]]))</f>
        <v/>
      </c>
      <c r="R150" s="85" t="str">
        <f>IF(Tabla19[[#This Row],[Comp4]]="","",
IF(IF(Tabla19[[#This Row],[Comp4]]=0,0,1)*$D150-Tabla19[[#This Row],[Asign4]]=0,0,Tabla19[[#This Row],[Comp4]]))</f>
        <v/>
      </c>
      <c r="S150" s="85" t="str">
        <f>IF(Tabla19[[#This Row],[Comp5]]="","",
IF(IF(Tabla19[[#This Row],[Comp5]]=0,0,1)*$D150-Tabla19[[#This Row],[Asign5]]=0,0,Tabla19[[#This Row],[Comp5]]))</f>
        <v/>
      </c>
    </row>
    <row r="151" spans="5:19" x14ac:dyDescent="0.3">
      <c r="E151" s="99" t="str">
        <f>IF($A151="","",INDEX(ListadoProductos[],MATCH('2.C_Datos'!$C151,ListadoProductos[Productos],0),MATCH('2.C_Datos'!E$3,ListadoProductos[#Headers],0)))</f>
        <v/>
      </c>
      <c r="F151" s="99" t="str">
        <f>IF($A151="","",INDEX(ListadoProductos[],MATCH('2.C_Datos'!$C151,ListadoProductos[Productos],0),MATCH('2.C_Datos'!F$3,ListadoProductos[#Headers],0)))</f>
        <v/>
      </c>
      <c r="G151" s="99" t="str">
        <f>IF($A151="","",INDEX(ListadoProductos[],MATCH('2.C_Datos'!$C151,ListadoProductos[Productos],0),MATCH('2.C_Datos'!G$3,ListadoProductos[#Headers],0)))</f>
        <v/>
      </c>
      <c r="H151" s="99" t="str">
        <f>IF($A151="","",INDEX(ListadoProductos[],MATCH('2.C_Datos'!$C151,ListadoProductos[Productos],0),MATCH('2.C_Datos'!H$3,ListadoProductos[#Headers],0)))</f>
        <v/>
      </c>
      <c r="I151" s="99" t="str">
        <f>IF($A151="","",INDEX(ListadoProductos[],MATCH('2.C_Datos'!$C151,ListadoProductos[Productos],0),MATCH('2.C_Datos'!I$3,ListadoProductos[#Headers],0)))</f>
        <v/>
      </c>
      <c r="J151" s="99" t="str">
        <f>IF(Tabla19[[#This Row],[Comp1]]="","",COUNTIFS(TablaMaq1[Componente],Tabla19[[#This Row],[Comp1]],TablaMaq1[ID_Pedido],'2.C_Datos'!A151)+
COUNTIFS(TablaMaq2[Componente],Tabla19[[#This Row],[Comp1]],TablaMaq2[ID_Pedido],'2.C_Datos'!A151)+
COUNTIFS(TablaMaq3[Componente],Tabla19[[#This Row],[Comp1]],TablaMaq3[ID_Pedido],'2.C_Datos'!A151)+
COUNTIFS(TablaMaq4[Componente],Tabla19[[#This Row],[Comp1]],TablaMaq4[ID_Pedido],'2.C_Datos'!A151))</f>
        <v/>
      </c>
      <c r="K151" s="99" t="str">
        <f>IF(Tabla19[[#This Row],[Comp2]]="","",COUNTIFS(TablaMaq1[Componente],Tabla19[[#This Row],[Comp2]],TablaMaq1[ID_Pedido],'2.C_Datos'!A151)+
COUNTIFS(TablaMaq2[Componente],Tabla19[[#This Row],[Comp2]],TablaMaq2[ID_Pedido],'2.C_Datos'!A151)+
COUNTIFS(TablaMaq3[Componente],Tabla19[[#This Row],[Comp2]],TablaMaq3[ID_Pedido],'2.C_Datos'!A151)+
COUNTIFS(TablaMaq4[Componente],Tabla19[[#This Row],[Comp2]],TablaMaq4[ID_Pedido],'2.C_Datos'!A151))</f>
        <v/>
      </c>
      <c r="L151" s="99" t="str">
        <f>IF(Tabla19[[#This Row],[Comp3]]="","",COUNTIFS(TablaMaq1[Componente],Tabla19[[#This Row],[Comp3]],TablaMaq1[ID_Pedido],'2.C_Datos'!A151)+
COUNTIFS(TablaMaq2[Componente],Tabla19[[#This Row],[Comp3]],TablaMaq2[ID_Pedido],'2.C_Datos'!A151)+
COUNTIFS(TablaMaq3[Componente],Tabla19[[#This Row],[Comp3]],TablaMaq3[ID_Pedido],'2.C_Datos'!A151)+
COUNTIFS(TablaMaq4[Componente],Tabla19[[#This Row],[Comp3]],TablaMaq4[ID_Pedido],'2.C_Datos'!A151))</f>
        <v/>
      </c>
      <c r="M151" s="99" t="str">
        <f>IF(Tabla19[[#This Row],[Comp4]]="","",COUNTIFS(TablaMaq1[Componente],Tabla19[[#This Row],[Comp4]],TablaMaq1[ID_Pedido],'2.C_Datos'!A151)+
COUNTIFS(TablaMaq2[Componente],Tabla19[[#This Row],[Comp4]],TablaMaq2[ID_Pedido],'2.C_Datos'!A151)+
COUNTIFS(TablaMaq3[Componente],Tabla19[[#This Row],[Comp4]],TablaMaq3[ID_Pedido],'2.C_Datos'!A151)+
COUNTIFS(TablaMaq4[Componente],Tabla19[[#This Row],[Comp4]],TablaMaq4[ID_Pedido],'2.C_Datos'!A151))</f>
        <v/>
      </c>
      <c r="N151" s="99" t="str">
        <f>IF(Tabla19[[#This Row],[Comp5]]="","",COUNTIFS(TablaMaq1[Componente],Tabla19[[#This Row],[Comp5]],TablaMaq1[ID_Pedido],'2.C_Datos'!A151)+
COUNTIFS(TablaMaq1[Componente],Tabla19[[#This Row],[Comp5]],TablaMaq2[ID_Pedido],'2.C_Datos'!A151)+
COUNTIFS(TablaMaq1[Componente],Tabla19[[#This Row],[Comp5]],TablaMaq3[ID_Pedido],'2.C_Datos'!A151)+
COUNTIFS(TablaMaq1[Componente],Tabla19[[#This Row],[Comp5]],TablaMaq4[ID_Pedido],'2.C_Datos'!A151))</f>
        <v/>
      </c>
      <c r="O151" s="85" t="str">
        <f>IF(Tabla19[[#This Row],[Comp1]]="","",
IF(IF(Tabla19[[#This Row],[Comp1]]=0,0,1)*$D151-Tabla19[[#This Row],[Asign1]]=0,0,Tabla19[[#This Row],[Comp1]]))</f>
        <v/>
      </c>
      <c r="P151" s="85" t="str">
        <f>IF(Tabla19[[#This Row],[Comp2]]="","",
IF(IF(Tabla19[[#This Row],[Comp2]]=0,0,1)*$D151-Tabla19[[#This Row],[Asign2]]=0,0,Tabla19[[#This Row],[Comp2]]))</f>
        <v/>
      </c>
      <c r="Q151" s="85" t="str">
        <f>IF(Tabla19[[#This Row],[Comp3]]="","",
IF(IF(Tabla19[[#This Row],[Comp3]]=0,0,1)*$D151-Tabla19[[#This Row],[Asign3]]=0,0,Tabla19[[#This Row],[Comp3]]))</f>
        <v/>
      </c>
      <c r="R151" s="85" t="str">
        <f>IF(Tabla19[[#This Row],[Comp4]]="","",
IF(IF(Tabla19[[#This Row],[Comp4]]=0,0,1)*$D151-Tabla19[[#This Row],[Asign4]]=0,0,Tabla19[[#This Row],[Comp4]]))</f>
        <v/>
      </c>
      <c r="S151" s="85" t="str">
        <f>IF(Tabla19[[#This Row],[Comp5]]="","",
IF(IF(Tabla19[[#This Row],[Comp5]]=0,0,1)*$D151-Tabla19[[#This Row],[Asign5]]=0,0,Tabla19[[#This Row],[Comp5]]))</f>
        <v/>
      </c>
    </row>
    <row r="152" spans="5:19" x14ac:dyDescent="0.3">
      <c r="E152" s="99" t="str">
        <f>IF($A152="","",INDEX(ListadoProductos[],MATCH('2.C_Datos'!$C152,ListadoProductos[Productos],0),MATCH('2.C_Datos'!E$3,ListadoProductos[#Headers],0)))</f>
        <v/>
      </c>
      <c r="F152" s="99" t="str">
        <f>IF($A152="","",INDEX(ListadoProductos[],MATCH('2.C_Datos'!$C152,ListadoProductos[Productos],0),MATCH('2.C_Datos'!F$3,ListadoProductos[#Headers],0)))</f>
        <v/>
      </c>
      <c r="G152" s="99" t="str">
        <f>IF($A152="","",INDEX(ListadoProductos[],MATCH('2.C_Datos'!$C152,ListadoProductos[Productos],0),MATCH('2.C_Datos'!G$3,ListadoProductos[#Headers],0)))</f>
        <v/>
      </c>
      <c r="H152" s="99" t="str">
        <f>IF($A152="","",INDEX(ListadoProductos[],MATCH('2.C_Datos'!$C152,ListadoProductos[Productos],0),MATCH('2.C_Datos'!H$3,ListadoProductos[#Headers],0)))</f>
        <v/>
      </c>
      <c r="I152" s="99" t="str">
        <f>IF($A152="","",INDEX(ListadoProductos[],MATCH('2.C_Datos'!$C152,ListadoProductos[Productos],0),MATCH('2.C_Datos'!I$3,ListadoProductos[#Headers],0)))</f>
        <v/>
      </c>
      <c r="J152" s="99" t="str">
        <f>IF(Tabla19[[#This Row],[Comp1]]="","",COUNTIFS(TablaMaq1[Componente],Tabla19[[#This Row],[Comp1]],TablaMaq1[ID_Pedido],'2.C_Datos'!A152)+
COUNTIFS(TablaMaq2[Componente],Tabla19[[#This Row],[Comp1]],TablaMaq2[ID_Pedido],'2.C_Datos'!A152)+
COUNTIFS(TablaMaq3[Componente],Tabla19[[#This Row],[Comp1]],TablaMaq3[ID_Pedido],'2.C_Datos'!A152)+
COUNTIFS(TablaMaq4[Componente],Tabla19[[#This Row],[Comp1]],TablaMaq4[ID_Pedido],'2.C_Datos'!A152))</f>
        <v/>
      </c>
      <c r="K152" s="99" t="str">
        <f>IF(Tabla19[[#This Row],[Comp2]]="","",COUNTIFS(TablaMaq1[Componente],Tabla19[[#This Row],[Comp2]],TablaMaq1[ID_Pedido],'2.C_Datos'!A152)+
COUNTIFS(TablaMaq2[Componente],Tabla19[[#This Row],[Comp2]],TablaMaq2[ID_Pedido],'2.C_Datos'!A152)+
COUNTIFS(TablaMaq3[Componente],Tabla19[[#This Row],[Comp2]],TablaMaq3[ID_Pedido],'2.C_Datos'!A152)+
COUNTIFS(TablaMaq4[Componente],Tabla19[[#This Row],[Comp2]],TablaMaq4[ID_Pedido],'2.C_Datos'!A152))</f>
        <v/>
      </c>
      <c r="L152" s="99" t="str">
        <f>IF(Tabla19[[#This Row],[Comp3]]="","",COUNTIFS(TablaMaq1[Componente],Tabla19[[#This Row],[Comp3]],TablaMaq1[ID_Pedido],'2.C_Datos'!A152)+
COUNTIFS(TablaMaq2[Componente],Tabla19[[#This Row],[Comp3]],TablaMaq2[ID_Pedido],'2.C_Datos'!A152)+
COUNTIFS(TablaMaq3[Componente],Tabla19[[#This Row],[Comp3]],TablaMaq3[ID_Pedido],'2.C_Datos'!A152)+
COUNTIFS(TablaMaq4[Componente],Tabla19[[#This Row],[Comp3]],TablaMaq4[ID_Pedido],'2.C_Datos'!A152))</f>
        <v/>
      </c>
      <c r="M152" s="99" t="str">
        <f>IF(Tabla19[[#This Row],[Comp4]]="","",COUNTIFS(TablaMaq1[Componente],Tabla19[[#This Row],[Comp4]],TablaMaq1[ID_Pedido],'2.C_Datos'!A152)+
COUNTIFS(TablaMaq2[Componente],Tabla19[[#This Row],[Comp4]],TablaMaq2[ID_Pedido],'2.C_Datos'!A152)+
COUNTIFS(TablaMaq3[Componente],Tabla19[[#This Row],[Comp4]],TablaMaq3[ID_Pedido],'2.C_Datos'!A152)+
COUNTIFS(TablaMaq4[Componente],Tabla19[[#This Row],[Comp4]],TablaMaq4[ID_Pedido],'2.C_Datos'!A152))</f>
        <v/>
      </c>
      <c r="N152" s="99" t="str">
        <f>IF(Tabla19[[#This Row],[Comp5]]="","",COUNTIFS(TablaMaq1[Componente],Tabla19[[#This Row],[Comp5]],TablaMaq1[ID_Pedido],'2.C_Datos'!A152)+
COUNTIFS(TablaMaq1[Componente],Tabla19[[#This Row],[Comp5]],TablaMaq2[ID_Pedido],'2.C_Datos'!A152)+
COUNTIFS(TablaMaq1[Componente],Tabla19[[#This Row],[Comp5]],TablaMaq3[ID_Pedido],'2.C_Datos'!A152)+
COUNTIFS(TablaMaq1[Componente],Tabla19[[#This Row],[Comp5]],TablaMaq4[ID_Pedido],'2.C_Datos'!A152))</f>
        <v/>
      </c>
      <c r="O152" s="85" t="str">
        <f>IF(Tabla19[[#This Row],[Comp1]]="","",
IF(IF(Tabla19[[#This Row],[Comp1]]=0,0,1)*$D152-Tabla19[[#This Row],[Asign1]]=0,0,Tabla19[[#This Row],[Comp1]]))</f>
        <v/>
      </c>
      <c r="P152" s="85" t="str">
        <f>IF(Tabla19[[#This Row],[Comp2]]="","",
IF(IF(Tabla19[[#This Row],[Comp2]]=0,0,1)*$D152-Tabla19[[#This Row],[Asign2]]=0,0,Tabla19[[#This Row],[Comp2]]))</f>
        <v/>
      </c>
      <c r="Q152" s="85" t="str">
        <f>IF(Tabla19[[#This Row],[Comp3]]="","",
IF(IF(Tabla19[[#This Row],[Comp3]]=0,0,1)*$D152-Tabla19[[#This Row],[Asign3]]=0,0,Tabla19[[#This Row],[Comp3]]))</f>
        <v/>
      </c>
      <c r="R152" s="85" t="str">
        <f>IF(Tabla19[[#This Row],[Comp4]]="","",
IF(IF(Tabla19[[#This Row],[Comp4]]=0,0,1)*$D152-Tabla19[[#This Row],[Asign4]]=0,0,Tabla19[[#This Row],[Comp4]]))</f>
        <v/>
      </c>
      <c r="S152" s="85" t="str">
        <f>IF(Tabla19[[#This Row],[Comp5]]="","",
IF(IF(Tabla19[[#This Row],[Comp5]]=0,0,1)*$D152-Tabla19[[#This Row],[Asign5]]=0,0,Tabla19[[#This Row],[Comp5]]))</f>
        <v/>
      </c>
    </row>
    <row r="153" spans="5:19" x14ac:dyDescent="0.3">
      <c r="E153" s="99" t="str">
        <f>IF($A153="","",INDEX(ListadoProductos[],MATCH('2.C_Datos'!$C153,ListadoProductos[Productos],0),MATCH('2.C_Datos'!E$3,ListadoProductos[#Headers],0)))</f>
        <v/>
      </c>
      <c r="F153" s="99" t="str">
        <f>IF($A153="","",INDEX(ListadoProductos[],MATCH('2.C_Datos'!$C153,ListadoProductos[Productos],0),MATCH('2.C_Datos'!F$3,ListadoProductos[#Headers],0)))</f>
        <v/>
      </c>
      <c r="G153" s="99" t="str">
        <f>IF($A153="","",INDEX(ListadoProductos[],MATCH('2.C_Datos'!$C153,ListadoProductos[Productos],0),MATCH('2.C_Datos'!G$3,ListadoProductos[#Headers],0)))</f>
        <v/>
      </c>
      <c r="H153" s="99" t="str">
        <f>IF($A153="","",INDEX(ListadoProductos[],MATCH('2.C_Datos'!$C153,ListadoProductos[Productos],0),MATCH('2.C_Datos'!H$3,ListadoProductos[#Headers],0)))</f>
        <v/>
      </c>
      <c r="I153" s="99" t="str">
        <f>IF($A153="","",INDEX(ListadoProductos[],MATCH('2.C_Datos'!$C153,ListadoProductos[Productos],0),MATCH('2.C_Datos'!I$3,ListadoProductos[#Headers],0)))</f>
        <v/>
      </c>
      <c r="J153" s="99" t="str">
        <f>IF(Tabla19[[#This Row],[Comp1]]="","",COUNTIFS(TablaMaq1[Componente],Tabla19[[#This Row],[Comp1]],TablaMaq1[ID_Pedido],'2.C_Datos'!A153)+
COUNTIFS(TablaMaq2[Componente],Tabla19[[#This Row],[Comp1]],TablaMaq2[ID_Pedido],'2.C_Datos'!A153)+
COUNTIFS(TablaMaq3[Componente],Tabla19[[#This Row],[Comp1]],TablaMaq3[ID_Pedido],'2.C_Datos'!A153)+
COUNTIFS(TablaMaq4[Componente],Tabla19[[#This Row],[Comp1]],TablaMaq4[ID_Pedido],'2.C_Datos'!A153))</f>
        <v/>
      </c>
      <c r="K153" s="99" t="str">
        <f>IF(Tabla19[[#This Row],[Comp2]]="","",COUNTIFS(TablaMaq1[Componente],Tabla19[[#This Row],[Comp2]],TablaMaq1[ID_Pedido],'2.C_Datos'!A153)+
COUNTIFS(TablaMaq2[Componente],Tabla19[[#This Row],[Comp2]],TablaMaq2[ID_Pedido],'2.C_Datos'!A153)+
COUNTIFS(TablaMaq3[Componente],Tabla19[[#This Row],[Comp2]],TablaMaq3[ID_Pedido],'2.C_Datos'!A153)+
COUNTIFS(TablaMaq4[Componente],Tabla19[[#This Row],[Comp2]],TablaMaq4[ID_Pedido],'2.C_Datos'!A153))</f>
        <v/>
      </c>
      <c r="L153" s="99" t="str">
        <f>IF(Tabla19[[#This Row],[Comp3]]="","",COUNTIFS(TablaMaq1[Componente],Tabla19[[#This Row],[Comp3]],TablaMaq1[ID_Pedido],'2.C_Datos'!A153)+
COUNTIFS(TablaMaq2[Componente],Tabla19[[#This Row],[Comp3]],TablaMaq2[ID_Pedido],'2.C_Datos'!A153)+
COUNTIFS(TablaMaq3[Componente],Tabla19[[#This Row],[Comp3]],TablaMaq3[ID_Pedido],'2.C_Datos'!A153)+
COUNTIFS(TablaMaq4[Componente],Tabla19[[#This Row],[Comp3]],TablaMaq4[ID_Pedido],'2.C_Datos'!A153))</f>
        <v/>
      </c>
      <c r="M153" s="99" t="str">
        <f>IF(Tabla19[[#This Row],[Comp4]]="","",COUNTIFS(TablaMaq1[Componente],Tabla19[[#This Row],[Comp4]],TablaMaq1[ID_Pedido],'2.C_Datos'!A153)+
COUNTIFS(TablaMaq2[Componente],Tabla19[[#This Row],[Comp4]],TablaMaq2[ID_Pedido],'2.C_Datos'!A153)+
COUNTIFS(TablaMaq3[Componente],Tabla19[[#This Row],[Comp4]],TablaMaq3[ID_Pedido],'2.C_Datos'!A153)+
COUNTIFS(TablaMaq4[Componente],Tabla19[[#This Row],[Comp4]],TablaMaq4[ID_Pedido],'2.C_Datos'!A153))</f>
        <v/>
      </c>
      <c r="N153" s="99" t="str">
        <f>IF(Tabla19[[#This Row],[Comp5]]="","",COUNTIFS(TablaMaq1[Componente],Tabla19[[#This Row],[Comp5]],TablaMaq1[ID_Pedido],'2.C_Datos'!A153)+
COUNTIFS(TablaMaq1[Componente],Tabla19[[#This Row],[Comp5]],TablaMaq2[ID_Pedido],'2.C_Datos'!A153)+
COUNTIFS(TablaMaq1[Componente],Tabla19[[#This Row],[Comp5]],TablaMaq3[ID_Pedido],'2.C_Datos'!A153)+
COUNTIFS(TablaMaq1[Componente],Tabla19[[#This Row],[Comp5]],TablaMaq4[ID_Pedido],'2.C_Datos'!A153))</f>
        <v/>
      </c>
      <c r="O153" s="85" t="str">
        <f>IF(Tabla19[[#This Row],[Comp1]]="","",
IF(IF(Tabla19[[#This Row],[Comp1]]=0,0,1)*$D153-Tabla19[[#This Row],[Asign1]]=0,0,Tabla19[[#This Row],[Comp1]]))</f>
        <v/>
      </c>
      <c r="P153" s="85" t="str">
        <f>IF(Tabla19[[#This Row],[Comp2]]="","",
IF(IF(Tabla19[[#This Row],[Comp2]]=0,0,1)*$D153-Tabla19[[#This Row],[Asign2]]=0,0,Tabla19[[#This Row],[Comp2]]))</f>
        <v/>
      </c>
      <c r="Q153" s="85" t="str">
        <f>IF(Tabla19[[#This Row],[Comp3]]="","",
IF(IF(Tabla19[[#This Row],[Comp3]]=0,0,1)*$D153-Tabla19[[#This Row],[Asign3]]=0,0,Tabla19[[#This Row],[Comp3]]))</f>
        <v/>
      </c>
      <c r="R153" s="85" t="str">
        <f>IF(Tabla19[[#This Row],[Comp4]]="","",
IF(IF(Tabla19[[#This Row],[Comp4]]=0,0,1)*$D153-Tabla19[[#This Row],[Asign4]]=0,0,Tabla19[[#This Row],[Comp4]]))</f>
        <v/>
      </c>
      <c r="S153" s="85" t="str">
        <f>IF(Tabla19[[#This Row],[Comp5]]="","",
IF(IF(Tabla19[[#This Row],[Comp5]]=0,0,1)*$D153-Tabla19[[#This Row],[Asign5]]=0,0,Tabla19[[#This Row],[Comp5]]))</f>
        <v/>
      </c>
    </row>
    <row r="154" spans="5:19" x14ac:dyDescent="0.3">
      <c r="E154" s="99" t="str">
        <f>IF($A154="","",INDEX(ListadoProductos[],MATCH('2.C_Datos'!$C154,ListadoProductos[Productos],0),MATCH('2.C_Datos'!E$3,ListadoProductos[#Headers],0)))</f>
        <v/>
      </c>
      <c r="F154" s="99" t="str">
        <f>IF($A154="","",INDEX(ListadoProductos[],MATCH('2.C_Datos'!$C154,ListadoProductos[Productos],0),MATCH('2.C_Datos'!F$3,ListadoProductos[#Headers],0)))</f>
        <v/>
      </c>
      <c r="G154" s="99" t="str">
        <f>IF($A154="","",INDEX(ListadoProductos[],MATCH('2.C_Datos'!$C154,ListadoProductos[Productos],0),MATCH('2.C_Datos'!G$3,ListadoProductos[#Headers],0)))</f>
        <v/>
      </c>
      <c r="H154" s="99" t="str">
        <f>IF($A154="","",INDEX(ListadoProductos[],MATCH('2.C_Datos'!$C154,ListadoProductos[Productos],0),MATCH('2.C_Datos'!H$3,ListadoProductos[#Headers],0)))</f>
        <v/>
      </c>
      <c r="I154" s="99" t="str">
        <f>IF($A154="","",INDEX(ListadoProductos[],MATCH('2.C_Datos'!$C154,ListadoProductos[Productos],0),MATCH('2.C_Datos'!I$3,ListadoProductos[#Headers],0)))</f>
        <v/>
      </c>
      <c r="J154" s="99" t="str">
        <f>IF(Tabla19[[#This Row],[Comp1]]="","",COUNTIFS(TablaMaq1[Componente],Tabla19[[#This Row],[Comp1]],TablaMaq1[ID_Pedido],'2.C_Datos'!A154)+
COUNTIFS(TablaMaq2[Componente],Tabla19[[#This Row],[Comp1]],TablaMaq2[ID_Pedido],'2.C_Datos'!A154)+
COUNTIFS(TablaMaq3[Componente],Tabla19[[#This Row],[Comp1]],TablaMaq3[ID_Pedido],'2.C_Datos'!A154)+
COUNTIFS(TablaMaq4[Componente],Tabla19[[#This Row],[Comp1]],TablaMaq4[ID_Pedido],'2.C_Datos'!A154))</f>
        <v/>
      </c>
      <c r="K154" s="99" t="str">
        <f>IF(Tabla19[[#This Row],[Comp2]]="","",COUNTIFS(TablaMaq1[Componente],Tabla19[[#This Row],[Comp2]],TablaMaq1[ID_Pedido],'2.C_Datos'!A154)+
COUNTIFS(TablaMaq2[Componente],Tabla19[[#This Row],[Comp2]],TablaMaq2[ID_Pedido],'2.C_Datos'!A154)+
COUNTIFS(TablaMaq3[Componente],Tabla19[[#This Row],[Comp2]],TablaMaq3[ID_Pedido],'2.C_Datos'!A154)+
COUNTIFS(TablaMaq4[Componente],Tabla19[[#This Row],[Comp2]],TablaMaq4[ID_Pedido],'2.C_Datos'!A154))</f>
        <v/>
      </c>
      <c r="L154" s="99" t="str">
        <f>IF(Tabla19[[#This Row],[Comp3]]="","",COUNTIFS(TablaMaq1[Componente],Tabla19[[#This Row],[Comp3]],TablaMaq1[ID_Pedido],'2.C_Datos'!A154)+
COUNTIFS(TablaMaq2[Componente],Tabla19[[#This Row],[Comp3]],TablaMaq2[ID_Pedido],'2.C_Datos'!A154)+
COUNTIFS(TablaMaq3[Componente],Tabla19[[#This Row],[Comp3]],TablaMaq3[ID_Pedido],'2.C_Datos'!A154)+
COUNTIFS(TablaMaq4[Componente],Tabla19[[#This Row],[Comp3]],TablaMaq4[ID_Pedido],'2.C_Datos'!A154))</f>
        <v/>
      </c>
      <c r="M154" s="99" t="str">
        <f>IF(Tabla19[[#This Row],[Comp4]]="","",COUNTIFS(TablaMaq1[Componente],Tabla19[[#This Row],[Comp4]],TablaMaq1[ID_Pedido],'2.C_Datos'!A154)+
COUNTIFS(TablaMaq2[Componente],Tabla19[[#This Row],[Comp4]],TablaMaq2[ID_Pedido],'2.C_Datos'!A154)+
COUNTIFS(TablaMaq3[Componente],Tabla19[[#This Row],[Comp4]],TablaMaq3[ID_Pedido],'2.C_Datos'!A154)+
COUNTIFS(TablaMaq4[Componente],Tabla19[[#This Row],[Comp4]],TablaMaq4[ID_Pedido],'2.C_Datos'!A154))</f>
        <v/>
      </c>
      <c r="N154" s="99" t="str">
        <f>IF(Tabla19[[#This Row],[Comp5]]="","",COUNTIFS(TablaMaq1[Componente],Tabla19[[#This Row],[Comp5]],TablaMaq1[ID_Pedido],'2.C_Datos'!A154)+
COUNTIFS(TablaMaq1[Componente],Tabla19[[#This Row],[Comp5]],TablaMaq2[ID_Pedido],'2.C_Datos'!A154)+
COUNTIFS(TablaMaq1[Componente],Tabla19[[#This Row],[Comp5]],TablaMaq3[ID_Pedido],'2.C_Datos'!A154)+
COUNTIFS(TablaMaq1[Componente],Tabla19[[#This Row],[Comp5]],TablaMaq4[ID_Pedido],'2.C_Datos'!A154))</f>
        <v/>
      </c>
      <c r="O154" s="85" t="str">
        <f>IF(Tabla19[[#This Row],[Comp1]]="","",
IF(IF(Tabla19[[#This Row],[Comp1]]=0,0,1)*$D154-Tabla19[[#This Row],[Asign1]]=0,0,Tabla19[[#This Row],[Comp1]]))</f>
        <v/>
      </c>
      <c r="P154" s="85" t="str">
        <f>IF(Tabla19[[#This Row],[Comp2]]="","",
IF(IF(Tabla19[[#This Row],[Comp2]]=0,0,1)*$D154-Tabla19[[#This Row],[Asign2]]=0,0,Tabla19[[#This Row],[Comp2]]))</f>
        <v/>
      </c>
      <c r="Q154" s="85" t="str">
        <f>IF(Tabla19[[#This Row],[Comp3]]="","",
IF(IF(Tabla19[[#This Row],[Comp3]]=0,0,1)*$D154-Tabla19[[#This Row],[Asign3]]=0,0,Tabla19[[#This Row],[Comp3]]))</f>
        <v/>
      </c>
      <c r="R154" s="85" t="str">
        <f>IF(Tabla19[[#This Row],[Comp4]]="","",
IF(IF(Tabla19[[#This Row],[Comp4]]=0,0,1)*$D154-Tabla19[[#This Row],[Asign4]]=0,0,Tabla19[[#This Row],[Comp4]]))</f>
        <v/>
      </c>
      <c r="S154" s="85" t="str">
        <f>IF(Tabla19[[#This Row],[Comp5]]="","",
IF(IF(Tabla19[[#This Row],[Comp5]]=0,0,1)*$D154-Tabla19[[#This Row],[Asign5]]=0,0,Tabla19[[#This Row],[Comp5]]))</f>
        <v/>
      </c>
    </row>
    <row r="155" spans="5:19" x14ac:dyDescent="0.3">
      <c r="E155" s="99" t="str">
        <f>IF($A155="","",INDEX(ListadoProductos[],MATCH('2.C_Datos'!$C155,ListadoProductos[Productos],0),MATCH('2.C_Datos'!E$3,ListadoProductos[#Headers],0)))</f>
        <v/>
      </c>
      <c r="F155" s="99" t="str">
        <f>IF($A155="","",INDEX(ListadoProductos[],MATCH('2.C_Datos'!$C155,ListadoProductos[Productos],0),MATCH('2.C_Datos'!F$3,ListadoProductos[#Headers],0)))</f>
        <v/>
      </c>
      <c r="G155" s="99" t="str">
        <f>IF($A155="","",INDEX(ListadoProductos[],MATCH('2.C_Datos'!$C155,ListadoProductos[Productos],0),MATCH('2.C_Datos'!G$3,ListadoProductos[#Headers],0)))</f>
        <v/>
      </c>
      <c r="H155" s="99" t="str">
        <f>IF($A155="","",INDEX(ListadoProductos[],MATCH('2.C_Datos'!$C155,ListadoProductos[Productos],0),MATCH('2.C_Datos'!H$3,ListadoProductos[#Headers],0)))</f>
        <v/>
      </c>
      <c r="I155" s="99" t="str">
        <f>IF($A155="","",INDEX(ListadoProductos[],MATCH('2.C_Datos'!$C155,ListadoProductos[Productos],0),MATCH('2.C_Datos'!I$3,ListadoProductos[#Headers],0)))</f>
        <v/>
      </c>
      <c r="J155" s="99" t="str">
        <f>IF(Tabla19[[#This Row],[Comp1]]="","",COUNTIFS(TablaMaq1[Componente],Tabla19[[#This Row],[Comp1]],TablaMaq1[ID_Pedido],'2.C_Datos'!A155)+
COUNTIFS(TablaMaq2[Componente],Tabla19[[#This Row],[Comp1]],TablaMaq2[ID_Pedido],'2.C_Datos'!A155)+
COUNTIFS(TablaMaq3[Componente],Tabla19[[#This Row],[Comp1]],TablaMaq3[ID_Pedido],'2.C_Datos'!A155)+
COUNTIFS(TablaMaq4[Componente],Tabla19[[#This Row],[Comp1]],TablaMaq4[ID_Pedido],'2.C_Datos'!A155))</f>
        <v/>
      </c>
      <c r="K155" s="99" t="str">
        <f>IF(Tabla19[[#This Row],[Comp2]]="","",COUNTIFS(TablaMaq1[Componente],Tabla19[[#This Row],[Comp2]],TablaMaq1[ID_Pedido],'2.C_Datos'!A155)+
COUNTIFS(TablaMaq2[Componente],Tabla19[[#This Row],[Comp2]],TablaMaq2[ID_Pedido],'2.C_Datos'!A155)+
COUNTIFS(TablaMaq3[Componente],Tabla19[[#This Row],[Comp2]],TablaMaq3[ID_Pedido],'2.C_Datos'!A155)+
COUNTIFS(TablaMaq4[Componente],Tabla19[[#This Row],[Comp2]],TablaMaq4[ID_Pedido],'2.C_Datos'!A155))</f>
        <v/>
      </c>
      <c r="L155" s="99" t="str">
        <f>IF(Tabla19[[#This Row],[Comp3]]="","",COUNTIFS(TablaMaq1[Componente],Tabla19[[#This Row],[Comp3]],TablaMaq1[ID_Pedido],'2.C_Datos'!A155)+
COUNTIFS(TablaMaq2[Componente],Tabla19[[#This Row],[Comp3]],TablaMaq2[ID_Pedido],'2.C_Datos'!A155)+
COUNTIFS(TablaMaq3[Componente],Tabla19[[#This Row],[Comp3]],TablaMaq3[ID_Pedido],'2.C_Datos'!A155)+
COUNTIFS(TablaMaq4[Componente],Tabla19[[#This Row],[Comp3]],TablaMaq4[ID_Pedido],'2.C_Datos'!A155))</f>
        <v/>
      </c>
      <c r="M155" s="99" t="str">
        <f>IF(Tabla19[[#This Row],[Comp4]]="","",COUNTIFS(TablaMaq1[Componente],Tabla19[[#This Row],[Comp4]],TablaMaq1[ID_Pedido],'2.C_Datos'!A155)+
COUNTIFS(TablaMaq2[Componente],Tabla19[[#This Row],[Comp4]],TablaMaq2[ID_Pedido],'2.C_Datos'!A155)+
COUNTIFS(TablaMaq3[Componente],Tabla19[[#This Row],[Comp4]],TablaMaq3[ID_Pedido],'2.C_Datos'!A155)+
COUNTIFS(TablaMaq4[Componente],Tabla19[[#This Row],[Comp4]],TablaMaq4[ID_Pedido],'2.C_Datos'!A155))</f>
        <v/>
      </c>
      <c r="N155" s="99" t="str">
        <f>IF(Tabla19[[#This Row],[Comp5]]="","",COUNTIFS(TablaMaq1[Componente],Tabla19[[#This Row],[Comp5]],TablaMaq1[ID_Pedido],'2.C_Datos'!A155)+
COUNTIFS(TablaMaq1[Componente],Tabla19[[#This Row],[Comp5]],TablaMaq2[ID_Pedido],'2.C_Datos'!A155)+
COUNTIFS(TablaMaq1[Componente],Tabla19[[#This Row],[Comp5]],TablaMaq3[ID_Pedido],'2.C_Datos'!A155)+
COUNTIFS(TablaMaq1[Componente],Tabla19[[#This Row],[Comp5]],TablaMaq4[ID_Pedido],'2.C_Datos'!A155))</f>
        <v/>
      </c>
      <c r="O155" s="85" t="str">
        <f>IF(Tabla19[[#This Row],[Comp1]]="","",
IF(IF(Tabla19[[#This Row],[Comp1]]=0,0,1)*$D155-Tabla19[[#This Row],[Asign1]]=0,0,Tabla19[[#This Row],[Comp1]]))</f>
        <v/>
      </c>
      <c r="P155" s="85" t="str">
        <f>IF(Tabla19[[#This Row],[Comp2]]="","",
IF(IF(Tabla19[[#This Row],[Comp2]]=0,0,1)*$D155-Tabla19[[#This Row],[Asign2]]=0,0,Tabla19[[#This Row],[Comp2]]))</f>
        <v/>
      </c>
      <c r="Q155" s="85" t="str">
        <f>IF(Tabla19[[#This Row],[Comp3]]="","",
IF(IF(Tabla19[[#This Row],[Comp3]]=0,0,1)*$D155-Tabla19[[#This Row],[Asign3]]=0,0,Tabla19[[#This Row],[Comp3]]))</f>
        <v/>
      </c>
      <c r="R155" s="85" t="str">
        <f>IF(Tabla19[[#This Row],[Comp4]]="","",
IF(IF(Tabla19[[#This Row],[Comp4]]=0,0,1)*$D155-Tabla19[[#This Row],[Asign4]]=0,0,Tabla19[[#This Row],[Comp4]]))</f>
        <v/>
      </c>
      <c r="S155" s="85" t="str">
        <f>IF(Tabla19[[#This Row],[Comp5]]="","",
IF(IF(Tabla19[[#This Row],[Comp5]]=0,0,1)*$D155-Tabla19[[#This Row],[Asign5]]=0,0,Tabla19[[#This Row],[Comp5]]))</f>
        <v/>
      </c>
    </row>
    <row r="156" spans="5:19" x14ac:dyDescent="0.3">
      <c r="E156" s="99" t="str">
        <f>IF($A156="","",INDEX(ListadoProductos[],MATCH('2.C_Datos'!$C156,ListadoProductos[Productos],0),MATCH('2.C_Datos'!E$3,ListadoProductos[#Headers],0)))</f>
        <v/>
      </c>
      <c r="F156" s="99" t="str">
        <f>IF($A156="","",INDEX(ListadoProductos[],MATCH('2.C_Datos'!$C156,ListadoProductos[Productos],0),MATCH('2.C_Datos'!F$3,ListadoProductos[#Headers],0)))</f>
        <v/>
      </c>
      <c r="G156" s="99" t="str">
        <f>IF($A156="","",INDEX(ListadoProductos[],MATCH('2.C_Datos'!$C156,ListadoProductos[Productos],0),MATCH('2.C_Datos'!G$3,ListadoProductos[#Headers],0)))</f>
        <v/>
      </c>
      <c r="H156" s="99" t="str">
        <f>IF($A156="","",INDEX(ListadoProductos[],MATCH('2.C_Datos'!$C156,ListadoProductos[Productos],0),MATCH('2.C_Datos'!H$3,ListadoProductos[#Headers],0)))</f>
        <v/>
      </c>
      <c r="I156" s="99" t="str">
        <f>IF($A156="","",INDEX(ListadoProductos[],MATCH('2.C_Datos'!$C156,ListadoProductos[Productos],0),MATCH('2.C_Datos'!I$3,ListadoProductos[#Headers],0)))</f>
        <v/>
      </c>
      <c r="J156" s="99" t="str">
        <f>IF(Tabla19[[#This Row],[Comp1]]="","",COUNTIFS(TablaMaq1[Componente],Tabla19[[#This Row],[Comp1]],TablaMaq1[ID_Pedido],'2.C_Datos'!A156)+
COUNTIFS(TablaMaq2[Componente],Tabla19[[#This Row],[Comp1]],TablaMaq2[ID_Pedido],'2.C_Datos'!A156)+
COUNTIFS(TablaMaq3[Componente],Tabla19[[#This Row],[Comp1]],TablaMaq3[ID_Pedido],'2.C_Datos'!A156)+
COUNTIFS(TablaMaq4[Componente],Tabla19[[#This Row],[Comp1]],TablaMaq4[ID_Pedido],'2.C_Datos'!A156))</f>
        <v/>
      </c>
      <c r="K156" s="99" t="str">
        <f>IF(Tabla19[[#This Row],[Comp2]]="","",COUNTIFS(TablaMaq1[Componente],Tabla19[[#This Row],[Comp2]],TablaMaq1[ID_Pedido],'2.C_Datos'!A156)+
COUNTIFS(TablaMaq2[Componente],Tabla19[[#This Row],[Comp2]],TablaMaq2[ID_Pedido],'2.C_Datos'!A156)+
COUNTIFS(TablaMaq3[Componente],Tabla19[[#This Row],[Comp2]],TablaMaq3[ID_Pedido],'2.C_Datos'!A156)+
COUNTIFS(TablaMaq4[Componente],Tabla19[[#This Row],[Comp2]],TablaMaq4[ID_Pedido],'2.C_Datos'!A156))</f>
        <v/>
      </c>
      <c r="L156" s="99" t="str">
        <f>IF(Tabla19[[#This Row],[Comp3]]="","",COUNTIFS(TablaMaq1[Componente],Tabla19[[#This Row],[Comp3]],TablaMaq1[ID_Pedido],'2.C_Datos'!A156)+
COUNTIFS(TablaMaq2[Componente],Tabla19[[#This Row],[Comp3]],TablaMaq2[ID_Pedido],'2.C_Datos'!A156)+
COUNTIFS(TablaMaq3[Componente],Tabla19[[#This Row],[Comp3]],TablaMaq3[ID_Pedido],'2.C_Datos'!A156)+
COUNTIFS(TablaMaq4[Componente],Tabla19[[#This Row],[Comp3]],TablaMaq4[ID_Pedido],'2.C_Datos'!A156))</f>
        <v/>
      </c>
      <c r="M156" s="99" t="str">
        <f>IF(Tabla19[[#This Row],[Comp4]]="","",COUNTIFS(TablaMaq1[Componente],Tabla19[[#This Row],[Comp4]],TablaMaq1[ID_Pedido],'2.C_Datos'!A156)+
COUNTIFS(TablaMaq2[Componente],Tabla19[[#This Row],[Comp4]],TablaMaq2[ID_Pedido],'2.C_Datos'!A156)+
COUNTIFS(TablaMaq3[Componente],Tabla19[[#This Row],[Comp4]],TablaMaq3[ID_Pedido],'2.C_Datos'!A156)+
COUNTIFS(TablaMaq4[Componente],Tabla19[[#This Row],[Comp4]],TablaMaq4[ID_Pedido],'2.C_Datos'!A156))</f>
        <v/>
      </c>
      <c r="N156" s="99" t="str">
        <f>IF(Tabla19[[#This Row],[Comp5]]="","",COUNTIFS(TablaMaq1[Componente],Tabla19[[#This Row],[Comp5]],TablaMaq1[ID_Pedido],'2.C_Datos'!A156)+
COUNTIFS(TablaMaq1[Componente],Tabla19[[#This Row],[Comp5]],TablaMaq2[ID_Pedido],'2.C_Datos'!A156)+
COUNTIFS(TablaMaq1[Componente],Tabla19[[#This Row],[Comp5]],TablaMaq3[ID_Pedido],'2.C_Datos'!A156)+
COUNTIFS(TablaMaq1[Componente],Tabla19[[#This Row],[Comp5]],TablaMaq4[ID_Pedido],'2.C_Datos'!A156))</f>
        <v/>
      </c>
      <c r="O156" s="85" t="str">
        <f>IF(Tabla19[[#This Row],[Comp1]]="","",
IF(IF(Tabla19[[#This Row],[Comp1]]=0,0,1)*$D156-Tabla19[[#This Row],[Asign1]]=0,0,Tabla19[[#This Row],[Comp1]]))</f>
        <v/>
      </c>
      <c r="P156" s="85" t="str">
        <f>IF(Tabla19[[#This Row],[Comp2]]="","",
IF(IF(Tabla19[[#This Row],[Comp2]]=0,0,1)*$D156-Tabla19[[#This Row],[Asign2]]=0,0,Tabla19[[#This Row],[Comp2]]))</f>
        <v/>
      </c>
      <c r="Q156" s="85" t="str">
        <f>IF(Tabla19[[#This Row],[Comp3]]="","",
IF(IF(Tabla19[[#This Row],[Comp3]]=0,0,1)*$D156-Tabla19[[#This Row],[Asign3]]=0,0,Tabla19[[#This Row],[Comp3]]))</f>
        <v/>
      </c>
      <c r="R156" s="85" t="str">
        <f>IF(Tabla19[[#This Row],[Comp4]]="","",
IF(IF(Tabla19[[#This Row],[Comp4]]=0,0,1)*$D156-Tabla19[[#This Row],[Asign4]]=0,0,Tabla19[[#This Row],[Comp4]]))</f>
        <v/>
      </c>
      <c r="S156" s="85" t="str">
        <f>IF(Tabla19[[#This Row],[Comp5]]="","",
IF(IF(Tabla19[[#This Row],[Comp5]]=0,0,1)*$D156-Tabla19[[#This Row],[Asign5]]=0,0,Tabla19[[#This Row],[Comp5]]))</f>
        <v/>
      </c>
    </row>
    <row r="157" spans="5:19" x14ac:dyDescent="0.3">
      <c r="E157" s="99" t="str">
        <f>IF($A157="","",INDEX(ListadoProductos[],MATCH('2.C_Datos'!$C157,ListadoProductos[Productos],0),MATCH('2.C_Datos'!E$3,ListadoProductos[#Headers],0)))</f>
        <v/>
      </c>
      <c r="F157" s="99" t="str">
        <f>IF($A157="","",INDEX(ListadoProductos[],MATCH('2.C_Datos'!$C157,ListadoProductos[Productos],0),MATCH('2.C_Datos'!F$3,ListadoProductos[#Headers],0)))</f>
        <v/>
      </c>
      <c r="G157" s="99" t="str">
        <f>IF($A157="","",INDEX(ListadoProductos[],MATCH('2.C_Datos'!$C157,ListadoProductos[Productos],0),MATCH('2.C_Datos'!G$3,ListadoProductos[#Headers],0)))</f>
        <v/>
      </c>
      <c r="H157" s="99" t="str">
        <f>IF($A157="","",INDEX(ListadoProductos[],MATCH('2.C_Datos'!$C157,ListadoProductos[Productos],0),MATCH('2.C_Datos'!H$3,ListadoProductos[#Headers],0)))</f>
        <v/>
      </c>
      <c r="I157" s="99" t="str">
        <f>IF($A157="","",INDEX(ListadoProductos[],MATCH('2.C_Datos'!$C157,ListadoProductos[Productos],0),MATCH('2.C_Datos'!I$3,ListadoProductos[#Headers],0)))</f>
        <v/>
      </c>
      <c r="J157" s="99" t="str">
        <f>IF(Tabla19[[#This Row],[Comp1]]="","",COUNTIFS(TablaMaq1[Componente],Tabla19[[#This Row],[Comp1]],TablaMaq1[ID_Pedido],'2.C_Datos'!A157)+
COUNTIFS(TablaMaq2[Componente],Tabla19[[#This Row],[Comp1]],TablaMaq2[ID_Pedido],'2.C_Datos'!A157)+
COUNTIFS(TablaMaq3[Componente],Tabla19[[#This Row],[Comp1]],TablaMaq3[ID_Pedido],'2.C_Datos'!A157)+
COUNTIFS(TablaMaq4[Componente],Tabla19[[#This Row],[Comp1]],TablaMaq4[ID_Pedido],'2.C_Datos'!A157))</f>
        <v/>
      </c>
      <c r="K157" s="99" t="str">
        <f>IF(Tabla19[[#This Row],[Comp2]]="","",COUNTIFS(TablaMaq1[Componente],Tabla19[[#This Row],[Comp2]],TablaMaq1[ID_Pedido],'2.C_Datos'!A157)+
COUNTIFS(TablaMaq2[Componente],Tabla19[[#This Row],[Comp2]],TablaMaq2[ID_Pedido],'2.C_Datos'!A157)+
COUNTIFS(TablaMaq3[Componente],Tabla19[[#This Row],[Comp2]],TablaMaq3[ID_Pedido],'2.C_Datos'!A157)+
COUNTIFS(TablaMaq4[Componente],Tabla19[[#This Row],[Comp2]],TablaMaq4[ID_Pedido],'2.C_Datos'!A157))</f>
        <v/>
      </c>
      <c r="L157" s="99" t="str">
        <f>IF(Tabla19[[#This Row],[Comp3]]="","",COUNTIFS(TablaMaq1[Componente],Tabla19[[#This Row],[Comp3]],TablaMaq1[ID_Pedido],'2.C_Datos'!A157)+
COUNTIFS(TablaMaq2[Componente],Tabla19[[#This Row],[Comp3]],TablaMaq2[ID_Pedido],'2.C_Datos'!A157)+
COUNTIFS(TablaMaq3[Componente],Tabla19[[#This Row],[Comp3]],TablaMaq3[ID_Pedido],'2.C_Datos'!A157)+
COUNTIFS(TablaMaq4[Componente],Tabla19[[#This Row],[Comp3]],TablaMaq4[ID_Pedido],'2.C_Datos'!A157))</f>
        <v/>
      </c>
      <c r="M157" s="99" t="str">
        <f>IF(Tabla19[[#This Row],[Comp4]]="","",COUNTIFS(TablaMaq1[Componente],Tabla19[[#This Row],[Comp4]],TablaMaq1[ID_Pedido],'2.C_Datos'!A157)+
COUNTIFS(TablaMaq2[Componente],Tabla19[[#This Row],[Comp4]],TablaMaq2[ID_Pedido],'2.C_Datos'!A157)+
COUNTIFS(TablaMaq3[Componente],Tabla19[[#This Row],[Comp4]],TablaMaq3[ID_Pedido],'2.C_Datos'!A157)+
COUNTIFS(TablaMaq4[Componente],Tabla19[[#This Row],[Comp4]],TablaMaq4[ID_Pedido],'2.C_Datos'!A157))</f>
        <v/>
      </c>
      <c r="N157" s="99" t="str">
        <f>IF(Tabla19[[#This Row],[Comp5]]="","",COUNTIFS(TablaMaq1[Componente],Tabla19[[#This Row],[Comp5]],TablaMaq1[ID_Pedido],'2.C_Datos'!A157)+
COUNTIFS(TablaMaq1[Componente],Tabla19[[#This Row],[Comp5]],TablaMaq2[ID_Pedido],'2.C_Datos'!A157)+
COUNTIFS(TablaMaq1[Componente],Tabla19[[#This Row],[Comp5]],TablaMaq3[ID_Pedido],'2.C_Datos'!A157)+
COUNTIFS(TablaMaq1[Componente],Tabla19[[#This Row],[Comp5]],TablaMaq4[ID_Pedido],'2.C_Datos'!A157))</f>
        <v/>
      </c>
      <c r="O157" s="85" t="str">
        <f>IF(Tabla19[[#This Row],[Comp1]]="","",
IF(IF(Tabla19[[#This Row],[Comp1]]=0,0,1)*$D157-Tabla19[[#This Row],[Asign1]]=0,0,Tabla19[[#This Row],[Comp1]]))</f>
        <v/>
      </c>
      <c r="P157" s="85" t="str">
        <f>IF(Tabla19[[#This Row],[Comp2]]="","",
IF(IF(Tabla19[[#This Row],[Comp2]]=0,0,1)*$D157-Tabla19[[#This Row],[Asign2]]=0,0,Tabla19[[#This Row],[Comp2]]))</f>
        <v/>
      </c>
      <c r="Q157" s="85" t="str">
        <f>IF(Tabla19[[#This Row],[Comp3]]="","",
IF(IF(Tabla19[[#This Row],[Comp3]]=0,0,1)*$D157-Tabla19[[#This Row],[Asign3]]=0,0,Tabla19[[#This Row],[Comp3]]))</f>
        <v/>
      </c>
      <c r="R157" s="85" t="str">
        <f>IF(Tabla19[[#This Row],[Comp4]]="","",
IF(IF(Tabla19[[#This Row],[Comp4]]=0,0,1)*$D157-Tabla19[[#This Row],[Asign4]]=0,0,Tabla19[[#This Row],[Comp4]]))</f>
        <v/>
      </c>
      <c r="S157" s="85" t="str">
        <f>IF(Tabla19[[#This Row],[Comp5]]="","",
IF(IF(Tabla19[[#This Row],[Comp5]]=0,0,1)*$D157-Tabla19[[#This Row],[Asign5]]=0,0,Tabla19[[#This Row],[Comp5]]))</f>
        <v/>
      </c>
    </row>
    <row r="158" spans="5:19" x14ac:dyDescent="0.3">
      <c r="E158" s="99" t="str">
        <f>IF($A158="","",INDEX(ListadoProductos[],MATCH('2.C_Datos'!$C158,ListadoProductos[Productos],0),MATCH('2.C_Datos'!E$3,ListadoProductos[#Headers],0)))</f>
        <v/>
      </c>
      <c r="F158" s="99" t="str">
        <f>IF($A158="","",INDEX(ListadoProductos[],MATCH('2.C_Datos'!$C158,ListadoProductos[Productos],0),MATCH('2.C_Datos'!F$3,ListadoProductos[#Headers],0)))</f>
        <v/>
      </c>
      <c r="G158" s="99" t="str">
        <f>IF($A158="","",INDEX(ListadoProductos[],MATCH('2.C_Datos'!$C158,ListadoProductos[Productos],0),MATCH('2.C_Datos'!G$3,ListadoProductos[#Headers],0)))</f>
        <v/>
      </c>
      <c r="H158" s="99" t="str">
        <f>IF($A158="","",INDEX(ListadoProductos[],MATCH('2.C_Datos'!$C158,ListadoProductos[Productos],0),MATCH('2.C_Datos'!H$3,ListadoProductos[#Headers],0)))</f>
        <v/>
      </c>
      <c r="I158" s="99" t="str">
        <f>IF($A158="","",INDEX(ListadoProductos[],MATCH('2.C_Datos'!$C158,ListadoProductos[Productos],0),MATCH('2.C_Datos'!I$3,ListadoProductos[#Headers],0)))</f>
        <v/>
      </c>
      <c r="J158" s="99" t="str">
        <f>IF(Tabla19[[#This Row],[Comp1]]="","",COUNTIFS(TablaMaq1[Componente],Tabla19[[#This Row],[Comp1]],TablaMaq1[ID_Pedido],'2.C_Datos'!A158)+
COUNTIFS(TablaMaq2[Componente],Tabla19[[#This Row],[Comp1]],TablaMaq2[ID_Pedido],'2.C_Datos'!A158)+
COUNTIFS(TablaMaq3[Componente],Tabla19[[#This Row],[Comp1]],TablaMaq3[ID_Pedido],'2.C_Datos'!A158)+
COUNTIFS(TablaMaq4[Componente],Tabla19[[#This Row],[Comp1]],TablaMaq4[ID_Pedido],'2.C_Datos'!A158))</f>
        <v/>
      </c>
      <c r="K158" s="99" t="str">
        <f>IF(Tabla19[[#This Row],[Comp2]]="","",COUNTIFS(TablaMaq1[Componente],Tabla19[[#This Row],[Comp2]],TablaMaq1[ID_Pedido],'2.C_Datos'!A158)+
COUNTIFS(TablaMaq2[Componente],Tabla19[[#This Row],[Comp2]],TablaMaq2[ID_Pedido],'2.C_Datos'!A158)+
COUNTIFS(TablaMaq3[Componente],Tabla19[[#This Row],[Comp2]],TablaMaq3[ID_Pedido],'2.C_Datos'!A158)+
COUNTIFS(TablaMaq4[Componente],Tabla19[[#This Row],[Comp2]],TablaMaq4[ID_Pedido],'2.C_Datos'!A158))</f>
        <v/>
      </c>
      <c r="L158" s="99" t="str">
        <f>IF(Tabla19[[#This Row],[Comp3]]="","",COUNTIFS(TablaMaq1[Componente],Tabla19[[#This Row],[Comp3]],TablaMaq1[ID_Pedido],'2.C_Datos'!A158)+
COUNTIFS(TablaMaq2[Componente],Tabla19[[#This Row],[Comp3]],TablaMaq2[ID_Pedido],'2.C_Datos'!A158)+
COUNTIFS(TablaMaq3[Componente],Tabla19[[#This Row],[Comp3]],TablaMaq3[ID_Pedido],'2.C_Datos'!A158)+
COUNTIFS(TablaMaq4[Componente],Tabla19[[#This Row],[Comp3]],TablaMaq4[ID_Pedido],'2.C_Datos'!A158))</f>
        <v/>
      </c>
      <c r="M158" s="99" t="str">
        <f>IF(Tabla19[[#This Row],[Comp4]]="","",COUNTIFS(TablaMaq1[Componente],Tabla19[[#This Row],[Comp4]],TablaMaq1[ID_Pedido],'2.C_Datos'!A158)+
COUNTIFS(TablaMaq2[Componente],Tabla19[[#This Row],[Comp4]],TablaMaq2[ID_Pedido],'2.C_Datos'!A158)+
COUNTIFS(TablaMaq3[Componente],Tabla19[[#This Row],[Comp4]],TablaMaq3[ID_Pedido],'2.C_Datos'!A158)+
COUNTIFS(TablaMaq4[Componente],Tabla19[[#This Row],[Comp4]],TablaMaq4[ID_Pedido],'2.C_Datos'!A158))</f>
        <v/>
      </c>
      <c r="N158" s="99" t="str">
        <f>IF(Tabla19[[#This Row],[Comp5]]="","",COUNTIFS(TablaMaq1[Componente],Tabla19[[#This Row],[Comp5]],TablaMaq1[ID_Pedido],'2.C_Datos'!A158)+
COUNTIFS(TablaMaq1[Componente],Tabla19[[#This Row],[Comp5]],TablaMaq2[ID_Pedido],'2.C_Datos'!A158)+
COUNTIFS(TablaMaq1[Componente],Tabla19[[#This Row],[Comp5]],TablaMaq3[ID_Pedido],'2.C_Datos'!A158)+
COUNTIFS(TablaMaq1[Componente],Tabla19[[#This Row],[Comp5]],TablaMaq4[ID_Pedido],'2.C_Datos'!A158))</f>
        <v/>
      </c>
      <c r="O158" s="85" t="str">
        <f>IF(Tabla19[[#This Row],[Comp1]]="","",
IF(IF(Tabla19[[#This Row],[Comp1]]=0,0,1)*$D158-Tabla19[[#This Row],[Asign1]]=0,0,Tabla19[[#This Row],[Comp1]]))</f>
        <v/>
      </c>
      <c r="P158" s="85" t="str">
        <f>IF(Tabla19[[#This Row],[Comp2]]="","",
IF(IF(Tabla19[[#This Row],[Comp2]]=0,0,1)*$D158-Tabla19[[#This Row],[Asign2]]=0,0,Tabla19[[#This Row],[Comp2]]))</f>
        <v/>
      </c>
      <c r="Q158" s="85" t="str">
        <f>IF(Tabla19[[#This Row],[Comp3]]="","",
IF(IF(Tabla19[[#This Row],[Comp3]]=0,0,1)*$D158-Tabla19[[#This Row],[Asign3]]=0,0,Tabla19[[#This Row],[Comp3]]))</f>
        <v/>
      </c>
      <c r="R158" s="85" t="str">
        <f>IF(Tabla19[[#This Row],[Comp4]]="","",
IF(IF(Tabla19[[#This Row],[Comp4]]=0,0,1)*$D158-Tabla19[[#This Row],[Asign4]]=0,0,Tabla19[[#This Row],[Comp4]]))</f>
        <v/>
      </c>
      <c r="S158" s="85" t="str">
        <f>IF(Tabla19[[#This Row],[Comp5]]="","",
IF(IF(Tabla19[[#This Row],[Comp5]]=0,0,1)*$D158-Tabla19[[#This Row],[Asign5]]=0,0,Tabla19[[#This Row],[Comp5]]))</f>
        <v/>
      </c>
    </row>
    <row r="159" spans="5:19" x14ac:dyDescent="0.3">
      <c r="E159" s="99" t="str">
        <f>IF($A159="","",INDEX(ListadoProductos[],MATCH('2.C_Datos'!$C159,ListadoProductos[Productos],0),MATCH('2.C_Datos'!E$3,ListadoProductos[#Headers],0)))</f>
        <v/>
      </c>
      <c r="F159" s="99" t="str">
        <f>IF($A159="","",INDEX(ListadoProductos[],MATCH('2.C_Datos'!$C159,ListadoProductos[Productos],0),MATCH('2.C_Datos'!F$3,ListadoProductos[#Headers],0)))</f>
        <v/>
      </c>
      <c r="G159" s="99" t="str">
        <f>IF($A159="","",INDEX(ListadoProductos[],MATCH('2.C_Datos'!$C159,ListadoProductos[Productos],0),MATCH('2.C_Datos'!G$3,ListadoProductos[#Headers],0)))</f>
        <v/>
      </c>
      <c r="H159" s="99" t="str">
        <f>IF($A159="","",INDEX(ListadoProductos[],MATCH('2.C_Datos'!$C159,ListadoProductos[Productos],0),MATCH('2.C_Datos'!H$3,ListadoProductos[#Headers],0)))</f>
        <v/>
      </c>
      <c r="I159" s="99" t="str">
        <f>IF($A159="","",INDEX(ListadoProductos[],MATCH('2.C_Datos'!$C159,ListadoProductos[Productos],0),MATCH('2.C_Datos'!I$3,ListadoProductos[#Headers],0)))</f>
        <v/>
      </c>
      <c r="J159" s="99" t="str">
        <f>IF(Tabla19[[#This Row],[Comp1]]="","",COUNTIFS(TablaMaq1[Componente],Tabla19[[#This Row],[Comp1]],TablaMaq1[ID_Pedido],'2.C_Datos'!A159)+
COUNTIFS(TablaMaq2[Componente],Tabla19[[#This Row],[Comp1]],TablaMaq2[ID_Pedido],'2.C_Datos'!A159)+
COUNTIFS(TablaMaq3[Componente],Tabla19[[#This Row],[Comp1]],TablaMaq3[ID_Pedido],'2.C_Datos'!A159)+
COUNTIFS(TablaMaq4[Componente],Tabla19[[#This Row],[Comp1]],TablaMaq4[ID_Pedido],'2.C_Datos'!A159))</f>
        <v/>
      </c>
      <c r="K159" s="99" t="str">
        <f>IF(Tabla19[[#This Row],[Comp2]]="","",COUNTIFS(TablaMaq1[Componente],Tabla19[[#This Row],[Comp2]],TablaMaq1[ID_Pedido],'2.C_Datos'!A159)+
COUNTIFS(TablaMaq2[Componente],Tabla19[[#This Row],[Comp2]],TablaMaq2[ID_Pedido],'2.C_Datos'!A159)+
COUNTIFS(TablaMaq3[Componente],Tabla19[[#This Row],[Comp2]],TablaMaq3[ID_Pedido],'2.C_Datos'!A159)+
COUNTIFS(TablaMaq4[Componente],Tabla19[[#This Row],[Comp2]],TablaMaq4[ID_Pedido],'2.C_Datos'!A159))</f>
        <v/>
      </c>
      <c r="L159" s="99" t="str">
        <f>IF(Tabla19[[#This Row],[Comp3]]="","",COUNTIFS(TablaMaq1[Componente],Tabla19[[#This Row],[Comp3]],TablaMaq1[ID_Pedido],'2.C_Datos'!A159)+
COUNTIFS(TablaMaq2[Componente],Tabla19[[#This Row],[Comp3]],TablaMaq2[ID_Pedido],'2.C_Datos'!A159)+
COUNTIFS(TablaMaq3[Componente],Tabla19[[#This Row],[Comp3]],TablaMaq3[ID_Pedido],'2.C_Datos'!A159)+
COUNTIFS(TablaMaq4[Componente],Tabla19[[#This Row],[Comp3]],TablaMaq4[ID_Pedido],'2.C_Datos'!A159))</f>
        <v/>
      </c>
      <c r="M159" s="99" t="str">
        <f>IF(Tabla19[[#This Row],[Comp4]]="","",COUNTIFS(TablaMaq1[Componente],Tabla19[[#This Row],[Comp4]],TablaMaq1[ID_Pedido],'2.C_Datos'!A159)+
COUNTIFS(TablaMaq2[Componente],Tabla19[[#This Row],[Comp4]],TablaMaq2[ID_Pedido],'2.C_Datos'!A159)+
COUNTIFS(TablaMaq3[Componente],Tabla19[[#This Row],[Comp4]],TablaMaq3[ID_Pedido],'2.C_Datos'!A159)+
COUNTIFS(TablaMaq4[Componente],Tabla19[[#This Row],[Comp4]],TablaMaq4[ID_Pedido],'2.C_Datos'!A159))</f>
        <v/>
      </c>
      <c r="N159" s="99" t="str">
        <f>IF(Tabla19[[#This Row],[Comp5]]="","",COUNTIFS(TablaMaq1[Componente],Tabla19[[#This Row],[Comp5]],TablaMaq1[ID_Pedido],'2.C_Datos'!A159)+
COUNTIFS(TablaMaq1[Componente],Tabla19[[#This Row],[Comp5]],TablaMaq2[ID_Pedido],'2.C_Datos'!A159)+
COUNTIFS(TablaMaq1[Componente],Tabla19[[#This Row],[Comp5]],TablaMaq3[ID_Pedido],'2.C_Datos'!A159)+
COUNTIFS(TablaMaq1[Componente],Tabla19[[#This Row],[Comp5]],TablaMaq4[ID_Pedido],'2.C_Datos'!A159))</f>
        <v/>
      </c>
      <c r="O159" s="85" t="str">
        <f>IF(Tabla19[[#This Row],[Comp1]]="","",
IF(IF(Tabla19[[#This Row],[Comp1]]=0,0,1)*$D159-Tabla19[[#This Row],[Asign1]]=0,0,Tabla19[[#This Row],[Comp1]]))</f>
        <v/>
      </c>
      <c r="P159" s="85" t="str">
        <f>IF(Tabla19[[#This Row],[Comp2]]="","",
IF(IF(Tabla19[[#This Row],[Comp2]]=0,0,1)*$D159-Tabla19[[#This Row],[Asign2]]=0,0,Tabla19[[#This Row],[Comp2]]))</f>
        <v/>
      </c>
      <c r="Q159" s="85" t="str">
        <f>IF(Tabla19[[#This Row],[Comp3]]="","",
IF(IF(Tabla19[[#This Row],[Comp3]]=0,0,1)*$D159-Tabla19[[#This Row],[Asign3]]=0,0,Tabla19[[#This Row],[Comp3]]))</f>
        <v/>
      </c>
      <c r="R159" s="85" t="str">
        <f>IF(Tabla19[[#This Row],[Comp4]]="","",
IF(IF(Tabla19[[#This Row],[Comp4]]=0,0,1)*$D159-Tabla19[[#This Row],[Asign4]]=0,0,Tabla19[[#This Row],[Comp4]]))</f>
        <v/>
      </c>
      <c r="S159" s="85" t="str">
        <f>IF(Tabla19[[#This Row],[Comp5]]="","",
IF(IF(Tabla19[[#This Row],[Comp5]]=0,0,1)*$D159-Tabla19[[#This Row],[Asign5]]=0,0,Tabla19[[#This Row],[Comp5]]))</f>
        <v/>
      </c>
    </row>
    <row r="160" spans="5:19" x14ac:dyDescent="0.3">
      <c r="E160" s="99" t="str">
        <f>IF($A160="","",INDEX(ListadoProductos[],MATCH('2.C_Datos'!$C160,ListadoProductos[Productos],0),MATCH('2.C_Datos'!E$3,ListadoProductos[#Headers],0)))</f>
        <v/>
      </c>
      <c r="F160" s="99" t="str">
        <f>IF($A160="","",INDEX(ListadoProductos[],MATCH('2.C_Datos'!$C160,ListadoProductos[Productos],0),MATCH('2.C_Datos'!F$3,ListadoProductos[#Headers],0)))</f>
        <v/>
      </c>
      <c r="G160" s="99" t="str">
        <f>IF($A160="","",INDEX(ListadoProductos[],MATCH('2.C_Datos'!$C160,ListadoProductos[Productos],0),MATCH('2.C_Datos'!G$3,ListadoProductos[#Headers],0)))</f>
        <v/>
      </c>
      <c r="H160" s="99" t="str">
        <f>IF($A160="","",INDEX(ListadoProductos[],MATCH('2.C_Datos'!$C160,ListadoProductos[Productos],0),MATCH('2.C_Datos'!H$3,ListadoProductos[#Headers],0)))</f>
        <v/>
      </c>
      <c r="I160" s="99" t="str">
        <f>IF($A160="","",INDEX(ListadoProductos[],MATCH('2.C_Datos'!$C160,ListadoProductos[Productos],0),MATCH('2.C_Datos'!I$3,ListadoProductos[#Headers],0)))</f>
        <v/>
      </c>
      <c r="J160" s="99" t="str">
        <f>IF(Tabla19[[#This Row],[Comp1]]="","",COUNTIFS(TablaMaq1[Componente],Tabla19[[#This Row],[Comp1]],TablaMaq1[ID_Pedido],'2.C_Datos'!A160)+
COUNTIFS(TablaMaq2[Componente],Tabla19[[#This Row],[Comp1]],TablaMaq2[ID_Pedido],'2.C_Datos'!A160)+
COUNTIFS(TablaMaq3[Componente],Tabla19[[#This Row],[Comp1]],TablaMaq3[ID_Pedido],'2.C_Datos'!A160)+
COUNTIFS(TablaMaq4[Componente],Tabla19[[#This Row],[Comp1]],TablaMaq4[ID_Pedido],'2.C_Datos'!A160))</f>
        <v/>
      </c>
      <c r="K160" s="99" t="str">
        <f>IF(Tabla19[[#This Row],[Comp2]]="","",COUNTIFS(TablaMaq1[Componente],Tabla19[[#This Row],[Comp2]],TablaMaq1[ID_Pedido],'2.C_Datos'!A160)+
COUNTIFS(TablaMaq2[Componente],Tabla19[[#This Row],[Comp2]],TablaMaq2[ID_Pedido],'2.C_Datos'!A160)+
COUNTIFS(TablaMaq3[Componente],Tabla19[[#This Row],[Comp2]],TablaMaq3[ID_Pedido],'2.C_Datos'!A160)+
COUNTIFS(TablaMaq4[Componente],Tabla19[[#This Row],[Comp2]],TablaMaq4[ID_Pedido],'2.C_Datos'!A160))</f>
        <v/>
      </c>
      <c r="L160" s="99" t="str">
        <f>IF(Tabla19[[#This Row],[Comp3]]="","",COUNTIFS(TablaMaq1[Componente],Tabla19[[#This Row],[Comp3]],TablaMaq1[ID_Pedido],'2.C_Datos'!A160)+
COUNTIFS(TablaMaq2[Componente],Tabla19[[#This Row],[Comp3]],TablaMaq2[ID_Pedido],'2.C_Datos'!A160)+
COUNTIFS(TablaMaq3[Componente],Tabla19[[#This Row],[Comp3]],TablaMaq3[ID_Pedido],'2.C_Datos'!A160)+
COUNTIFS(TablaMaq4[Componente],Tabla19[[#This Row],[Comp3]],TablaMaq4[ID_Pedido],'2.C_Datos'!A160))</f>
        <v/>
      </c>
      <c r="M160" s="99" t="str">
        <f>IF(Tabla19[[#This Row],[Comp4]]="","",COUNTIFS(TablaMaq1[Componente],Tabla19[[#This Row],[Comp4]],TablaMaq1[ID_Pedido],'2.C_Datos'!A160)+
COUNTIFS(TablaMaq2[Componente],Tabla19[[#This Row],[Comp4]],TablaMaq2[ID_Pedido],'2.C_Datos'!A160)+
COUNTIFS(TablaMaq3[Componente],Tabla19[[#This Row],[Comp4]],TablaMaq3[ID_Pedido],'2.C_Datos'!A160)+
COUNTIFS(TablaMaq4[Componente],Tabla19[[#This Row],[Comp4]],TablaMaq4[ID_Pedido],'2.C_Datos'!A160))</f>
        <v/>
      </c>
      <c r="N160" s="99" t="str">
        <f>IF(Tabla19[[#This Row],[Comp5]]="","",COUNTIFS(TablaMaq1[Componente],Tabla19[[#This Row],[Comp5]],TablaMaq1[ID_Pedido],'2.C_Datos'!A160)+
COUNTIFS(TablaMaq1[Componente],Tabla19[[#This Row],[Comp5]],TablaMaq2[ID_Pedido],'2.C_Datos'!A160)+
COUNTIFS(TablaMaq1[Componente],Tabla19[[#This Row],[Comp5]],TablaMaq3[ID_Pedido],'2.C_Datos'!A160)+
COUNTIFS(TablaMaq1[Componente],Tabla19[[#This Row],[Comp5]],TablaMaq4[ID_Pedido],'2.C_Datos'!A160))</f>
        <v/>
      </c>
      <c r="O160" s="85" t="str">
        <f>IF(Tabla19[[#This Row],[Comp1]]="","",
IF(IF(Tabla19[[#This Row],[Comp1]]=0,0,1)*$D160-Tabla19[[#This Row],[Asign1]]=0,0,Tabla19[[#This Row],[Comp1]]))</f>
        <v/>
      </c>
      <c r="P160" s="85" t="str">
        <f>IF(Tabla19[[#This Row],[Comp2]]="","",
IF(IF(Tabla19[[#This Row],[Comp2]]=0,0,1)*$D160-Tabla19[[#This Row],[Asign2]]=0,0,Tabla19[[#This Row],[Comp2]]))</f>
        <v/>
      </c>
      <c r="Q160" s="85" t="str">
        <f>IF(Tabla19[[#This Row],[Comp3]]="","",
IF(IF(Tabla19[[#This Row],[Comp3]]=0,0,1)*$D160-Tabla19[[#This Row],[Asign3]]=0,0,Tabla19[[#This Row],[Comp3]]))</f>
        <v/>
      </c>
      <c r="R160" s="85" t="str">
        <f>IF(Tabla19[[#This Row],[Comp4]]="","",
IF(IF(Tabla19[[#This Row],[Comp4]]=0,0,1)*$D160-Tabla19[[#This Row],[Asign4]]=0,0,Tabla19[[#This Row],[Comp4]]))</f>
        <v/>
      </c>
      <c r="S160" s="85" t="str">
        <f>IF(Tabla19[[#This Row],[Comp5]]="","",
IF(IF(Tabla19[[#This Row],[Comp5]]=0,0,1)*$D160-Tabla19[[#This Row],[Asign5]]=0,0,Tabla19[[#This Row],[Comp5]]))</f>
        <v/>
      </c>
    </row>
    <row r="161" spans="5:19" x14ac:dyDescent="0.3">
      <c r="E161" s="99" t="str">
        <f>IF($A161="","",INDEX(ListadoProductos[],MATCH('2.C_Datos'!$C161,ListadoProductos[Productos],0),MATCH('2.C_Datos'!E$3,ListadoProductos[#Headers],0)))</f>
        <v/>
      </c>
      <c r="F161" s="99" t="str">
        <f>IF($A161="","",INDEX(ListadoProductos[],MATCH('2.C_Datos'!$C161,ListadoProductos[Productos],0),MATCH('2.C_Datos'!F$3,ListadoProductos[#Headers],0)))</f>
        <v/>
      </c>
      <c r="G161" s="99" t="str">
        <f>IF($A161="","",INDEX(ListadoProductos[],MATCH('2.C_Datos'!$C161,ListadoProductos[Productos],0),MATCH('2.C_Datos'!G$3,ListadoProductos[#Headers],0)))</f>
        <v/>
      </c>
      <c r="H161" s="99" t="str">
        <f>IF($A161="","",INDEX(ListadoProductos[],MATCH('2.C_Datos'!$C161,ListadoProductos[Productos],0),MATCH('2.C_Datos'!H$3,ListadoProductos[#Headers],0)))</f>
        <v/>
      </c>
      <c r="I161" s="99" t="str">
        <f>IF($A161="","",INDEX(ListadoProductos[],MATCH('2.C_Datos'!$C161,ListadoProductos[Productos],0),MATCH('2.C_Datos'!I$3,ListadoProductos[#Headers],0)))</f>
        <v/>
      </c>
      <c r="J161" s="99" t="str">
        <f>IF(Tabla19[[#This Row],[Comp1]]="","",COUNTIFS(TablaMaq1[Componente],Tabla19[[#This Row],[Comp1]],TablaMaq1[ID_Pedido],'2.C_Datos'!A161)+
COUNTIFS(TablaMaq2[Componente],Tabla19[[#This Row],[Comp1]],TablaMaq2[ID_Pedido],'2.C_Datos'!A161)+
COUNTIFS(TablaMaq3[Componente],Tabla19[[#This Row],[Comp1]],TablaMaq3[ID_Pedido],'2.C_Datos'!A161)+
COUNTIFS(TablaMaq4[Componente],Tabla19[[#This Row],[Comp1]],TablaMaq4[ID_Pedido],'2.C_Datos'!A161))</f>
        <v/>
      </c>
      <c r="K161" s="99" t="str">
        <f>IF(Tabla19[[#This Row],[Comp2]]="","",COUNTIFS(TablaMaq1[Componente],Tabla19[[#This Row],[Comp2]],TablaMaq1[ID_Pedido],'2.C_Datos'!A161)+
COUNTIFS(TablaMaq2[Componente],Tabla19[[#This Row],[Comp2]],TablaMaq2[ID_Pedido],'2.C_Datos'!A161)+
COUNTIFS(TablaMaq3[Componente],Tabla19[[#This Row],[Comp2]],TablaMaq3[ID_Pedido],'2.C_Datos'!A161)+
COUNTIFS(TablaMaq4[Componente],Tabla19[[#This Row],[Comp2]],TablaMaq4[ID_Pedido],'2.C_Datos'!A161))</f>
        <v/>
      </c>
      <c r="L161" s="99" t="str">
        <f>IF(Tabla19[[#This Row],[Comp3]]="","",COUNTIFS(TablaMaq1[Componente],Tabla19[[#This Row],[Comp3]],TablaMaq1[ID_Pedido],'2.C_Datos'!A161)+
COUNTIFS(TablaMaq2[Componente],Tabla19[[#This Row],[Comp3]],TablaMaq2[ID_Pedido],'2.C_Datos'!A161)+
COUNTIFS(TablaMaq3[Componente],Tabla19[[#This Row],[Comp3]],TablaMaq3[ID_Pedido],'2.C_Datos'!A161)+
COUNTIFS(TablaMaq4[Componente],Tabla19[[#This Row],[Comp3]],TablaMaq4[ID_Pedido],'2.C_Datos'!A161))</f>
        <v/>
      </c>
      <c r="M161" s="99" t="str">
        <f>IF(Tabla19[[#This Row],[Comp4]]="","",COUNTIFS(TablaMaq1[Componente],Tabla19[[#This Row],[Comp4]],TablaMaq1[ID_Pedido],'2.C_Datos'!A161)+
COUNTIFS(TablaMaq2[Componente],Tabla19[[#This Row],[Comp4]],TablaMaq2[ID_Pedido],'2.C_Datos'!A161)+
COUNTIFS(TablaMaq3[Componente],Tabla19[[#This Row],[Comp4]],TablaMaq3[ID_Pedido],'2.C_Datos'!A161)+
COUNTIFS(TablaMaq4[Componente],Tabla19[[#This Row],[Comp4]],TablaMaq4[ID_Pedido],'2.C_Datos'!A161))</f>
        <v/>
      </c>
      <c r="N161" s="99" t="str">
        <f>IF(Tabla19[[#This Row],[Comp5]]="","",COUNTIFS(TablaMaq1[Componente],Tabla19[[#This Row],[Comp5]],TablaMaq1[ID_Pedido],'2.C_Datos'!A161)+
COUNTIFS(TablaMaq1[Componente],Tabla19[[#This Row],[Comp5]],TablaMaq2[ID_Pedido],'2.C_Datos'!A161)+
COUNTIFS(TablaMaq1[Componente],Tabla19[[#This Row],[Comp5]],TablaMaq3[ID_Pedido],'2.C_Datos'!A161)+
COUNTIFS(TablaMaq1[Componente],Tabla19[[#This Row],[Comp5]],TablaMaq4[ID_Pedido],'2.C_Datos'!A161))</f>
        <v/>
      </c>
      <c r="O161" s="85" t="str">
        <f>IF(Tabla19[[#This Row],[Comp1]]="","",
IF(IF(Tabla19[[#This Row],[Comp1]]=0,0,1)*$D161-Tabla19[[#This Row],[Asign1]]=0,0,Tabla19[[#This Row],[Comp1]]))</f>
        <v/>
      </c>
      <c r="P161" s="85" t="str">
        <f>IF(Tabla19[[#This Row],[Comp2]]="","",
IF(IF(Tabla19[[#This Row],[Comp2]]=0,0,1)*$D161-Tabla19[[#This Row],[Asign2]]=0,0,Tabla19[[#This Row],[Comp2]]))</f>
        <v/>
      </c>
      <c r="Q161" s="85" t="str">
        <f>IF(Tabla19[[#This Row],[Comp3]]="","",
IF(IF(Tabla19[[#This Row],[Comp3]]=0,0,1)*$D161-Tabla19[[#This Row],[Asign3]]=0,0,Tabla19[[#This Row],[Comp3]]))</f>
        <v/>
      </c>
      <c r="R161" s="85" t="str">
        <f>IF(Tabla19[[#This Row],[Comp4]]="","",
IF(IF(Tabla19[[#This Row],[Comp4]]=0,0,1)*$D161-Tabla19[[#This Row],[Asign4]]=0,0,Tabla19[[#This Row],[Comp4]]))</f>
        <v/>
      </c>
      <c r="S161" s="85" t="str">
        <f>IF(Tabla19[[#This Row],[Comp5]]="","",
IF(IF(Tabla19[[#This Row],[Comp5]]=0,0,1)*$D161-Tabla19[[#This Row],[Asign5]]=0,0,Tabla19[[#This Row],[Comp5]]))</f>
        <v/>
      </c>
    </row>
    <row r="162" spans="5:19" x14ac:dyDescent="0.3">
      <c r="E162" s="99" t="str">
        <f>IF($A162="","",INDEX(ListadoProductos[],MATCH('2.C_Datos'!$C162,ListadoProductos[Productos],0),MATCH('2.C_Datos'!E$3,ListadoProductos[#Headers],0)))</f>
        <v/>
      </c>
      <c r="F162" s="99" t="str">
        <f>IF($A162="","",INDEX(ListadoProductos[],MATCH('2.C_Datos'!$C162,ListadoProductos[Productos],0),MATCH('2.C_Datos'!F$3,ListadoProductos[#Headers],0)))</f>
        <v/>
      </c>
      <c r="G162" s="99" t="str">
        <f>IF($A162="","",INDEX(ListadoProductos[],MATCH('2.C_Datos'!$C162,ListadoProductos[Productos],0),MATCH('2.C_Datos'!G$3,ListadoProductos[#Headers],0)))</f>
        <v/>
      </c>
      <c r="H162" s="99" t="str">
        <f>IF($A162="","",INDEX(ListadoProductos[],MATCH('2.C_Datos'!$C162,ListadoProductos[Productos],0),MATCH('2.C_Datos'!H$3,ListadoProductos[#Headers],0)))</f>
        <v/>
      </c>
      <c r="I162" s="99" t="str">
        <f>IF($A162="","",INDEX(ListadoProductos[],MATCH('2.C_Datos'!$C162,ListadoProductos[Productos],0),MATCH('2.C_Datos'!I$3,ListadoProductos[#Headers],0)))</f>
        <v/>
      </c>
      <c r="J162" s="99" t="str">
        <f>IF(Tabla19[[#This Row],[Comp1]]="","",COUNTIFS(TablaMaq1[Componente],Tabla19[[#This Row],[Comp1]],TablaMaq1[ID_Pedido],'2.C_Datos'!A162)+
COUNTIFS(TablaMaq2[Componente],Tabla19[[#This Row],[Comp1]],TablaMaq2[ID_Pedido],'2.C_Datos'!A162)+
COUNTIFS(TablaMaq3[Componente],Tabla19[[#This Row],[Comp1]],TablaMaq3[ID_Pedido],'2.C_Datos'!A162)+
COUNTIFS(TablaMaq4[Componente],Tabla19[[#This Row],[Comp1]],TablaMaq4[ID_Pedido],'2.C_Datos'!A162))</f>
        <v/>
      </c>
      <c r="K162" s="99" t="str">
        <f>IF(Tabla19[[#This Row],[Comp2]]="","",COUNTIFS(TablaMaq1[Componente],Tabla19[[#This Row],[Comp2]],TablaMaq1[ID_Pedido],'2.C_Datos'!A162)+
COUNTIFS(TablaMaq2[Componente],Tabla19[[#This Row],[Comp2]],TablaMaq2[ID_Pedido],'2.C_Datos'!A162)+
COUNTIFS(TablaMaq3[Componente],Tabla19[[#This Row],[Comp2]],TablaMaq3[ID_Pedido],'2.C_Datos'!A162)+
COUNTIFS(TablaMaq4[Componente],Tabla19[[#This Row],[Comp2]],TablaMaq4[ID_Pedido],'2.C_Datos'!A162))</f>
        <v/>
      </c>
      <c r="L162" s="99" t="str">
        <f>IF(Tabla19[[#This Row],[Comp3]]="","",COUNTIFS(TablaMaq1[Componente],Tabla19[[#This Row],[Comp3]],TablaMaq1[ID_Pedido],'2.C_Datos'!A162)+
COUNTIFS(TablaMaq2[Componente],Tabla19[[#This Row],[Comp3]],TablaMaq2[ID_Pedido],'2.C_Datos'!A162)+
COUNTIFS(TablaMaq3[Componente],Tabla19[[#This Row],[Comp3]],TablaMaq3[ID_Pedido],'2.C_Datos'!A162)+
COUNTIFS(TablaMaq4[Componente],Tabla19[[#This Row],[Comp3]],TablaMaq4[ID_Pedido],'2.C_Datos'!A162))</f>
        <v/>
      </c>
      <c r="M162" s="99" t="str">
        <f>IF(Tabla19[[#This Row],[Comp4]]="","",COUNTIFS(TablaMaq1[Componente],Tabla19[[#This Row],[Comp4]],TablaMaq1[ID_Pedido],'2.C_Datos'!A162)+
COUNTIFS(TablaMaq2[Componente],Tabla19[[#This Row],[Comp4]],TablaMaq2[ID_Pedido],'2.C_Datos'!A162)+
COUNTIFS(TablaMaq3[Componente],Tabla19[[#This Row],[Comp4]],TablaMaq3[ID_Pedido],'2.C_Datos'!A162)+
COUNTIFS(TablaMaq4[Componente],Tabla19[[#This Row],[Comp4]],TablaMaq4[ID_Pedido],'2.C_Datos'!A162))</f>
        <v/>
      </c>
      <c r="N162" s="99" t="str">
        <f>IF(Tabla19[[#This Row],[Comp5]]="","",COUNTIFS(TablaMaq1[Componente],Tabla19[[#This Row],[Comp5]],TablaMaq1[ID_Pedido],'2.C_Datos'!A162)+
COUNTIFS(TablaMaq1[Componente],Tabla19[[#This Row],[Comp5]],TablaMaq2[ID_Pedido],'2.C_Datos'!A162)+
COUNTIFS(TablaMaq1[Componente],Tabla19[[#This Row],[Comp5]],TablaMaq3[ID_Pedido],'2.C_Datos'!A162)+
COUNTIFS(TablaMaq1[Componente],Tabla19[[#This Row],[Comp5]],TablaMaq4[ID_Pedido],'2.C_Datos'!A162))</f>
        <v/>
      </c>
      <c r="O162" s="85" t="str">
        <f>IF(Tabla19[[#This Row],[Comp1]]="","",
IF(IF(Tabla19[[#This Row],[Comp1]]=0,0,1)*$D162-Tabla19[[#This Row],[Asign1]]=0,0,Tabla19[[#This Row],[Comp1]]))</f>
        <v/>
      </c>
      <c r="P162" s="85" t="str">
        <f>IF(Tabla19[[#This Row],[Comp2]]="","",
IF(IF(Tabla19[[#This Row],[Comp2]]=0,0,1)*$D162-Tabla19[[#This Row],[Asign2]]=0,0,Tabla19[[#This Row],[Comp2]]))</f>
        <v/>
      </c>
      <c r="Q162" s="85" t="str">
        <f>IF(Tabla19[[#This Row],[Comp3]]="","",
IF(IF(Tabla19[[#This Row],[Comp3]]=0,0,1)*$D162-Tabla19[[#This Row],[Asign3]]=0,0,Tabla19[[#This Row],[Comp3]]))</f>
        <v/>
      </c>
      <c r="R162" s="85" t="str">
        <f>IF(Tabla19[[#This Row],[Comp4]]="","",
IF(IF(Tabla19[[#This Row],[Comp4]]=0,0,1)*$D162-Tabla19[[#This Row],[Asign4]]=0,0,Tabla19[[#This Row],[Comp4]]))</f>
        <v/>
      </c>
      <c r="S162" s="85" t="str">
        <f>IF(Tabla19[[#This Row],[Comp5]]="","",
IF(IF(Tabla19[[#This Row],[Comp5]]=0,0,1)*$D162-Tabla19[[#This Row],[Asign5]]=0,0,Tabla19[[#This Row],[Comp5]]))</f>
        <v/>
      </c>
    </row>
    <row r="163" spans="5:19" x14ac:dyDescent="0.3">
      <c r="E163" s="99" t="str">
        <f>IF($A163="","",INDEX(ListadoProductos[],MATCH('2.C_Datos'!$C163,ListadoProductos[Productos],0),MATCH('2.C_Datos'!E$3,ListadoProductos[#Headers],0)))</f>
        <v/>
      </c>
      <c r="F163" s="99" t="str">
        <f>IF($A163="","",INDEX(ListadoProductos[],MATCH('2.C_Datos'!$C163,ListadoProductos[Productos],0),MATCH('2.C_Datos'!F$3,ListadoProductos[#Headers],0)))</f>
        <v/>
      </c>
      <c r="G163" s="99" t="str">
        <f>IF($A163="","",INDEX(ListadoProductos[],MATCH('2.C_Datos'!$C163,ListadoProductos[Productos],0),MATCH('2.C_Datos'!G$3,ListadoProductos[#Headers],0)))</f>
        <v/>
      </c>
      <c r="H163" s="99" t="str">
        <f>IF($A163="","",INDEX(ListadoProductos[],MATCH('2.C_Datos'!$C163,ListadoProductos[Productos],0),MATCH('2.C_Datos'!H$3,ListadoProductos[#Headers],0)))</f>
        <v/>
      </c>
      <c r="I163" s="99" t="str">
        <f>IF($A163="","",INDEX(ListadoProductos[],MATCH('2.C_Datos'!$C163,ListadoProductos[Productos],0),MATCH('2.C_Datos'!I$3,ListadoProductos[#Headers],0)))</f>
        <v/>
      </c>
      <c r="J163" s="99" t="str">
        <f>IF(Tabla19[[#This Row],[Comp1]]="","",COUNTIFS(TablaMaq1[Componente],Tabla19[[#This Row],[Comp1]],TablaMaq1[ID_Pedido],'2.C_Datos'!A163)+
COUNTIFS(TablaMaq2[Componente],Tabla19[[#This Row],[Comp1]],TablaMaq2[ID_Pedido],'2.C_Datos'!A163)+
COUNTIFS(TablaMaq3[Componente],Tabla19[[#This Row],[Comp1]],TablaMaq3[ID_Pedido],'2.C_Datos'!A163)+
COUNTIFS(TablaMaq4[Componente],Tabla19[[#This Row],[Comp1]],TablaMaq4[ID_Pedido],'2.C_Datos'!A163))</f>
        <v/>
      </c>
      <c r="K163" s="99" t="str">
        <f>IF(Tabla19[[#This Row],[Comp2]]="","",COUNTIFS(TablaMaq1[Componente],Tabla19[[#This Row],[Comp2]],TablaMaq1[ID_Pedido],'2.C_Datos'!A163)+
COUNTIFS(TablaMaq2[Componente],Tabla19[[#This Row],[Comp2]],TablaMaq2[ID_Pedido],'2.C_Datos'!A163)+
COUNTIFS(TablaMaq3[Componente],Tabla19[[#This Row],[Comp2]],TablaMaq3[ID_Pedido],'2.C_Datos'!A163)+
COUNTIFS(TablaMaq4[Componente],Tabla19[[#This Row],[Comp2]],TablaMaq4[ID_Pedido],'2.C_Datos'!A163))</f>
        <v/>
      </c>
      <c r="L163" s="99" t="str">
        <f>IF(Tabla19[[#This Row],[Comp3]]="","",COUNTIFS(TablaMaq1[Componente],Tabla19[[#This Row],[Comp3]],TablaMaq1[ID_Pedido],'2.C_Datos'!A163)+
COUNTIFS(TablaMaq2[Componente],Tabla19[[#This Row],[Comp3]],TablaMaq2[ID_Pedido],'2.C_Datos'!A163)+
COUNTIFS(TablaMaq3[Componente],Tabla19[[#This Row],[Comp3]],TablaMaq3[ID_Pedido],'2.C_Datos'!A163)+
COUNTIFS(TablaMaq4[Componente],Tabla19[[#This Row],[Comp3]],TablaMaq4[ID_Pedido],'2.C_Datos'!A163))</f>
        <v/>
      </c>
      <c r="M163" s="99" t="str">
        <f>IF(Tabla19[[#This Row],[Comp4]]="","",COUNTIFS(TablaMaq1[Componente],Tabla19[[#This Row],[Comp4]],TablaMaq1[ID_Pedido],'2.C_Datos'!A163)+
COUNTIFS(TablaMaq2[Componente],Tabla19[[#This Row],[Comp4]],TablaMaq2[ID_Pedido],'2.C_Datos'!A163)+
COUNTIFS(TablaMaq3[Componente],Tabla19[[#This Row],[Comp4]],TablaMaq3[ID_Pedido],'2.C_Datos'!A163)+
COUNTIFS(TablaMaq4[Componente],Tabla19[[#This Row],[Comp4]],TablaMaq4[ID_Pedido],'2.C_Datos'!A163))</f>
        <v/>
      </c>
      <c r="N163" s="99" t="str">
        <f>IF(Tabla19[[#This Row],[Comp5]]="","",COUNTIFS(TablaMaq1[Componente],Tabla19[[#This Row],[Comp5]],TablaMaq1[ID_Pedido],'2.C_Datos'!A163)+
COUNTIFS(TablaMaq1[Componente],Tabla19[[#This Row],[Comp5]],TablaMaq2[ID_Pedido],'2.C_Datos'!A163)+
COUNTIFS(TablaMaq1[Componente],Tabla19[[#This Row],[Comp5]],TablaMaq3[ID_Pedido],'2.C_Datos'!A163)+
COUNTIFS(TablaMaq1[Componente],Tabla19[[#This Row],[Comp5]],TablaMaq4[ID_Pedido],'2.C_Datos'!A163))</f>
        <v/>
      </c>
      <c r="O163" s="85" t="str">
        <f>IF(Tabla19[[#This Row],[Comp1]]="","",
IF(IF(Tabla19[[#This Row],[Comp1]]=0,0,1)*$D163-Tabla19[[#This Row],[Asign1]]=0,0,Tabla19[[#This Row],[Comp1]]))</f>
        <v/>
      </c>
      <c r="P163" s="85" t="str">
        <f>IF(Tabla19[[#This Row],[Comp2]]="","",
IF(IF(Tabla19[[#This Row],[Comp2]]=0,0,1)*$D163-Tabla19[[#This Row],[Asign2]]=0,0,Tabla19[[#This Row],[Comp2]]))</f>
        <v/>
      </c>
      <c r="Q163" s="85" t="str">
        <f>IF(Tabla19[[#This Row],[Comp3]]="","",
IF(IF(Tabla19[[#This Row],[Comp3]]=0,0,1)*$D163-Tabla19[[#This Row],[Asign3]]=0,0,Tabla19[[#This Row],[Comp3]]))</f>
        <v/>
      </c>
      <c r="R163" s="85" t="str">
        <f>IF(Tabla19[[#This Row],[Comp4]]="","",
IF(IF(Tabla19[[#This Row],[Comp4]]=0,0,1)*$D163-Tabla19[[#This Row],[Asign4]]=0,0,Tabla19[[#This Row],[Comp4]]))</f>
        <v/>
      </c>
      <c r="S163" s="85" t="str">
        <f>IF(Tabla19[[#This Row],[Comp5]]="","",
IF(IF(Tabla19[[#This Row],[Comp5]]=0,0,1)*$D163-Tabla19[[#This Row],[Asign5]]=0,0,Tabla19[[#This Row],[Comp5]]))</f>
        <v/>
      </c>
    </row>
    <row r="164" spans="5:19" x14ac:dyDescent="0.3">
      <c r="E164" s="99" t="str">
        <f>IF($A164="","",INDEX(ListadoProductos[],MATCH('2.C_Datos'!$C164,ListadoProductos[Productos],0),MATCH('2.C_Datos'!E$3,ListadoProductos[#Headers],0)))</f>
        <v/>
      </c>
      <c r="F164" s="99" t="str">
        <f>IF($A164="","",INDEX(ListadoProductos[],MATCH('2.C_Datos'!$C164,ListadoProductos[Productos],0),MATCH('2.C_Datos'!F$3,ListadoProductos[#Headers],0)))</f>
        <v/>
      </c>
      <c r="G164" s="99" t="str">
        <f>IF($A164="","",INDEX(ListadoProductos[],MATCH('2.C_Datos'!$C164,ListadoProductos[Productos],0),MATCH('2.C_Datos'!G$3,ListadoProductos[#Headers],0)))</f>
        <v/>
      </c>
      <c r="H164" s="99" t="str">
        <f>IF($A164="","",INDEX(ListadoProductos[],MATCH('2.C_Datos'!$C164,ListadoProductos[Productos],0),MATCH('2.C_Datos'!H$3,ListadoProductos[#Headers],0)))</f>
        <v/>
      </c>
      <c r="I164" s="99" t="str">
        <f>IF($A164="","",INDEX(ListadoProductos[],MATCH('2.C_Datos'!$C164,ListadoProductos[Productos],0),MATCH('2.C_Datos'!I$3,ListadoProductos[#Headers],0)))</f>
        <v/>
      </c>
      <c r="J164" s="99" t="str">
        <f>IF(Tabla19[[#This Row],[Comp1]]="","",COUNTIFS(TablaMaq1[Componente],Tabla19[[#This Row],[Comp1]],TablaMaq1[ID_Pedido],'2.C_Datos'!A164)+
COUNTIFS(TablaMaq2[Componente],Tabla19[[#This Row],[Comp1]],TablaMaq2[ID_Pedido],'2.C_Datos'!A164)+
COUNTIFS(TablaMaq3[Componente],Tabla19[[#This Row],[Comp1]],TablaMaq3[ID_Pedido],'2.C_Datos'!A164)+
COUNTIFS(TablaMaq4[Componente],Tabla19[[#This Row],[Comp1]],TablaMaq4[ID_Pedido],'2.C_Datos'!A164))</f>
        <v/>
      </c>
      <c r="K164" s="99" t="str">
        <f>IF(Tabla19[[#This Row],[Comp2]]="","",COUNTIFS(TablaMaq1[Componente],Tabla19[[#This Row],[Comp2]],TablaMaq1[ID_Pedido],'2.C_Datos'!A164)+
COUNTIFS(TablaMaq2[Componente],Tabla19[[#This Row],[Comp2]],TablaMaq2[ID_Pedido],'2.C_Datos'!A164)+
COUNTIFS(TablaMaq3[Componente],Tabla19[[#This Row],[Comp2]],TablaMaq3[ID_Pedido],'2.C_Datos'!A164)+
COUNTIFS(TablaMaq4[Componente],Tabla19[[#This Row],[Comp2]],TablaMaq4[ID_Pedido],'2.C_Datos'!A164))</f>
        <v/>
      </c>
      <c r="L164" s="99" t="str">
        <f>IF(Tabla19[[#This Row],[Comp3]]="","",COUNTIFS(TablaMaq1[Componente],Tabla19[[#This Row],[Comp3]],TablaMaq1[ID_Pedido],'2.C_Datos'!A164)+
COUNTIFS(TablaMaq2[Componente],Tabla19[[#This Row],[Comp3]],TablaMaq2[ID_Pedido],'2.C_Datos'!A164)+
COUNTIFS(TablaMaq3[Componente],Tabla19[[#This Row],[Comp3]],TablaMaq3[ID_Pedido],'2.C_Datos'!A164)+
COUNTIFS(TablaMaq4[Componente],Tabla19[[#This Row],[Comp3]],TablaMaq4[ID_Pedido],'2.C_Datos'!A164))</f>
        <v/>
      </c>
      <c r="M164" s="99" t="str">
        <f>IF(Tabla19[[#This Row],[Comp4]]="","",COUNTIFS(TablaMaq1[Componente],Tabla19[[#This Row],[Comp4]],TablaMaq1[ID_Pedido],'2.C_Datos'!A164)+
COUNTIFS(TablaMaq2[Componente],Tabla19[[#This Row],[Comp4]],TablaMaq2[ID_Pedido],'2.C_Datos'!A164)+
COUNTIFS(TablaMaq3[Componente],Tabla19[[#This Row],[Comp4]],TablaMaq3[ID_Pedido],'2.C_Datos'!A164)+
COUNTIFS(TablaMaq4[Componente],Tabla19[[#This Row],[Comp4]],TablaMaq4[ID_Pedido],'2.C_Datos'!A164))</f>
        <v/>
      </c>
      <c r="N164" s="99" t="str">
        <f>IF(Tabla19[[#This Row],[Comp5]]="","",COUNTIFS(TablaMaq1[Componente],Tabla19[[#This Row],[Comp5]],TablaMaq1[ID_Pedido],'2.C_Datos'!A164)+
COUNTIFS(TablaMaq1[Componente],Tabla19[[#This Row],[Comp5]],TablaMaq2[ID_Pedido],'2.C_Datos'!A164)+
COUNTIFS(TablaMaq1[Componente],Tabla19[[#This Row],[Comp5]],TablaMaq3[ID_Pedido],'2.C_Datos'!A164)+
COUNTIFS(TablaMaq1[Componente],Tabla19[[#This Row],[Comp5]],TablaMaq4[ID_Pedido],'2.C_Datos'!A164))</f>
        <v/>
      </c>
      <c r="O164" s="85" t="str">
        <f>IF(Tabla19[[#This Row],[Comp1]]="","",
IF(IF(Tabla19[[#This Row],[Comp1]]=0,0,1)*$D164-Tabla19[[#This Row],[Asign1]]=0,0,Tabla19[[#This Row],[Comp1]]))</f>
        <v/>
      </c>
      <c r="P164" s="85" t="str">
        <f>IF(Tabla19[[#This Row],[Comp2]]="","",
IF(IF(Tabla19[[#This Row],[Comp2]]=0,0,1)*$D164-Tabla19[[#This Row],[Asign2]]=0,0,Tabla19[[#This Row],[Comp2]]))</f>
        <v/>
      </c>
      <c r="Q164" s="85" t="str">
        <f>IF(Tabla19[[#This Row],[Comp3]]="","",
IF(IF(Tabla19[[#This Row],[Comp3]]=0,0,1)*$D164-Tabla19[[#This Row],[Asign3]]=0,0,Tabla19[[#This Row],[Comp3]]))</f>
        <v/>
      </c>
      <c r="R164" s="85" t="str">
        <f>IF(Tabla19[[#This Row],[Comp4]]="","",
IF(IF(Tabla19[[#This Row],[Comp4]]=0,0,1)*$D164-Tabla19[[#This Row],[Asign4]]=0,0,Tabla19[[#This Row],[Comp4]]))</f>
        <v/>
      </c>
      <c r="S164" s="85" t="str">
        <f>IF(Tabla19[[#This Row],[Comp5]]="","",
IF(IF(Tabla19[[#This Row],[Comp5]]=0,0,1)*$D164-Tabla19[[#This Row],[Asign5]]=0,0,Tabla19[[#This Row],[Comp5]]))</f>
        <v/>
      </c>
    </row>
    <row r="165" spans="5:19" x14ac:dyDescent="0.3">
      <c r="E165" s="99" t="str">
        <f>IF($A165="","",INDEX(ListadoProductos[],MATCH('2.C_Datos'!$C165,ListadoProductos[Productos],0),MATCH('2.C_Datos'!E$3,ListadoProductos[#Headers],0)))</f>
        <v/>
      </c>
      <c r="F165" s="99" t="str">
        <f>IF($A165="","",INDEX(ListadoProductos[],MATCH('2.C_Datos'!$C165,ListadoProductos[Productos],0),MATCH('2.C_Datos'!F$3,ListadoProductos[#Headers],0)))</f>
        <v/>
      </c>
      <c r="G165" s="99" t="str">
        <f>IF($A165="","",INDEX(ListadoProductos[],MATCH('2.C_Datos'!$C165,ListadoProductos[Productos],0),MATCH('2.C_Datos'!G$3,ListadoProductos[#Headers],0)))</f>
        <v/>
      </c>
      <c r="H165" s="99" t="str">
        <f>IF($A165="","",INDEX(ListadoProductos[],MATCH('2.C_Datos'!$C165,ListadoProductos[Productos],0),MATCH('2.C_Datos'!H$3,ListadoProductos[#Headers],0)))</f>
        <v/>
      </c>
      <c r="I165" s="99" t="str">
        <f>IF($A165="","",INDEX(ListadoProductos[],MATCH('2.C_Datos'!$C165,ListadoProductos[Productos],0),MATCH('2.C_Datos'!I$3,ListadoProductos[#Headers],0)))</f>
        <v/>
      </c>
      <c r="J165" s="99" t="str">
        <f>IF(Tabla19[[#This Row],[Comp1]]="","",COUNTIFS(TablaMaq1[Componente],Tabla19[[#This Row],[Comp1]],TablaMaq1[ID_Pedido],'2.C_Datos'!A165)+
COUNTIFS(TablaMaq2[Componente],Tabla19[[#This Row],[Comp1]],TablaMaq2[ID_Pedido],'2.C_Datos'!A165)+
COUNTIFS(TablaMaq3[Componente],Tabla19[[#This Row],[Comp1]],TablaMaq3[ID_Pedido],'2.C_Datos'!A165)+
COUNTIFS(TablaMaq4[Componente],Tabla19[[#This Row],[Comp1]],TablaMaq4[ID_Pedido],'2.C_Datos'!A165))</f>
        <v/>
      </c>
      <c r="K165" s="99" t="str">
        <f>IF(Tabla19[[#This Row],[Comp2]]="","",COUNTIFS(TablaMaq1[Componente],Tabla19[[#This Row],[Comp2]],TablaMaq1[ID_Pedido],'2.C_Datos'!A165)+
COUNTIFS(TablaMaq2[Componente],Tabla19[[#This Row],[Comp2]],TablaMaq2[ID_Pedido],'2.C_Datos'!A165)+
COUNTIFS(TablaMaq3[Componente],Tabla19[[#This Row],[Comp2]],TablaMaq3[ID_Pedido],'2.C_Datos'!A165)+
COUNTIFS(TablaMaq4[Componente],Tabla19[[#This Row],[Comp2]],TablaMaq4[ID_Pedido],'2.C_Datos'!A165))</f>
        <v/>
      </c>
      <c r="L165" s="99" t="str">
        <f>IF(Tabla19[[#This Row],[Comp3]]="","",COUNTIFS(TablaMaq1[Componente],Tabla19[[#This Row],[Comp3]],TablaMaq1[ID_Pedido],'2.C_Datos'!A165)+
COUNTIFS(TablaMaq2[Componente],Tabla19[[#This Row],[Comp3]],TablaMaq2[ID_Pedido],'2.C_Datos'!A165)+
COUNTIFS(TablaMaq3[Componente],Tabla19[[#This Row],[Comp3]],TablaMaq3[ID_Pedido],'2.C_Datos'!A165)+
COUNTIFS(TablaMaq4[Componente],Tabla19[[#This Row],[Comp3]],TablaMaq4[ID_Pedido],'2.C_Datos'!A165))</f>
        <v/>
      </c>
      <c r="M165" s="99" t="str">
        <f>IF(Tabla19[[#This Row],[Comp4]]="","",COUNTIFS(TablaMaq1[Componente],Tabla19[[#This Row],[Comp4]],TablaMaq1[ID_Pedido],'2.C_Datos'!A165)+
COUNTIFS(TablaMaq2[Componente],Tabla19[[#This Row],[Comp4]],TablaMaq2[ID_Pedido],'2.C_Datos'!A165)+
COUNTIFS(TablaMaq3[Componente],Tabla19[[#This Row],[Comp4]],TablaMaq3[ID_Pedido],'2.C_Datos'!A165)+
COUNTIFS(TablaMaq4[Componente],Tabla19[[#This Row],[Comp4]],TablaMaq4[ID_Pedido],'2.C_Datos'!A165))</f>
        <v/>
      </c>
      <c r="N165" s="99" t="str">
        <f>IF(Tabla19[[#This Row],[Comp5]]="","",COUNTIFS(TablaMaq1[Componente],Tabla19[[#This Row],[Comp5]],TablaMaq1[ID_Pedido],'2.C_Datos'!A165)+
COUNTIFS(TablaMaq1[Componente],Tabla19[[#This Row],[Comp5]],TablaMaq2[ID_Pedido],'2.C_Datos'!A165)+
COUNTIFS(TablaMaq1[Componente],Tabla19[[#This Row],[Comp5]],TablaMaq3[ID_Pedido],'2.C_Datos'!A165)+
COUNTIFS(TablaMaq1[Componente],Tabla19[[#This Row],[Comp5]],TablaMaq4[ID_Pedido],'2.C_Datos'!A165))</f>
        <v/>
      </c>
      <c r="O165" s="85" t="str">
        <f>IF(Tabla19[[#This Row],[Comp1]]="","",
IF(IF(Tabla19[[#This Row],[Comp1]]=0,0,1)*$D165-Tabla19[[#This Row],[Asign1]]=0,0,Tabla19[[#This Row],[Comp1]]))</f>
        <v/>
      </c>
      <c r="P165" s="85" t="str">
        <f>IF(Tabla19[[#This Row],[Comp2]]="","",
IF(IF(Tabla19[[#This Row],[Comp2]]=0,0,1)*$D165-Tabla19[[#This Row],[Asign2]]=0,0,Tabla19[[#This Row],[Comp2]]))</f>
        <v/>
      </c>
      <c r="Q165" s="85" t="str">
        <f>IF(Tabla19[[#This Row],[Comp3]]="","",
IF(IF(Tabla19[[#This Row],[Comp3]]=0,0,1)*$D165-Tabla19[[#This Row],[Asign3]]=0,0,Tabla19[[#This Row],[Comp3]]))</f>
        <v/>
      </c>
      <c r="R165" s="85" t="str">
        <f>IF(Tabla19[[#This Row],[Comp4]]="","",
IF(IF(Tabla19[[#This Row],[Comp4]]=0,0,1)*$D165-Tabla19[[#This Row],[Asign4]]=0,0,Tabla19[[#This Row],[Comp4]]))</f>
        <v/>
      </c>
      <c r="S165" s="85" t="str">
        <f>IF(Tabla19[[#This Row],[Comp5]]="","",
IF(IF(Tabla19[[#This Row],[Comp5]]=0,0,1)*$D165-Tabla19[[#This Row],[Asign5]]=0,0,Tabla19[[#This Row],[Comp5]]))</f>
        <v/>
      </c>
    </row>
    <row r="166" spans="5:19" x14ac:dyDescent="0.3">
      <c r="E166" s="99" t="str">
        <f>IF($A166="","",INDEX(ListadoProductos[],MATCH('2.C_Datos'!$C166,ListadoProductos[Productos],0),MATCH('2.C_Datos'!E$3,ListadoProductos[#Headers],0)))</f>
        <v/>
      </c>
      <c r="F166" s="99" t="str">
        <f>IF($A166="","",INDEX(ListadoProductos[],MATCH('2.C_Datos'!$C166,ListadoProductos[Productos],0),MATCH('2.C_Datos'!F$3,ListadoProductos[#Headers],0)))</f>
        <v/>
      </c>
      <c r="G166" s="99" t="str">
        <f>IF($A166="","",INDEX(ListadoProductos[],MATCH('2.C_Datos'!$C166,ListadoProductos[Productos],0),MATCH('2.C_Datos'!G$3,ListadoProductos[#Headers],0)))</f>
        <v/>
      </c>
      <c r="H166" s="99" t="str">
        <f>IF($A166="","",INDEX(ListadoProductos[],MATCH('2.C_Datos'!$C166,ListadoProductos[Productos],0),MATCH('2.C_Datos'!H$3,ListadoProductos[#Headers],0)))</f>
        <v/>
      </c>
      <c r="I166" s="99" t="str">
        <f>IF($A166="","",INDEX(ListadoProductos[],MATCH('2.C_Datos'!$C166,ListadoProductos[Productos],0),MATCH('2.C_Datos'!I$3,ListadoProductos[#Headers],0)))</f>
        <v/>
      </c>
      <c r="J166" s="99" t="str">
        <f>IF(Tabla19[[#This Row],[Comp1]]="","",COUNTIFS(TablaMaq1[Componente],Tabla19[[#This Row],[Comp1]],TablaMaq1[ID_Pedido],'2.C_Datos'!A166)+
COUNTIFS(TablaMaq2[Componente],Tabla19[[#This Row],[Comp1]],TablaMaq2[ID_Pedido],'2.C_Datos'!A166)+
COUNTIFS(TablaMaq3[Componente],Tabla19[[#This Row],[Comp1]],TablaMaq3[ID_Pedido],'2.C_Datos'!A166)+
COUNTIFS(TablaMaq4[Componente],Tabla19[[#This Row],[Comp1]],TablaMaq4[ID_Pedido],'2.C_Datos'!A166))</f>
        <v/>
      </c>
      <c r="K166" s="99" t="str">
        <f>IF(Tabla19[[#This Row],[Comp2]]="","",COUNTIFS(TablaMaq1[Componente],Tabla19[[#This Row],[Comp2]],TablaMaq1[ID_Pedido],'2.C_Datos'!A166)+
COUNTIFS(TablaMaq2[Componente],Tabla19[[#This Row],[Comp2]],TablaMaq2[ID_Pedido],'2.C_Datos'!A166)+
COUNTIFS(TablaMaq3[Componente],Tabla19[[#This Row],[Comp2]],TablaMaq3[ID_Pedido],'2.C_Datos'!A166)+
COUNTIFS(TablaMaq4[Componente],Tabla19[[#This Row],[Comp2]],TablaMaq4[ID_Pedido],'2.C_Datos'!A166))</f>
        <v/>
      </c>
      <c r="L166" s="99" t="str">
        <f>IF(Tabla19[[#This Row],[Comp3]]="","",COUNTIFS(TablaMaq1[Componente],Tabla19[[#This Row],[Comp3]],TablaMaq1[ID_Pedido],'2.C_Datos'!A166)+
COUNTIFS(TablaMaq2[Componente],Tabla19[[#This Row],[Comp3]],TablaMaq2[ID_Pedido],'2.C_Datos'!A166)+
COUNTIFS(TablaMaq3[Componente],Tabla19[[#This Row],[Comp3]],TablaMaq3[ID_Pedido],'2.C_Datos'!A166)+
COUNTIFS(TablaMaq4[Componente],Tabla19[[#This Row],[Comp3]],TablaMaq4[ID_Pedido],'2.C_Datos'!A166))</f>
        <v/>
      </c>
      <c r="M166" s="99" t="str">
        <f>IF(Tabla19[[#This Row],[Comp4]]="","",COUNTIFS(TablaMaq1[Componente],Tabla19[[#This Row],[Comp4]],TablaMaq1[ID_Pedido],'2.C_Datos'!A166)+
COUNTIFS(TablaMaq2[Componente],Tabla19[[#This Row],[Comp4]],TablaMaq2[ID_Pedido],'2.C_Datos'!A166)+
COUNTIFS(TablaMaq3[Componente],Tabla19[[#This Row],[Comp4]],TablaMaq3[ID_Pedido],'2.C_Datos'!A166)+
COUNTIFS(TablaMaq4[Componente],Tabla19[[#This Row],[Comp4]],TablaMaq4[ID_Pedido],'2.C_Datos'!A166))</f>
        <v/>
      </c>
      <c r="N166" s="99" t="str">
        <f>IF(Tabla19[[#This Row],[Comp5]]="","",COUNTIFS(TablaMaq1[Componente],Tabla19[[#This Row],[Comp5]],TablaMaq1[ID_Pedido],'2.C_Datos'!A166)+
COUNTIFS(TablaMaq1[Componente],Tabla19[[#This Row],[Comp5]],TablaMaq2[ID_Pedido],'2.C_Datos'!A166)+
COUNTIFS(TablaMaq1[Componente],Tabla19[[#This Row],[Comp5]],TablaMaq3[ID_Pedido],'2.C_Datos'!A166)+
COUNTIFS(TablaMaq1[Componente],Tabla19[[#This Row],[Comp5]],TablaMaq4[ID_Pedido],'2.C_Datos'!A166))</f>
        <v/>
      </c>
      <c r="O166" s="85" t="str">
        <f>IF(Tabla19[[#This Row],[Comp1]]="","",
IF(IF(Tabla19[[#This Row],[Comp1]]=0,0,1)*$D166-Tabla19[[#This Row],[Asign1]]=0,0,Tabla19[[#This Row],[Comp1]]))</f>
        <v/>
      </c>
      <c r="P166" s="85" t="str">
        <f>IF(Tabla19[[#This Row],[Comp2]]="","",
IF(IF(Tabla19[[#This Row],[Comp2]]=0,0,1)*$D166-Tabla19[[#This Row],[Asign2]]=0,0,Tabla19[[#This Row],[Comp2]]))</f>
        <v/>
      </c>
      <c r="Q166" s="85" t="str">
        <f>IF(Tabla19[[#This Row],[Comp3]]="","",
IF(IF(Tabla19[[#This Row],[Comp3]]=0,0,1)*$D166-Tabla19[[#This Row],[Asign3]]=0,0,Tabla19[[#This Row],[Comp3]]))</f>
        <v/>
      </c>
      <c r="R166" s="85" t="str">
        <f>IF(Tabla19[[#This Row],[Comp4]]="","",
IF(IF(Tabla19[[#This Row],[Comp4]]=0,0,1)*$D166-Tabla19[[#This Row],[Asign4]]=0,0,Tabla19[[#This Row],[Comp4]]))</f>
        <v/>
      </c>
      <c r="S166" s="85" t="str">
        <f>IF(Tabla19[[#This Row],[Comp5]]="","",
IF(IF(Tabla19[[#This Row],[Comp5]]=0,0,1)*$D166-Tabla19[[#This Row],[Asign5]]=0,0,Tabla19[[#This Row],[Comp5]]))</f>
        <v/>
      </c>
    </row>
    <row r="167" spans="5:19" x14ac:dyDescent="0.3">
      <c r="E167" s="99" t="str">
        <f>IF($A167="","",INDEX(ListadoProductos[],MATCH('2.C_Datos'!$C167,ListadoProductos[Productos],0),MATCH('2.C_Datos'!E$3,ListadoProductos[#Headers],0)))</f>
        <v/>
      </c>
      <c r="F167" s="99" t="str">
        <f>IF($A167="","",INDEX(ListadoProductos[],MATCH('2.C_Datos'!$C167,ListadoProductos[Productos],0),MATCH('2.C_Datos'!F$3,ListadoProductos[#Headers],0)))</f>
        <v/>
      </c>
      <c r="G167" s="99" t="str">
        <f>IF($A167="","",INDEX(ListadoProductos[],MATCH('2.C_Datos'!$C167,ListadoProductos[Productos],0),MATCH('2.C_Datos'!G$3,ListadoProductos[#Headers],0)))</f>
        <v/>
      </c>
      <c r="H167" s="99" t="str">
        <f>IF($A167="","",INDEX(ListadoProductos[],MATCH('2.C_Datos'!$C167,ListadoProductos[Productos],0),MATCH('2.C_Datos'!H$3,ListadoProductos[#Headers],0)))</f>
        <v/>
      </c>
      <c r="I167" s="99" t="str">
        <f>IF($A167="","",INDEX(ListadoProductos[],MATCH('2.C_Datos'!$C167,ListadoProductos[Productos],0),MATCH('2.C_Datos'!I$3,ListadoProductos[#Headers],0)))</f>
        <v/>
      </c>
      <c r="J167" s="99" t="str">
        <f>IF(Tabla19[[#This Row],[Comp1]]="","",COUNTIFS(TablaMaq1[Componente],Tabla19[[#This Row],[Comp1]],TablaMaq1[ID_Pedido],'2.C_Datos'!A167)+
COUNTIFS(TablaMaq2[Componente],Tabla19[[#This Row],[Comp1]],TablaMaq2[ID_Pedido],'2.C_Datos'!A167)+
COUNTIFS(TablaMaq3[Componente],Tabla19[[#This Row],[Comp1]],TablaMaq3[ID_Pedido],'2.C_Datos'!A167)+
COUNTIFS(TablaMaq4[Componente],Tabla19[[#This Row],[Comp1]],TablaMaq4[ID_Pedido],'2.C_Datos'!A167))</f>
        <v/>
      </c>
      <c r="K167" s="99" t="str">
        <f>IF(Tabla19[[#This Row],[Comp2]]="","",COUNTIFS(TablaMaq1[Componente],Tabla19[[#This Row],[Comp2]],TablaMaq1[ID_Pedido],'2.C_Datos'!A167)+
COUNTIFS(TablaMaq2[Componente],Tabla19[[#This Row],[Comp2]],TablaMaq2[ID_Pedido],'2.C_Datos'!A167)+
COUNTIFS(TablaMaq3[Componente],Tabla19[[#This Row],[Comp2]],TablaMaq3[ID_Pedido],'2.C_Datos'!A167)+
COUNTIFS(TablaMaq4[Componente],Tabla19[[#This Row],[Comp2]],TablaMaq4[ID_Pedido],'2.C_Datos'!A167))</f>
        <v/>
      </c>
      <c r="L167" s="99" t="str">
        <f>IF(Tabla19[[#This Row],[Comp3]]="","",COUNTIFS(TablaMaq1[Componente],Tabla19[[#This Row],[Comp3]],TablaMaq1[ID_Pedido],'2.C_Datos'!A167)+
COUNTIFS(TablaMaq2[Componente],Tabla19[[#This Row],[Comp3]],TablaMaq2[ID_Pedido],'2.C_Datos'!A167)+
COUNTIFS(TablaMaq3[Componente],Tabla19[[#This Row],[Comp3]],TablaMaq3[ID_Pedido],'2.C_Datos'!A167)+
COUNTIFS(TablaMaq4[Componente],Tabla19[[#This Row],[Comp3]],TablaMaq4[ID_Pedido],'2.C_Datos'!A167))</f>
        <v/>
      </c>
      <c r="M167" s="99" t="str">
        <f>IF(Tabla19[[#This Row],[Comp4]]="","",COUNTIFS(TablaMaq1[Componente],Tabla19[[#This Row],[Comp4]],TablaMaq1[ID_Pedido],'2.C_Datos'!A167)+
COUNTIFS(TablaMaq2[Componente],Tabla19[[#This Row],[Comp4]],TablaMaq2[ID_Pedido],'2.C_Datos'!A167)+
COUNTIFS(TablaMaq3[Componente],Tabla19[[#This Row],[Comp4]],TablaMaq3[ID_Pedido],'2.C_Datos'!A167)+
COUNTIFS(TablaMaq4[Componente],Tabla19[[#This Row],[Comp4]],TablaMaq4[ID_Pedido],'2.C_Datos'!A167))</f>
        <v/>
      </c>
      <c r="N167" s="99" t="str">
        <f>IF(Tabla19[[#This Row],[Comp5]]="","",COUNTIFS(TablaMaq1[Componente],Tabla19[[#This Row],[Comp5]],TablaMaq1[ID_Pedido],'2.C_Datos'!A167)+
COUNTIFS(TablaMaq1[Componente],Tabla19[[#This Row],[Comp5]],TablaMaq2[ID_Pedido],'2.C_Datos'!A167)+
COUNTIFS(TablaMaq1[Componente],Tabla19[[#This Row],[Comp5]],TablaMaq3[ID_Pedido],'2.C_Datos'!A167)+
COUNTIFS(TablaMaq1[Componente],Tabla19[[#This Row],[Comp5]],TablaMaq4[ID_Pedido],'2.C_Datos'!A167))</f>
        <v/>
      </c>
      <c r="O167" s="85" t="str">
        <f>IF(Tabla19[[#This Row],[Comp1]]="","",
IF(IF(Tabla19[[#This Row],[Comp1]]=0,0,1)*$D167-Tabla19[[#This Row],[Asign1]]=0,0,Tabla19[[#This Row],[Comp1]]))</f>
        <v/>
      </c>
      <c r="P167" s="85" t="str">
        <f>IF(Tabla19[[#This Row],[Comp2]]="","",
IF(IF(Tabla19[[#This Row],[Comp2]]=0,0,1)*$D167-Tabla19[[#This Row],[Asign2]]=0,0,Tabla19[[#This Row],[Comp2]]))</f>
        <v/>
      </c>
      <c r="Q167" s="85" t="str">
        <f>IF(Tabla19[[#This Row],[Comp3]]="","",
IF(IF(Tabla19[[#This Row],[Comp3]]=0,0,1)*$D167-Tabla19[[#This Row],[Asign3]]=0,0,Tabla19[[#This Row],[Comp3]]))</f>
        <v/>
      </c>
      <c r="R167" s="85" t="str">
        <f>IF(Tabla19[[#This Row],[Comp4]]="","",
IF(IF(Tabla19[[#This Row],[Comp4]]=0,0,1)*$D167-Tabla19[[#This Row],[Asign4]]=0,0,Tabla19[[#This Row],[Comp4]]))</f>
        <v/>
      </c>
      <c r="S167" s="85" t="str">
        <f>IF(Tabla19[[#This Row],[Comp5]]="","",
IF(IF(Tabla19[[#This Row],[Comp5]]=0,0,1)*$D167-Tabla19[[#This Row],[Asign5]]=0,0,Tabla19[[#This Row],[Comp5]]))</f>
        <v/>
      </c>
    </row>
    <row r="168" spans="5:19" x14ac:dyDescent="0.3">
      <c r="E168" s="99" t="str">
        <f>IF($A168="","",INDEX(ListadoProductos[],MATCH('2.C_Datos'!$C168,ListadoProductos[Productos],0),MATCH('2.C_Datos'!E$3,ListadoProductos[#Headers],0)))</f>
        <v/>
      </c>
      <c r="F168" s="99" t="str">
        <f>IF($A168="","",INDEX(ListadoProductos[],MATCH('2.C_Datos'!$C168,ListadoProductos[Productos],0),MATCH('2.C_Datos'!F$3,ListadoProductos[#Headers],0)))</f>
        <v/>
      </c>
      <c r="G168" s="99" t="str">
        <f>IF($A168="","",INDEX(ListadoProductos[],MATCH('2.C_Datos'!$C168,ListadoProductos[Productos],0),MATCH('2.C_Datos'!G$3,ListadoProductos[#Headers],0)))</f>
        <v/>
      </c>
      <c r="H168" s="99" t="str">
        <f>IF($A168="","",INDEX(ListadoProductos[],MATCH('2.C_Datos'!$C168,ListadoProductos[Productos],0),MATCH('2.C_Datos'!H$3,ListadoProductos[#Headers],0)))</f>
        <v/>
      </c>
      <c r="I168" s="99" t="str">
        <f>IF($A168="","",INDEX(ListadoProductos[],MATCH('2.C_Datos'!$C168,ListadoProductos[Productos],0),MATCH('2.C_Datos'!I$3,ListadoProductos[#Headers],0)))</f>
        <v/>
      </c>
      <c r="J168" s="99" t="str">
        <f>IF(Tabla19[[#This Row],[Comp1]]="","",COUNTIFS(TablaMaq1[Componente],Tabla19[[#This Row],[Comp1]],TablaMaq1[ID_Pedido],'2.C_Datos'!A168)+
COUNTIFS(TablaMaq2[Componente],Tabla19[[#This Row],[Comp1]],TablaMaq2[ID_Pedido],'2.C_Datos'!A168)+
COUNTIFS(TablaMaq3[Componente],Tabla19[[#This Row],[Comp1]],TablaMaq3[ID_Pedido],'2.C_Datos'!A168)+
COUNTIFS(TablaMaq4[Componente],Tabla19[[#This Row],[Comp1]],TablaMaq4[ID_Pedido],'2.C_Datos'!A168))</f>
        <v/>
      </c>
      <c r="K168" s="99" t="str">
        <f>IF(Tabla19[[#This Row],[Comp2]]="","",COUNTIFS(TablaMaq1[Componente],Tabla19[[#This Row],[Comp2]],TablaMaq1[ID_Pedido],'2.C_Datos'!A168)+
COUNTIFS(TablaMaq2[Componente],Tabla19[[#This Row],[Comp2]],TablaMaq2[ID_Pedido],'2.C_Datos'!A168)+
COUNTIFS(TablaMaq3[Componente],Tabla19[[#This Row],[Comp2]],TablaMaq3[ID_Pedido],'2.C_Datos'!A168)+
COUNTIFS(TablaMaq4[Componente],Tabla19[[#This Row],[Comp2]],TablaMaq4[ID_Pedido],'2.C_Datos'!A168))</f>
        <v/>
      </c>
      <c r="L168" s="99" t="str">
        <f>IF(Tabla19[[#This Row],[Comp3]]="","",COUNTIFS(TablaMaq1[Componente],Tabla19[[#This Row],[Comp3]],TablaMaq1[ID_Pedido],'2.C_Datos'!A168)+
COUNTIFS(TablaMaq2[Componente],Tabla19[[#This Row],[Comp3]],TablaMaq2[ID_Pedido],'2.C_Datos'!A168)+
COUNTIFS(TablaMaq3[Componente],Tabla19[[#This Row],[Comp3]],TablaMaq3[ID_Pedido],'2.C_Datos'!A168)+
COUNTIFS(TablaMaq4[Componente],Tabla19[[#This Row],[Comp3]],TablaMaq4[ID_Pedido],'2.C_Datos'!A168))</f>
        <v/>
      </c>
      <c r="M168" s="99" t="str">
        <f>IF(Tabla19[[#This Row],[Comp4]]="","",COUNTIFS(TablaMaq1[Componente],Tabla19[[#This Row],[Comp4]],TablaMaq1[ID_Pedido],'2.C_Datos'!A168)+
COUNTIFS(TablaMaq2[Componente],Tabla19[[#This Row],[Comp4]],TablaMaq2[ID_Pedido],'2.C_Datos'!A168)+
COUNTIFS(TablaMaq3[Componente],Tabla19[[#This Row],[Comp4]],TablaMaq3[ID_Pedido],'2.C_Datos'!A168)+
COUNTIFS(TablaMaq4[Componente],Tabla19[[#This Row],[Comp4]],TablaMaq4[ID_Pedido],'2.C_Datos'!A168))</f>
        <v/>
      </c>
      <c r="N168" s="99" t="str">
        <f>IF(Tabla19[[#This Row],[Comp5]]="","",COUNTIFS(TablaMaq1[Componente],Tabla19[[#This Row],[Comp5]],TablaMaq1[ID_Pedido],'2.C_Datos'!A168)+
COUNTIFS(TablaMaq1[Componente],Tabla19[[#This Row],[Comp5]],TablaMaq2[ID_Pedido],'2.C_Datos'!A168)+
COUNTIFS(TablaMaq1[Componente],Tabla19[[#This Row],[Comp5]],TablaMaq3[ID_Pedido],'2.C_Datos'!A168)+
COUNTIFS(TablaMaq1[Componente],Tabla19[[#This Row],[Comp5]],TablaMaq4[ID_Pedido],'2.C_Datos'!A168))</f>
        <v/>
      </c>
      <c r="O168" s="85" t="str">
        <f>IF(Tabla19[[#This Row],[Comp1]]="","",
IF(IF(Tabla19[[#This Row],[Comp1]]=0,0,1)*$D168-Tabla19[[#This Row],[Asign1]]=0,0,Tabla19[[#This Row],[Comp1]]))</f>
        <v/>
      </c>
      <c r="P168" s="85" t="str">
        <f>IF(Tabla19[[#This Row],[Comp2]]="","",
IF(IF(Tabla19[[#This Row],[Comp2]]=0,0,1)*$D168-Tabla19[[#This Row],[Asign2]]=0,0,Tabla19[[#This Row],[Comp2]]))</f>
        <v/>
      </c>
      <c r="Q168" s="85" t="str">
        <f>IF(Tabla19[[#This Row],[Comp3]]="","",
IF(IF(Tabla19[[#This Row],[Comp3]]=0,0,1)*$D168-Tabla19[[#This Row],[Asign3]]=0,0,Tabla19[[#This Row],[Comp3]]))</f>
        <v/>
      </c>
      <c r="R168" s="85" t="str">
        <f>IF(Tabla19[[#This Row],[Comp4]]="","",
IF(IF(Tabla19[[#This Row],[Comp4]]=0,0,1)*$D168-Tabla19[[#This Row],[Asign4]]=0,0,Tabla19[[#This Row],[Comp4]]))</f>
        <v/>
      </c>
      <c r="S168" s="85" t="str">
        <f>IF(Tabla19[[#This Row],[Comp5]]="","",
IF(IF(Tabla19[[#This Row],[Comp5]]=0,0,1)*$D168-Tabla19[[#This Row],[Asign5]]=0,0,Tabla19[[#This Row],[Comp5]]))</f>
        <v/>
      </c>
    </row>
    <row r="169" spans="5:19" x14ac:dyDescent="0.3">
      <c r="E169" s="99" t="str">
        <f>IF($A169="","",INDEX(ListadoProductos[],MATCH('2.C_Datos'!$C169,ListadoProductos[Productos],0),MATCH('2.C_Datos'!E$3,ListadoProductos[#Headers],0)))</f>
        <v/>
      </c>
      <c r="F169" s="99" t="str">
        <f>IF($A169="","",INDEX(ListadoProductos[],MATCH('2.C_Datos'!$C169,ListadoProductos[Productos],0),MATCH('2.C_Datos'!F$3,ListadoProductos[#Headers],0)))</f>
        <v/>
      </c>
      <c r="G169" s="99" t="str">
        <f>IF($A169="","",INDEX(ListadoProductos[],MATCH('2.C_Datos'!$C169,ListadoProductos[Productos],0),MATCH('2.C_Datos'!G$3,ListadoProductos[#Headers],0)))</f>
        <v/>
      </c>
      <c r="H169" s="99" t="str">
        <f>IF($A169="","",INDEX(ListadoProductos[],MATCH('2.C_Datos'!$C169,ListadoProductos[Productos],0),MATCH('2.C_Datos'!H$3,ListadoProductos[#Headers],0)))</f>
        <v/>
      </c>
      <c r="I169" s="99" t="str">
        <f>IF($A169="","",INDEX(ListadoProductos[],MATCH('2.C_Datos'!$C169,ListadoProductos[Productos],0),MATCH('2.C_Datos'!I$3,ListadoProductos[#Headers],0)))</f>
        <v/>
      </c>
      <c r="J169" s="99" t="str">
        <f>IF(Tabla19[[#This Row],[Comp1]]="","",COUNTIFS(TablaMaq1[Componente],Tabla19[[#This Row],[Comp1]],TablaMaq1[ID_Pedido],'2.C_Datos'!A169)+
COUNTIFS(TablaMaq2[Componente],Tabla19[[#This Row],[Comp1]],TablaMaq2[ID_Pedido],'2.C_Datos'!A169)+
COUNTIFS(TablaMaq3[Componente],Tabla19[[#This Row],[Comp1]],TablaMaq3[ID_Pedido],'2.C_Datos'!A169)+
COUNTIFS(TablaMaq4[Componente],Tabla19[[#This Row],[Comp1]],TablaMaq4[ID_Pedido],'2.C_Datos'!A169))</f>
        <v/>
      </c>
      <c r="K169" s="99" t="str">
        <f>IF(Tabla19[[#This Row],[Comp2]]="","",COUNTIFS(TablaMaq1[Componente],Tabla19[[#This Row],[Comp2]],TablaMaq1[ID_Pedido],'2.C_Datos'!A169)+
COUNTIFS(TablaMaq2[Componente],Tabla19[[#This Row],[Comp2]],TablaMaq2[ID_Pedido],'2.C_Datos'!A169)+
COUNTIFS(TablaMaq3[Componente],Tabla19[[#This Row],[Comp2]],TablaMaq3[ID_Pedido],'2.C_Datos'!A169)+
COUNTIFS(TablaMaq4[Componente],Tabla19[[#This Row],[Comp2]],TablaMaq4[ID_Pedido],'2.C_Datos'!A169))</f>
        <v/>
      </c>
      <c r="L169" s="99" t="str">
        <f>IF(Tabla19[[#This Row],[Comp3]]="","",COUNTIFS(TablaMaq1[Componente],Tabla19[[#This Row],[Comp3]],TablaMaq1[ID_Pedido],'2.C_Datos'!A169)+
COUNTIFS(TablaMaq2[Componente],Tabla19[[#This Row],[Comp3]],TablaMaq2[ID_Pedido],'2.C_Datos'!A169)+
COUNTIFS(TablaMaq3[Componente],Tabla19[[#This Row],[Comp3]],TablaMaq3[ID_Pedido],'2.C_Datos'!A169)+
COUNTIFS(TablaMaq4[Componente],Tabla19[[#This Row],[Comp3]],TablaMaq4[ID_Pedido],'2.C_Datos'!A169))</f>
        <v/>
      </c>
      <c r="M169" s="99" t="str">
        <f>IF(Tabla19[[#This Row],[Comp4]]="","",COUNTIFS(TablaMaq1[Componente],Tabla19[[#This Row],[Comp4]],TablaMaq1[ID_Pedido],'2.C_Datos'!A169)+
COUNTIFS(TablaMaq2[Componente],Tabla19[[#This Row],[Comp4]],TablaMaq2[ID_Pedido],'2.C_Datos'!A169)+
COUNTIFS(TablaMaq3[Componente],Tabla19[[#This Row],[Comp4]],TablaMaq3[ID_Pedido],'2.C_Datos'!A169)+
COUNTIFS(TablaMaq4[Componente],Tabla19[[#This Row],[Comp4]],TablaMaq4[ID_Pedido],'2.C_Datos'!A169))</f>
        <v/>
      </c>
      <c r="N169" s="99" t="str">
        <f>IF(Tabla19[[#This Row],[Comp5]]="","",COUNTIFS(TablaMaq1[Componente],Tabla19[[#This Row],[Comp5]],TablaMaq1[ID_Pedido],'2.C_Datos'!A169)+
COUNTIFS(TablaMaq1[Componente],Tabla19[[#This Row],[Comp5]],TablaMaq2[ID_Pedido],'2.C_Datos'!A169)+
COUNTIFS(TablaMaq1[Componente],Tabla19[[#This Row],[Comp5]],TablaMaq3[ID_Pedido],'2.C_Datos'!A169)+
COUNTIFS(TablaMaq1[Componente],Tabla19[[#This Row],[Comp5]],TablaMaq4[ID_Pedido],'2.C_Datos'!A169))</f>
        <v/>
      </c>
      <c r="O169" s="85" t="str">
        <f>IF(Tabla19[[#This Row],[Comp1]]="","",
IF(IF(Tabla19[[#This Row],[Comp1]]=0,0,1)*$D169-Tabla19[[#This Row],[Asign1]]=0,0,Tabla19[[#This Row],[Comp1]]))</f>
        <v/>
      </c>
      <c r="P169" s="85" t="str">
        <f>IF(Tabla19[[#This Row],[Comp2]]="","",
IF(IF(Tabla19[[#This Row],[Comp2]]=0,0,1)*$D169-Tabla19[[#This Row],[Asign2]]=0,0,Tabla19[[#This Row],[Comp2]]))</f>
        <v/>
      </c>
      <c r="Q169" s="85" t="str">
        <f>IF(Tabla19[[#This Row],[Comp3]]="","",
IF(IF(Tabla19[[#This Row],[Comp3]]=0,0,1)*$D169-Tabla19[[#This Row],[Asign3]]=0,0,Tabla19[[#This Row],[Comp3]]))</f>
        <v/>
      </c>
      <c r="R169" s="85" t="str">
        <f>IF(Tabla19[[#This Row],[Comp4]]="","",
IF(IF(Tabla19[[#This Row],[Comp4]]=0,0,1)*$D169-Tabla19[[#This Row],[Asign4]]=0,0,Tabla19[[#This Row],[Comp4]]))</f>
        <v/>
      </c>
      <c r="S169" s="85" t="str">
        <f>IF(Tabla19[[#This Row],[Comp5]]="","",
IF(IF(Tabla19[[#This Row],[Comp5]]=0,0,1)*$D169-Tabla19[[#This Row],[Asign5]]=0,0,Tabla19[[#This Row],[Comp5]]))</f>
        <v/>
      </c>
    </row>
    <row r="170" spans="5:19" x14ac:dyDescent="0.3">
      <c r="E170" s="99" t="str">
        <f>IF($A170="","",INDEX(ListadoProductos[],MATCH('2.C_Datos'!$C170,ListadoProductos[Productos],0),MATCH('2.C_Datos'!E$3,ListadoProductos[#Headers],0)))</f>
        <v/>
      </c>
      <c r="F170" s="99" t="str">
        <f>IF($A170="","",INDEX(ListadoProductos[],MATCH('2.C_Datos'!$C170,ListadoProductos[Productos],0),MATCH('2.C_Datos'!F$3,ListadoProductos[#Headers],0)))</f>
        <v/>
      </c>
      <c r="G170" s="99" t="str">
        <f>IF($A170="","",INDEX(ListadoProductos[],MATCH('2.C_Datos'!$C170,ListadoProductos[Productos],0),MATCH('2.C_Datos'!G$3,ListadoProductos[#Headers],0)))</f>
        <v/>
      </c>
      <c r="H170" s="99" t="str">
        <f>IF($A170="","",INDEX(ListadoProductos[],MATCH('2.C_Datos'!$C170,ListadoProductos[Productos],0),MATCH('2.C_Datos'!H$3,ListadoProductos[#Headers],0)))</f>
        <v/>
      </c>
      <c r="I170" s="99" t="str">
        <f>IF($A170="","",INDEX(ListadoProductos[],MATCH('2.C_Datos'!$C170,ListadoProductos[Productos],0),MATCH('2.C_Datos'!I$3,ListadoProductos[#Headers],0)))</f>
        <v/>
      </c>
      <c r="J170" s="99" t="str">
        <f>IF(Tabla19[[#This Row],[Comp1]]="","",COUNTIFS(TablaMaq1[Componente],Tabla19[[#This Row],[Comp1]],TablaMaq1[ID_Pedido],'2.C_Datos'!A170)+
COUNTIFS(TablaMaq2[Componente],Tabla19[[#This Row],[Comp1]],TablaMaq2[ID_Pedido],'2.C_Datos'!A170)+
COUNTIFS(TablaMaq3[Componente],Tabla19[[#This Row],[Comp1]],TablaMaq3[ID_Pedido],'2.C_Datos'!A170)+
COUNTIFS(TablaMaq4[Componente],Tabla19[[#This Row],[Comp1]],TablaMaq4[ID_Pedido],'2.C_Datos'!A170))</f>
        <v/>
      </c>
      <c r="K170" s="99" t="str">
        <f>IF(Tabla19[[#This Row],[Comp2]]="","",COUNTIFS(TablaMaq1[Componente],Tabla19[[#This Row],[Comp2]],TablaMaq1[ID_Pedido],'2.C_Datos'!A170)+
COUNTIFS(TablaMaq2[Componente],Tabla19[[#This Row],[Comp2]],TablaMaq2[ID_Pedido],'2.C_Datos'!A170)+
COUNTIFS(TablaMaq3[Componente],Tabla19[[#This Row],[Comp2]],TablaMaq3[ID_Pedido],'2.C_Datos'!A170)+
COUNTIFS(TablaMaq4[Componente],Tabla19[[#This Row],[Comp2]],TablaMaq4[ID_Pedido],'2.C_Datos'!A170))</f>
        <v/>
      </c>
      <c r="L170" s="99" t="str">
        <f>IF(Tabla19[[#This Row],[Comp3]]="","",COUNTIFS(TablaMaq1[Componente],Tabla19[[#This Row],[Comp3]],TablaMaq1[ID_Pedido],'2.C_Datos'!A170)+
COUNTIFS(TablaMaq2[Componente],Tabla19[[#This Row],[Comp3]],TablaMaq2[ID_Pedido],'2.C_Datos'!A170)+
COUNTIFS(TablaMaq3[Componente],Tabla19[[#This Row],[Comp3]],TablaMaq3[ID_Pedido],'2.C_Datos'!A170)+
COUNTIFS(TablaMaq4[Componente],Tabla19[[#This Row],[Comp3]],TablaMaq4[ID_Pedido],'2.C_Datos'!A170))</f>
        <v/>
      </c>
      <c r="M170" s="99" t="str">
        <f>IF(Tabla19[[#This Row],[Comp4]]="","",COUNTIFS(TablaMaq1[Componente],Tabla19[[#This Row],[Comp4]],TablaMaq1[ID_Pedido],'2.C_Datos'!A170)+
COUNTIFS(TablaMaq2[Componente],Tabla19[[#This Row],[Comp4]],TablaMaq2[ID_Pedido],'2.C_Datos'!A170)+
COUNTIFS(TablaMaq3[Componente],Tabla19[[#This Row],[Comp4]],TablaMaq3[ID_Pedido],'2.C_Datos'!A170)+
COUNTIFS(TablaMaq4[Componente],Tabla19[[#This Row],[Comp4]],TablaMaq4[ID_Pedido],'2.C_Datos'!A170))</f>
        <v/>
      </c>
      <c r="N170" s="99" t="str">
        <f>IF(Tabla19[[#This Row],[Comp5]]="","",COUNTIFS(TablaMaq1[Componente],Tabla19[[#This Row],[Comp5]],TablaMaq1[ID_Pedido],'2.C_Datos'!A170)+
COUNTIFS(TablaMaq1[Componente],Tabla19[[#This Row],[Comp5]],TablaMaq2[ID_Pedido],'2.C_Datos'!A170)+
COUNTIFS(TablaMaq1[Componente],Tabla19[[#This Row],[Comp5]],TablaMaq3[ID_Pedido],'2.C_Datos'!A170)+
COUNTIFS(TablaMaq1[Componente],Tabla19[[#This Row],[Comp5]],TablaMaq4[ID_Pedido],'2.C_Datos'!A170))</f>
        <v/>
      </c>
      <c r="O170" s="85" t="str">
        <f>IF(Tabla19[[#This Row],[Comp1]]="","",
IF(IF(Tabla19[[#This Row],[Comp1]]=0,0,1)*$D170-Tabla19[[#This Row],[Asign1]]=0,0,Tabla19[[#This Row],[Comp1]]))</f>
        <v/>
      </c>
      <c r="P170" s="85" t="str">
        <f>IF(Tabla19[[#This Row],[Comp2]]="","",
IF(IF(Tabla19[[#This Row],[Comp2]]=0,0,1)*$D170-Tabla19[[#This Row],[Asign2]]=0,0,Tabla19[[#This Row],[Comp2]]))</f>
        <v/>
      </c>
      <c r="Q170" s="85" t="str">
        <f>IF(Tabla19[[#This Row],[Comp3]]="","",
IF(IF(Tabla19[[#This Row],[Comp3]]=0,0,1)*$D170-Tabla19[[#This Row],[Asign3]]=0,0,Tabla19[[#This Row],[Comp3]]))</f>
        <v/>
      </c>
      <c r="R170" s="85" t="str">
        <f>IF(Tabla19[[#This Row],[Comp4]]="","",
IF(IF(Tabla19[[#This Row],[Comp4]]=0,0,1)*$D170-Tabla19[[#This Row],[Asign4]]=0,0,Tabla19[[#This Row],[Comp4]]))</f>
        <v/>
      </c>
      <c r="S170" s="85" t="str">
        <f>IF(Tabla19[[#This Row],[Comp5]]="","",
IF(IF(Tabla19[[#This Row],[Comp5]]=0,0,1)*$D170-Tabla19[[#This Row],[Asign5]]=0,0,Tabla19[[#This Row],[Comp5]]))</f>
        <v/>
      </c>
    </row>
    <row r="171" spans="5:19" x14ac:dyDescent="0.3">
      <c r="E171" s="99" t="str">
        <f>IF($A171="","",INDEX(ListadoProductos[],MATCH('2.C_Datos'!$C171,ListadoProductos[Productos],0),MATCH('2.C_Datos'!E$3,ListadoProductos[#Headers],0)))</f>
        <v/>
      </c>
      <c r="F171" s="99" t="str">
        <f>IF($A171="","",INDEX(ListadoProductos[],MATCH('2.C_Datos'!$C171,ListadoProductos[Productos],0),MATCH('2.C_Datos'!F$3,ListadoProductos[#Headers],0)))</f>
        <v/>
      </c>
      <c r="G171" s="99" t="str">
        <f>IF($A171="","",INDEX(ListadoProductos[],MATCH('2.C_Datos'!$C171,ListadoProductos[Productos],0),MATCH('2.C_Datos'!G$3,ListadoProductos[#Headers],0)))</f>
        <v/>
      </c>
      <c r="H171" s="99" t="str">
        <f>IF($A171="","",INDEX(ListadoProductos[],MATCH('2.C_Datos'!$C171,ListadoProductos[Productos],0),MATCH('2.C_Datos'!H$3,ListadoProductos[#Headers],0)))</f>
        <v/>
      </c>
      <c r="I171" s="99" t="str">
        <f>IF($A171="","",INDEX(ListadoProductos[],MATCH('2.C_Datos'!$C171,ListadoProductos[Productos],0),MATCH('2.C_Datos'!I$3,ListadoProductos[#Headers],0)))</f>
        <v/>
      </c>
      <c r="J171" s="99" t="str">
        <f>IF(Tabla19[[#This Row],[Comp1]]="","",COUNTIFS(TablaMaq1[Componente],Tabla19[[#This Row],[Comp1]],TablaMaq1[ID_Pedido],'2.C_Datos'!A171)+
COUNTIFS(TablaMaq2[Componente],Tabla19[[#This Row],[Comp1]],TablaMaq2[ID_Pedido],'2.C_Datos'!A171)+
COUNTIFS(TablaMaq3[Componente],Tabla19[[#This Row],[Comp1]],TablaMaq3[ID_Pedido],'2.C_Datos'!A171)+
COUNTIFS(TablaMaq4[Componente],Tabla19[[#This Row],[Comp1]],TablaMaq4[ID_Pedido],'2.C_Datos'!A171))</f>
        <v/>
      </c>
      <c r="K171" s="99" t="str">
        <f>IF(Tabla19[[#This Row],[Comp2]]="","",COUNTIFS(TablaMaq1[Componente],Tabla19[[#This Row],[Comp2]],TablaMaq1[ID_Pedido],'2.C_Datos'!A171)+
COUNTIFS(TablaMaq2[Componente],Tabla19[[#This Row],[Comp2]],TablaMaq2[ID_Pedido],'2.C_Datos'!A171)+
COUNTIFS(TablaMaq3[Componente],Tabla19[[#This Row],[Comp2]],TablaMaq3[ID_Pedido],'2.C_Datos'!A171)+
COUNTIFS(TablaMaq4[Componente],Tabla19[[#This Row],[Comp2]],TablaMaq4[ID_Pedido],'2.C_Datos'!A171))</f>
        <v/>
      </c>
      <c r="L171" s="99" t="str">
        <f>IF(Tabla19[[#This Row],[Comp3]]="","",COUNTIFS(TablaMaq1[Componente],Tabla19[[#This Row],[Comp3]],TablaMaq1[ID_Pedido],'2.C_Datos'!A171)+
COUNTIFS(TablaMaq2[Componente],Tabla19[[#This Row],[Comp3]],TablaMaq2[ID_Pedido],'2.C_Datos'!A171)+
COUNTIFS(TablaMaq3[Componente],Tabla19[[#This Row],[Comp3]],TablaMaq3[ID_Pedido],'2.C_Datos'!A171)+
COUNTIFS(TablaMaq4[Componente],Tabla19[[#This Row],[Comp3]],TablaMaq4[ID_Pedido],'2.C_Datos'!A171))</f>
        <v/>
      </c>
      <c r="M171" s="99" t="str">
        <f>IF(Tabla19[[#This Row],[Comp4]]="","",COUNTIFS(TablaMaq1[Componente],Tabla19[[#This Row],[Comp4]],TablaMaq1[ID_Pedido],'2.C_Datos'!A171)+
COUNTIFS(TablaMaq2[Componente],Tabla19[[#This Row],[Comp4]],TablaMaq2[ID_Pedido],'2.C_Datos'!A171)+
COUNTIFS(TablaMaq3[Componente],Tabla19[[#This Row],[Comp4]],TablaMaq3[ID_Pedido],'2.C_Datos'!A171)+
COUNTIFS(TablaMaq4[Componente],Tabla19[[#This Row],[Comp4]],TablaMaq4[ID_Pedido],'2.C_Datos'!A171))</f>
        <v/>
      </c>
      <c r="N171" s="99" t="str">
        <f>IF(Tabla19[[#This Row],[Comp5]]="","",COUNTIFS(TablaMaq1[Componente],Tabla19[[#This Row],[Comp5]],TablaMaq1[ID_Pedido],'2.C_Datos'!A171)+
COUNTIFS(TablaMaq1[Componente],Tabla19[[#This Row],[Comp5]],TablaMaq2[ID_Pedido],'2.C_Datos'!A171)+
COUNTIFS(TablaMaq1[Componente],Tabla19[[#This Row],[Comp5]],TablaMaq3[ID_Pedido],'2.C_Datos'!A171)+
COUNTIFS(TablaMaq1[Componente],Tabla19[[#This Row],[Comp5]],TablaMaq4[ID_Pedido],'2.C_Datos'!A171))</f>
        <v/>
      </c>
      <c r="O171" s="85" t="str">
        <f>IF(Tabla19[[#This Row],[Comp1]]="","",
IF(IF(Tabla19[[#This Row],[Comp1]]=0,0,1)*$D171-Tabla19[[#This Row],[Asign1]]=0,0,Tabla19[[#This Row],[Comp1]]))</f>
        <v/>
      </c>
      <c r="P171" s="85" t="str">
        <f>IF(Tabla19[[#This Row],[Comp2]]="","",
IF(IF(Tabla19[[#This Row],[Comp2]]=0,0,1)*$D171-Tabla19[[#This Row],[Asign2]]=0,0,Tabla19[[#This Row],[Comp2]]))</f>
        <v/>
      </c>
      <c r="Q171" s="85" t="str">
        <f>IF(Tabla19[[#This Row],[Comp3]]="","",
IF(IF(Tabla19[[#This Row],[Comp3]]=0,0,1)*$D171-Tabla19[[#This Row],[Asign3]]=0,0,Tabla19[[#This Row],[Comp3]]))</f>
        <v/>
      </c>
      <c r="R171" s="85" t="str">
        <f>IF(Tabla19[[#This Row],[Comp4]]="","",
IF(IF(Tabla19[[#This Row],[Comp4]]=0,0,1)*$D171-Tabla19[[#This Row],[Asign4]]=0,0,Tabla19[[#This Row],[Comp4]]))</f>
        <v/>
      </c>
      <c r="S171" s="85" t="str">
        <f>IF(Tabla19[[#This Row],[Comp5]]="","",
IF(IF(Tabla19[[#This Row],[Comp5]]=0,0,1)*$D171-Tabla19[[#This Row],[Asign5]]=0,0,Tabla19[[#This Row],[Comp5]]))</f>
        <v/>
      </c>
    </row>
    <row r="172" spans="5:19" x14ac:dyDescent="0.3">
      <c r="E172" s="99" t="str">
        <f>IF($A172="","",INDEX(ListadoProductos[],MATCH('2.C_Datos'!$C172,ListadoProductos[Productos],0),MATCH('2.C_Datos'!E$3,ListadoProductos[#Headers],0)))</f>
        <v/>
      </c>
      <c r="F172" s="99" t="str">
        <f>IF($A172="","",INDEX(ListadoProductos[],MATCH('2.C_Datos'!$C172,ListadoProductos[Productos],0),MATCH('2.C_Datos'!F$3,ListadoProductos[#Headers],0)))</f>
        <v/>
      </c>
      <c r="G172" s="99" t="str">
        <f>IF($A172="","",INDEX(ListadoProductos[],MATCH('2.C_Datos'!$C172,ListadoProductos[Productos],0),MATCH('2.C_Datos'!G$3,ListadoProductos[#Headers],0)))</f>
        <v/>
      </c>
      <c r="H172" s="99" t="str">
        <f>IF($A172="","",INDEX(ListadoProductos[],MATCH('2.C_Datos'!$C172,ListadoProductos[Productos],0),MATCH('2.C_Datos'!H$3,ListadoProductos[#Headers],0)))</f>
        <v/>
      </c>
      <c r="I172" s="99" t="str">
        <f>IF($A172="","",INDEX(ListadoProductos[],MATCH('2.C_Datos'!$C172,ListadoProductos[Productos],0),MATCH('2.C_Datos'!I$3,ListadoProductos[#Headers],0)))</f>
        <v/>
      </c>
      <c r="J172" s="99" t="str">
        <f>IF(Tabla19[[#This Row],[Comp1]]="","",COUNTIFS(TablaMaq1[Componente],Tabla19[[#This Row],[Comp1]],TablaMaq1[ID_Pedido],'2.C_Datos'!A172)+
COUNTIFS(TablaMaq2[Componente],Tabla19[[#This Row],[Comp1]],TablaMaq2[ID_Pedido],'2.C_Datos'!A172)+
COUNTIFS(TablaMaq3[Componente],Tabla19[[#This Row],[Comp1]],TablaMaq3[ID_Pedido],'2.C_Datos'!A172)+
COUNTIFS(TablaMaq4[Componente],Tabla19[[#This Row],[Comp1]],TablaMaq4[ID_Pedido],'2.C_Datos'!A172))</f>
        <v/>
      </c>
      <c r="K172" s="99" t="str">
        <f>IF(Tabla19[[#This Row],[Comp2]]="","",COUNTIFS(TablaMaq1[Componente],Tabla19[[#This Row],[Comp2]],TablaMaq1[ID_Pedido],'2.C_Datos'!A172)+
COUNTIFS(TablaMaq2[Componente],Tabla19[[#This Row],[Comp2]],TablaMaq2[ID_Pedido],'2.C_Datos'!A172)+
COUNTIFS(TablaMaq3[Componente],Tabla19[[#This Row],[Comp2]],TablaMaq3[ID_Pedido],'2.C_Datos'!A172)+
COUNTIFS(TablaMaq4[Componente],Tabla19[[#This Row],[Comp2]],TablaMaq4[ID_Pedido],'2.C_Datos'!A172))</f>
        <v/>
      </c>
      <c r="L172" s="99" t="str">
        <f>IF(Tabla19[[#This Row],[Comp3]]="","",COUNTIFS(TablaMaq1[Componente],Tabla19[[#This Row],[Comp3]],TablaMaq1[ID_Pedido],'2.C_Datos'!A172)+
COUNTIFS(TablaMaq2[Componente],Tabla19[[#This Row],[Comp3]],TablaMaq2[ID_Pedido],'2.C_Datos'!A172)+
COUNTIFS(TablaMaq3[Componente],Tabla19[[#This Row],[Comp3]],TablaMaq3[ID_Pedido],'2.C_Datos'!A172)+
COUNTIFS(TablaMaq4[Componente],Tabla19[[#This Row],[Comp3]],TablaMaq4[ID_Pedido],'2.C_Datos'!A172))</f>
        <v/>
      </c>
      <c r="M172" s="99" t="str">
        <f>IF(Tabla19[[#This Row],[Comp4]]="","",COUNTIFS(TablaMaq1[Componente],Tabla19[[#This Row],[Comp4]],TablaMaq1[ID_Pedido],'2.C_Datos'!A172)+
COUNTIFS(TablaMaq2[Componente],Tabla19[[#This Row],[Comp4]],TablaMaq2[ID_Pedido],'2.C_Datos'!A172)+
COUNTIFS(TablaMaq3[Componente],Tabla19[[#This Row],[Comp4]],TablaMaq3[ID_Pedido],'2.C_Datos'!A172)+
COUNTIFS(TablaMaq4[Componente],Tabla19[[#This Row],[Comp4]],TablaMaq4[ID_Pedido],'2.C_Datos'!A172))</f>
        <v/>
      </c>
      <c r="N172" s="99" t="str">
        <f>IF(Tabla19[[#This Row],[Comp5]]="","",COUNTIFS(TablaMaq1[Componente],Tabla19[[#This Row],[Comp5]],TablaMaq1[ID_Pedido],'2.C_Datos'!A172)+
COUNTIFS(TablaMaq1[Componente],Tabla19[[#This Row],[Comp5]],TablaMaq2[ID_Pedido],'2.C_Datos'!A172)+
COUNTIFS(TablaMaq1[Componente],Tabla19[[#This Row],[Comp5]],TablaMaq3[ID_Pedido],'2.C_Datos'!A172)+
COUNTIFS(TablaMaq1[Componente],Tabla19[[#This Row],[Comp5]],TablaMaq4[ID_Pedido],'2.C_Datos'!A172))</f>
        <v/>
      </c>
      <c r="O172" s="85" t="str">
        <f>IF(Tabla19[[#This Row],[Comp1]]="","",
IF(IF(Tabla19[[#This Row],[Comp1]]=0,0,1)*$D172-Tabla19[[#This Row],[Asign1]]=0,0,Tabla19[[#This Row],[Comp1]]))</f>
        <v/>
      </c>
      <c r="P172" s="85" t="str">
        <f>IF(Tabla19[[#This Row],[Comp2]]="","",
IF(IF(Tabla19[[#This Row],[Comp2]]=0,0,1)*$D172-Tabla19[[#This Row],[Asign2]]=0,0,Tabla19[[#This Row],[Comp2]]))</f>
        <v/>
      </c>
      <c r="Q172" s="85" t="str">
        <f>IF(Tabla19[[#This Row],[Comp3]]="","",
IF(IF(Tabla19[[#This Row],[Comp3]]=0,0,1)*$D172-Tabla19[[#This Row],[Asign3]]=0,0,Tabla19[[#This Row],[Comp3]]))</f>
        <v/>
      </c>
      <c r="R172" s="85" t="str">
        <f>IF(Tabla19[[#This Row],[Comp4]]="","",
IF(IF(Tabla19[[#This Row],[Comp4]]=0,0,1)*$D172-Tabla19[[#This Row],[Asign4]]=0,0,Tabla19[[#This Row],[Comp4]]))</f>
        <v/>
      </c>
      <c r="S172" s="85" t="str">
        <f>IF(Tabla19[[#This Row],[Comp5]]="","",
IF(IF(Tabla19[[#This Row],[Comp5]]=0,0,1)*$D172-Tabla19[[#This Row],[Asign5]]=0,0,Tabla19[[#This Row],[Comp5]]))</f>
        <v/>
      </c>
    </row>
    <row r="173" spans="5:19" x14ac:dyDescent="0.3">
      <c r="E173" s="99" t="str">
        <f>IF($A173="","",INDEX(ListadoProductos[],MATCH('2.C_Datos'!$C173,ListadoProductos[Productos],0),MATCH('2.C_Datos'!E$3,ListadoProductos[#Headers],0)))</f>
        <v/>
      </c>
      <c r="F173" s="99" t="str">
        <f>IF($A173="","",INDEX(ListadoProductos[],MATCH('2.C_Datos'!$C173,ListadoProductos[Productos],0),MATCH('2.C_Datos'!F$3,ListadoProductos[#Headers],0)))</f>
        <v/>
      </c>
      <c r="G173" s="99" t="str">
        <f>IF($A173="","",INDEX(ListadoProductos[],MATCH('2.C_Datos'!$C173,ListadoProductos[Productos],0),MATCH('2.C_Datos'!G$3,ListadoProductos[#Headers],0)))</f>
        <v/>
      </c>
      <c r="H173" s="99" t="str">
        <f>IF($A173="","",INDEX(ListadoProductos[],MATCH('2.C_Datos'!$C173,ListadoProductos[Productos],0),MATCH('2.C_Datos'!H$3,ListadoProductos[#Headers],0)))</f>
        <v/>
      </c>
      <c r="I173" s="99" t="str">
        <f>IF($A173="","",INDEX(ListadoProductos[],MATCH('2.C_Datos'!$C173,ListadoProductos[Productos],0),MATCH('2.C_Datos'!I$3,ListadoProductos[#Headers],0)))</f>
        <v/>
      </c>
      <c r="J173" s="99" t="str">
        <f>IF(Tabla19[[#This Row],[Comp1]]="","",COUNTIFS(TablaMaq1[Componente],Tabla19[[#This Row],[Comp1]],TablaMaq1[ID_Pedido],'2.C_Datos'!A173)+
COUNTIFS(TablaMaq2[Componente],Tabla19[[#This Row],[Comp1]],TablaMaq2[ID_Pedido],'2.C_Datos'!A173)+
COUNTIFS(TablaMaq3[Componente],Tabla19[[#This Row],[Comp1]],TablaMaq3[ID_Pedido],'2.C_Datos'!A173)+
COUNTIFS(TablaMaq4[Componente],Tabla19[[#This Row],[Comp1]],TablaMaq4[ID_Pedido],'2.C_Datos'!A173))</f>
        <v/>
      </c>
      <c r="K173" s="99" t="str">
        <f>IF(Tabla19[[#This Row],[Comp2]]="","",COUNTIFS(TablaMaq1[Componente],Tabla19[[#This Row],[Comp2]],TablaMaq1[ID_Pedido],'2.C_Datos'!A173)+
COUNTIFS(TablaMaq2[Componente],Tabla19[[#This Row],[Comp2]],TablaMaq2[ID_Pedido],'2.C_Datos'!A173)+
COUNTIFS(TablaMaq3[Componente],Tabla19[[#This Row],[Comp2]],TablaMaq3[ID_Pedido],'2.C_Datos'!A173)+
COUNTIFS(TablaMaq4[Componente],Tabla19[[#This Row],[Comp2]],TablaMaq4[ID_Pedido],'2.C_Datos'!A173))</f>
        <v/>
      </c>
      <c r="L173" s="99" t="str">
        <f>IF(Tabla19[[#This Row],[Comp3]]="","",COUNTIFS(TablaMaq1[Componente],Tabla19[[#This Row],[Comp3]],TablaMaq1[ID_Pedido],'2.C_Datos'!A173)+
COUNTIFS(TablaMaq2[Componente],Tabla19[[#This Row],[Comp3]],TablaMaq2[ID_Pedido],'2.C_Datos'!A173)+
COUNTIFS(TablaMaq3[Componente],Tabla19[[#This Row],[Comp3]],TablaMaq3[ID_Pedido],'2.C_Datos'!A173)+
COUNTIFS(TablaMaq4[Componente],Tabla19[[#This Row],[Comp3]],TablaMaq4[ID_Pedido],'2.C_Datos'!A173))</f>
        <v/>
      </c>
      <c r="M173" s="99" t="str">
        <f>IF(Tabla19[[#This Row],[Comp4]]="","",COUNTIFS(TablaMaq1[Componente],Tabla19[[#This Row],[Comp4]],TablaMaq1[ID_Pedido],'2.C_Datos'!A173)+
COUNTIFS(TablaMaq2[Componente],Tabla19[[#This Row],[Comp4]],TablaMaq2[ID_Pedido],'2.C_Datos'!A173)+
COUNTIFS(TablaMaq3[Componente],Tabla19[[#This Row],[Comp4]],TablaMaq3[ID_Pedido],'2.C_Datos'!A173)+
COUNTIFS(TablaMaq4[Componente],Tabla19[[#This Row],[Comp4]],TablaMaq4[ID_Pedido],'2.C_Datos'!A173))</f>
        <v/>
      </c>
      <c r="N173" s="99" t="str">
        <f>IF(Tabla19[[#This Row],[Comp5]]="","",COUNTIFS(TablaMaq1[Componente],Tabla19[[#This Row],[Comp5]],TablaMaq1[ID_Pedido],'2.C_Datos'!A173)+
COUNTIFS(TablaMaq1[Componente],Tabla19[[#This Row],[Comp5]],TablaMaq2[ID_Pedido],'2.C_Datos'!A173)+
COUNTIFS(TablaMaq1[Componente],Tabla19[[#This Row],[Comp5]],TablaMaq3[ID_Pedido],'2.C_Datos'!A173)+
COUNTIFS(TablaMaq1[Componente],Tabla19[[#This Row],[Comp5]],TablaMaq4[ID_Pedido],'2.C_Datos'!A173))</f>
        <v/>
      </c>
      <c r="O173" s="85" t="str">
        <f>IF(Tabla19[[#This Row],[Comp1]]="","",
IF(IF(Tabla19[[#This Row],[Comp1]]=0,0,1)*$D173-Tabla19[[#This Row],[Asign1]]=0,0,Tabla19[[#This Row],[Comp1]]))</f>
        <v/>
      </c>
      <c r="P173" s="85" t="str">
        <f>IF(Tabla19[[#This Row],[Comp2]]="","",
IF(IF(Tabla19[[#This Row],[Comp2]]=0,0,1)*$D173-Tabla19[[#This Row],[Asign2]]=0,0,Tabla19[[#This Row],[Comp2]]))</f>
        <v/>
      </c>
      <c r="Q173" s="85" t="str">
        <f>IF(Tabla19[[#This Row],[Comp3]]="","",
IF(IF(Tabla19[[#This Row],[Comp3]]=0,0,1)*$D173-Tabla19[[#This Row],[Asign3]]=0,0,Tabla19[[#This Row],[Comp3]]))</f>
        <v/>
      </c>
      <c r="R173" s="85" t="str">
        <f>IF(Tabla19[[#This Row],[Comp4]]="","",
IF(IF(Tabla19[[#This Row],[Comp4]]=0,0,1)*$D173-Tabla19[[#This Row],[Asign4]]=0,0,Tabla19[[#This Row],[Comp4]]))</f>
        <v/>
      </c>
      <c r="S173" s="85" t="str">
        <f>IF(Tabla19[[#This Row],[Comp5]]="","",
IF(IF(Tabla19[[#This Row],[Comp5]]=0,0,1)*$D173-Tabla19[[#This Row],[Asign5]]=0,0,Tabla19[[#This Row],[Comp5]]))</f>
        <v/>
      </c>
    </row>
    <row r="174" spans="5:19" x14ac:dyDescent="0.3">
      <c r="E174" s="99" t="str">
        <f>IF($A174="","",INDEX(ListadoProductos[],MATCH('2.C_Datos'!$C174,ListadoProductos[Productos],0),MATCH('2.C_Datos'!E$3,ListadoProductos[#Headers],0)))</f>
        <v/>
      </c>
      <c r="F174" s="99" t="str">
        <f>IF($A174="","",INDEX(ListadoProductos[],MATCH('2.C_Datos'!$C174,ListadoProductos[Productos],0),MATCH('2.C_Datos'!F$3,ListadoProductos[#Headers],0)))</f>
        <v/>
      </c>
      <c r="G174" s="99" t="str">
        <f>IF($A174="","",INDEX(ListadoProductos[],MATCH('2.C_Datos'!$C174,ListadoProductos[Productos],0),MATCH('2.C_Datos'!G$3,ListadoProductos[#Headers],0)))</f>
        <v/>
      </c>
      <c r="H174" s="99" t="str">
        <f>IF($A174="","",INDEX(ListadoProductos[],MATCH('2.C_Datos'!$C174,ListadoProductos[Productos],0),MATCH('2.C_Datos'!H$3,ListadoProductos[#Headers],0)))</f>
        <v/>
      </c>
      <c r="I174" s="99" t="str">
        <f>IF($A174="","",INDEX(ListadoProductos[],MATCH('2.C_Datos'!$C174,ListadoProductos[Productos],0),MATCH('2.C_Datos'!I$3,ListadoProductos[#Headers],0)))</f>
        <v/>
      </c>
      <c r="J174" s="99" t="str">
        <f>IF(Tabla19[[#This Row],[Comp1]]="","",COUNTIFS(TablaMaq1[Componente],Tabla19[[#This Row],[Comp1]],TablaMaq1[ID_Pedido],'2.C_Datos'!A174)+
COUNTIFS(TablaMaq2[Componente],Tabla19[[#This Row],[Comp1]],TablaMaq2[ID_Pedido],'2.C_Datos'!A174)+
COUNTIFS(TablaMaq3[Componente],Tabla19[[#This Row],[Comp1]],TablaMaq3[ID_Pedido],'2.C_Datos'!A174)+
COUNTIFS(TablaMaq4[Componente],Tabla19[[#This Row],[Comp1]],TablaMaq4[ID_Pedido],'2.C_Datos'!A174))</f>
        <v/>
      </c>
      <c r="K174" s="99" t="str">
        <f>IF(Tabla19[[#This Row],[Comp2]]="","",COUNTIFS(TablaMaq1[Componente],Tabla19[[#This Row],[Comp2]],TablaMaq1[ID_Pedido],'2.C_Datos'!A174)+
COUNTIFS(TablaMaq2[Componente],Tabla19[[#This Row],[Comp2]],TablaMaq2[ID_Pedido],'2.C_Datos'!A174)+
COUNTIFS(TablaMaq3[Componente],Tabla19[[#This Row],[Comp2]],TablaMaq3[ID_Pedido],'2.C_Datos'!A174)+
COUNTIFS(TablaMaq4[Componente],Tabla19[[#This Row],[Comp2]],TablaMaq4[ID_Pedido],'2.C_Datos'!A174))</f>
        <v/>
      </c>
      <c r="L174" s="99" t="str">
        <f>IF(Tabla19[[#This Row],[Comp3]]="","",COUNTIFS(TablaMaq1[Componente],Tabla19[[#This Row],[Comp3]],TablaMaq1[ID_Pedido],'2.C_Datos'!A174)+
COUNTIFS(TablaMaq2[Componente],Tabla19[[#This Row],[Comp3]],TablaMaq2[ID_Pedido],'2.C_Datos'!A174)+
COUNTIFS(TablaMaq3[Componente],Tabla19[[#This Row],[Comp3]],TablaMaq3[ID_Pedido],'2.C_Datos'!A174)+
COUNTIFS(TablaMaq4[Componente],Tabla19[[#This Row],[Comp3]],TablaMaq4[ID_Pedido],'2.C_Datos'!A174))</f>
        <v/>
      </c>
      <c r="M174" s="99" t="str">
        <f>IF(Tabla19[[#This Row],[Comp4]]="","",COUNTIFS(TablaMaq1[Componente],Tabla19[[#This Row],[Comp4]],TablaMaq1[ID_Pedido],'2.C_Datos'!A174)+
COUNTIFS(TablaMaq2[Componente],Tabla19[[#This Row],[Comp4]],TablaMaq2[ID_Pedido],'2.C_Datos'!A174)+
COUNTIFS(TablaMaq3[Componente],Tabla19[[#This Row],[Comp4]],TablaMaq3[ID_Pedido],'2.C_Datos'!A174)+
COUNTIFS(TablaMaq4[Componente],Tabla19[[#This Row],[Comp4]],TablaMaq4[ID_Pedido],'2.C_Datos'!A174))</f>
        <v/>
      </c>
      <c r="N174" s="99" t="str">
        <f>IF(Tabla19[[#This Row],[Comp5]]="","",COUNTIFS(TablaMaq1[Componente],Tabla19[[#This Row],[Comp5]],TablaMaq1[ID_Pedido],'2.C_Datos'!A174)+
COUNTIFS(TablaMaq1[Componente],Tabla19[[#This Row],[Comp5]],TablaMaq2[ID_Pedido],'2.C_Datos'!A174)+
COUNTIFS(TablaMaq1[Componente],Tabla19[[#This Row],[Comp5]],TablaMaq3[ID_Pedido],'2.C_Datos'!A174)+
COUNTIFS(TablaMaq1[Componente],Tabla19[[#This Row],[Comp5]],TablaMaq4[ID_Pedido],'2.C_Datos'!A174))</f>
        <v/>
      </c>
      <c r="O174" s="85" t="str">
        <f>IF(Tabla19[[#This Row],[Comp1]]="","",
IF(IF(Tabla19[[#This Row],[Comp1]]=0,0,1)*$D174-Tabla19[[#This Row],[Asign1]]=0,0,Tabla19[[#This Row],[Comp1]]))</f>
        <v/>
      </c>
      <c r="P174" s="85" t="str">
        <f>IF(Tabla19[[#This Row],[Comp2]]="","",
IF(IF(Tabla19[[#This Row],[Comp2]]=0,0,1)*$D174-Tabla19[[#This Row],[Asign2]]=0,0,Tabla19[[#This Row],[Comp2]]))</f>
        <v/>
      </c>
      <c r="Q174" s="85" t="str">
        <f>IF(Tabla19[[#This Row],[Comp3]]="","",
IF(IF(Tabla19[[#This Row],[Comp3]]=0,0,1)*$D174-Tabla19[[#This Row],[Asign3]]=0,0,Tabla19[[#This Row],[Comp3]]))</f>
        <v/>
      </c>
      <c r="R174" s="85" t="str">
        <f>IF(Tabla19[[#This Row],[Comp4]]="","",
IF(IF(Tabla19[[#This Row],[Comp4]]=0,0,1)*$D174-Tabla19[[#This Row],[Asign4]]=0,0,Tabla19[[#This Row],[Comp4]]))</f>
        <v/>
      </c>
      <c r="S174" s="85" t="str">
        <f>IF(Tabla19[[#This Row],[Comp5]]="","",
IF(IF(Tabla19[[#This Row],[Comp5]]=0,0,1)*$D174-Tabla19[[#This Row],[Asign5]]=0,0,Tabla19[[#This Row],[Comp5]]))</f>
        <v/>
      </c>
    </row>
    <row r="175" spans="5:19" x14ac:dyDescent="0.3">
      <c r="E175" s="99" t="str">
        <f>IF($A175="","",INDEX(ListadoProductos[],MATCH('2.C_Datos'!$C175,ListadoProductos[Productos],0),MATCH('2.C_Datos'!E$3,ListadoProductos[#Headers],0)))</f>
        <v/>
      </c>
      <c r="F175" s="99" t="str">
        <f>IF($A175="","",INDEX(ListadoProductos[],MATCH('2.C_Datos'!$C175,ListadoProductos[Productos],0),MATCH('2.C_Datos'!F$3,ListadoProductos[#Headers],0)))</f>
        <v/>
      </c>
      <c r="G175" s="99" t="str">
        <f>IF($A175="","",INDEX(ListadoProductos[],MATCH('2.C_Datos'!$C175,ListadoProductos[Productos],0),MATCH('2.C_Datos'!G$3,ListadoProductos[#Headers],0)))</f>
        <v/>
      </c>
      <c r="H175" s="99" t="str">
        <f>IF($A175="","",INDEX(ListadoProductos[],MATCH('2.C_Datos'!$C175,ListadoProductos[Productos],0),MATCH('2.C_Datos'!H$3,ListadoProductos[#Headers],0)))</f>
        <v/>
      </c>
      <c r="I175" s="99" t="str">
        <f>IF($A175="","",INDEX(ListadoProductos[],MATCH('2.C_Datos'!$C175,ListadoProductos[Productos],0),MATCH('2.C_Datos'!I$3,ListadoProductos[#Headers],0)))</f>
        <v/>
      </c>
      <c r="J175" s="99" t="str">
        <f>IF(Tabla19[[#This Row],[Comp1]]="","",COUNTIFS(TablaMaq1[Componente],Tabla19[[#This Row],[Comp1]],TablaMaq1[ID_Pedido],'2.C_Datos'!A175)+
COUNTIFS(TablaMaq2[Componente],Tabla19[[#This Row],[Comp1]],TablaMaq2[ID_Pedido],'2.C_Datos'!A175)+
COUNTIFS(TablaMaq3[Componente],Tabla19[[#This Row],[Comp1]],TablaMaq3[ID_Pedido],'2.C_Datos'!A175)+
COUNTIFS(TablaMaq4[Componente],Tabla19[[#This Row],[Comp1]],TablaMaq4[ID_Pedido],'2.C_Datos'!A175))</f>
        <v/>
      </c>
      <c r="K175" s="99" t="str">
        <f>IF(Tabla19[[#This Row],[Comp2]]="","",COUNTIFS(TablaMaq1[Componente],Tabla19[[#This Row],[Comp2]],TablaMaq1[ID_Pedido],'2.C_Datos'!A175)+
COUNTIFS(TablaMaq2[Componente],Tabla19[[#This Row],[Comp2]],TablaMaq2[ID_Pedido],'2.C_Datos'!A175)+
COUNTIFS(TablaMaq3[Componente],Tabla19[[#This Row],[Comp2]],TablaMaq3[ID_Pedido],'2.C_Datos'!A175)+
COUNTIFS(TablaMaq4[Componente],Tabla19[[#This Row],[Comp2]],TablaMaq4[ID_Pedido],'2.C_Datos'!A175))</f>
        <v/>
      </c>
      <c r="L175" s="99" t="str">
        <f>IF(Tabla19[[#This Row],[Comp3]]="","",COUNTIFS(TablaMaq1[Componente],Tabla19[[#This Row],[Comp3]],TablaMaq1[ID_Pedido],'2.C_Datos'!A175)+
COUNTIFS(TablaMaq2[Componente],Tabla19[[#This Row],[Comp3]],TablaMaq2[ID_Pedido],'2.C_Datos'!A175)+
COUNTIFS(TablaMaq3[Componente],Tabla19[[#This Row],[Comp3]],TablaMaq3[ID_Pedido],'2.C_Datos'!A175)+
COUNTIFS(TablaMaq4[Componente],Tabla19[[#This Row],[Comp3]],TablaMaq4[ID_Pedido],'2.C_Datos'!A175))</f>
        <v/>
      </c>
      <c r="M175" s="99" t="str">
        <f>IF(Tabla19[[#This Row],[Comp4]]="","",COUNTIFS(TablaMaq1[Componente],Tabla19[[#This Row],[Comp4]],TablaMaq1[ID_Pedido],'2.C_Datos'!A175)+
COUNTIFS(TablaMaq2[Componente],Tabla19[[#This Row],[Comp4]],TablaMaq2[ID_Pedido],'2.C_Datos'!A175)+
COUNTIFS(TablaMaq3[Componente],Tabla19[[#This Row],[Comp4]],TablaMaq3[ID_Pedido],'2.C_Datos'!A175)+
COUNTIFS(TablaMaq4[Componente],Tabla19[[#This Row],[Comp4]],TablaMaq4[ID_Pedido],'2.C_Datos'!A175))</f>
        <v/>
      </c>
      <c r="N175" s="99" t="str">
        <f>IF(Tabla19[[#This Row],[Comp5]]="","",COUNTIFS(TablaMaq1[Componente],Tabla19[[#This Row],[Comp5]],TablaMaq1[ID_Pedido],'2.C_Datos'!A175)+
COUNTIFS(TablaMaq1[Componente],Tabla19[[#This Row],[Comp5]],TablaMaq2[ID_Pedido],'2.C_Datos'!A175)+
COUNTIFS(TablaMaq1[Componente],Tabla19[[#This Row],[Comp5]],TablaMaq3[ID_Pedido],'2.C_Datos'!A175)+
COUNTIFS(TablaMaq1[Componente],Tabla19[[#This Row],[Comp5]],TablaMaq4[ID_Pedido],'2.C_Datos'!A175))</f>
        <v/>
      </c>
      <c r="O175" s="85" t="str">
        <f>IF(Tabla19[[#This Row],[Comp1]]="","",
IF(IF(Tabla19[[#This Row],[Comp1]]=0,0,1)*$D175-Tabla19[[#This Row],[Asign1]]=0,0,Tabla19[[#This Row],[Comp1]]))</f>
        <v/>
      </c>
      <c r="P175" s="85" t="str">
        <f>IF(Tabla19[[#This Row],[Comp2]]="","",
IF(IF(Tabla19[[#This Row],[Comp2]]=0,0,1)*$D175-Tabla19[[#This Row],[Asign2]]=0,0,Tabla19[[#This Row],[Comp2]]))</f>
        <v/>
      </c>
      <c r="Q175" s="85" t="str">
        <f>IF(Tabla19[[#This Row],[Comp3]]="","",
IF(IF(Tabla19[[#This Row],[Comp3]]=0,0,1)*$D175-Tabla19[[#This Row],[Asign3]]=0,0,Tabla19[[#This Row],[Comp3]]))</f>
        <v/>
      </c>
      <c r="R175" s="85" t="str">
        <f>IF(Tabla19[[#This Row],[Comp4]]="","",
IF(IF(Tabla19[[#This Row],[Comp4]]=0,0,1)*$D175-Tabla19[[#This Row],[Asign4]]=0,0,Tabla19[[#This Row],[Comp4]]))</f>
        <v/>
      </c>
      <c r="S175" s="85" t="str">
        <f>IF(Tabla19[[#This Row],[Comp5]]="","",
IF(IF(Tabla19[[#This Row],[Comp5]]=0,0,1)*$D175-Tabla19[[#This Row],[Asign5]]=0,0,Tabla19[[#This Row],[Comp5]]))</f>
        <v/>
      </c>
    </row>
    <row r="176" spans="5:19" x14ac:dyDescent="0.3">
      <c r="E176" s="99" t="str">
        <f>IF($A176="","",INDEX(ListadoProductos[],MATCH('2.C_Datos'!$C176,ListadoProductos[Productos],0),MATCH('2.C_Datos'!E$3,ListadoProductos[#Headers],0)))</f>
        <v/>
      </c>
      <c r="F176" s="99" t="str">
        <f>IF($A176="","",INDEX(ListadoProductos[],MATCH('2.C_Datos'!$C176,ListadoProductos[Productos],0),MATCH('2.C_Datos'!F$3,ListadoProductos[#Headers],0)))</f>
        <v/>
      </c>
      <c r="G176" s="99" t="str">
        <f>IF($A176="","",INDEX(ListadoProductos[],MATCH('2.C_Datos'!$C176,ListadoProductos[Productos],0),MATCH('2.C_Datos'!G$3,ListadoProductos[#Headers],0)))</f>
        <v/>
      </c>
      <c r="H176" s="99" t="str">
        <f>IF($A176="","",INDEX(ListadoProductos[],MATCH('2.C_Datos'!$C176,ListadoProductos[Productos],0),MATCH('2.C_Datos'!H$3,ListadoProductos[#Headers],0)))</f>
        <v/>
      </c>
      <c r="I176" s="99" t="str">
        <f>IF($A176="","",INDEX(ListadoProductos[],MATCH('2.C_Datos'!$C176,ListadoProductos[Productos],0),MATCH('2.C_Datos'!I$3,ListadoProductos[#Headers],0)))</f>
        <v/>
      </c>
      <c r="J176" s="99" t="str">
        <f>IF(Tabla19[[#This Row],[Comp1]]="","",COUNTIFS(TablaMaq1[Componente],Tabla19[[#This Row],[Comp1]],TablaMaq1[ID_Pedido],'2.C_Datos'!A176)+
COUNTIFS(TablaMaq2[Componente],Tabla19[[#This Row],[Comp1]],TablaMaq2[ID_Pedido],'2.C_Datos'!A176)+
COUNTIFS(TablaMaq3[Componente],Tabla19[[#This Row],[Comp1]],TablaMaq3[ID_Pedido],'2.C_Datos'!A176)+
COUNTIFS(TablaMaq4[Componente],Tabla19[[#This Row],[Comp1]],TablaMaq4[ID_Pedido],'2.C_Datos'!A176))</f>
        <v/>
      </c>
      <c r="K176" s="99" t="str">
        <f>IF(Tabla19[[#This Row],[Comp2]]="","",COUNTIFS(TablaMaq1[Componente],Tabla19[[#This Row],[Comp2]],TablaMaq1[ID_Pedido],'2.C_Datos'!A176)+
COUNTIFS(TablaMaq2[Componente],Tabla19[[#This Row],[Comp2]],TablaMaq2[ID_Pedido],'2.C_Datos'!A176)+
COUNTIFS(TablaMaq3[Componente],Tabla19[[#This Row],[Comp2]],TablaMaq3[ID_Pedido],'2.C_Datos'!A176)+
COUNTIFS(TablaMaq4[Componente],Tabla19[[#This Row],[Comp2]],TablaMaq4[ID_Pedido],'2.C_Datos'!A176))</f>
        <v/>
      </c>
      <c r="L176" s="99" t="str">
        <f>IF(Tabla19[[#This Row],[Comp3]]="","",COUNTIFS(TablaMaq1[Componente],Tabla19[[#This Row],[Comp3]],TablaMaq1[ID_Pedido],'2.C_Datos'!A176)+
COUNTIFS(TablaMaq2[Componente],Tabla19[[#This Row],[Comp3]],TablaMaq2[ID_Pedido],'2.C_Datos'!A176)+
COUNTIFS(TablaMaq3[Componente],Tabla19[[#This Row],[Comp3]],TablaMaq3[ID_Pedido],'2.C_Datos'!A176)+
COUNTIFS(TablaMaq4[Componente],Tabla19[[#This Row],[Comp3]],TablaMaq4[ID_Pedido],'2.C_Datos'!A176))</f>
        <v/>
      </c>
      <c r="M176" s="99" t="str">
        <f>IF(Tabla19[[#This Row],[Comp4]]="","",COUNTIFS(TablaMaq1[Componente],Tabla19[[#This Row],[Comp4]],TablaMaq1[ID_Pedido],'2.C_Datos'!A176)+
COUNTIFS(TablaMaq2[Componente],Tabla19[[#This Row],[Comp4]],TablaMaq2[ID_Pedido],'2.C_Datos'!A176)+
COUNTIFS(TablaMaq3[Componente],Tabla19[[#This Row],[Comp4]],TablaMaq3[ID_Pedido],'2.C_Datos'!A176)+
COUNTIFS(TablaMaq4[Componente],Tabla19[[#This Row],[Comp4]],TablaMaq4[ID_Pedido],'2.C_Datos'!A176))</f>
        <v/>
      </c>
      <c r="N176" s="99" t="str">
        <f>IF(Tabla19[[#This Row],[Comp5]]="","",COUNTIFS(TablaMaq1[Componente],Tabla19[[#This Row],[Comp5]],TablaMaq1[ID_Pedido],'2.C_Datos'!A176)+
COUNTIFS(TablaMaq1[Componente],Tabla19[[#This Row],[Comp5]],TablaMaq2[ID_Pedido],'2.C_Datos'!A176)+
COUNTIFS(TablaMaq1[Componente],Tabla19[[#This Row],[Comp5]],TablaMaq3[ID_Pedido],'2.C_Datos'!A176)+
COUNTIFS(TablaMaq1[Componente],Tabla19[[#This Row],[Comp5]],TablaMaq4[ID_Pedido],'2.C_Datos'!A176))</f>
        <v/>
      </c>
      <c r="O176" s="85" t="str">
        <f>IF(Tabla19[[#This Row],[Comp1]]="","",
IF(IF(Tabla19[[#This Row],[Comp1]]=0,0,1)*$D176-Tabla19[[#This Row],[Asign1]]=0,0,Tabla19[[#This Row],[Comp1]]))</f>
        <v/>
      </c>
      <c r="P176" s="85" t="str">
        <f>IF(Tabla19[[#This Row],[Comp2]]="","",
IF(IF(Tabla19[[#This Row],[Comp2]]=0,0,1)*$D176-Tabla19[[#This Row],[Asign2]]=0,0,Tabla19[[#This Row],[Comp2]]))</f>
        <v/>
      </c>
      <c r="Q176" s="85" t="str">
        <f>IF(Tabla19[[#This Row],[Comp3]]="","",
IF(IF(Tabla19[[#This Row],[Comp3]]=0,0,1)*$D176-Tabla19[[#This Row],[Asign3]]=0,0,Tabla19[[#This Row],[Comp3]]))</f>
        <v/>
      </c>
      <c r="R176" s="85" t="str">
        <f>IF(Tabla19[[#This Row],[Comp4]]="","",
IF(IF(Tabla19[[#This Row],[Comp4]]=0,0,1)*$D176-Tabla19[[#This Row],[Asign4]]=0,0,Tabla19[[#This Row],[Comp4]]))</f>
        <v/>
      </c>
      <c r="S176" s="85" t="str">
        <f>IF(Tabla19[[#This Row],[Comp5]]="","",
IF(IF(Tabla19[[#This Row],[Comp5]]=0,0,1)*$D176-Tabla19[[#This Row],[Asign5]]=0,0,Tabla19[[#This Row],[Comp5]]))</f>
        <v/>
      </c>
    </row>
    <row r="177" spans="5:19" x14ac:dyDescent="0.3">
      <c r="E177" s="99" t="str">
        <f>IF($A177="","",INDEX(ListadoProductos[],MATCH('2.C_Datos'!$C177,ListadoProductos[Productos],0),MATCH('2.C_Datos'!E$3,ListadoProductos[#Headers],0)))</f>
        <v/>
      </c>
      <c r="F177" s="99" t="str">
        <f>IF($A177="","",INDEX(ListadoProductos[],MATCH('2.C_Datos'!$C177,ListadoProductos[Productos],0),MATCH('2.C_Datos'!F$3,ListadoProductos[#Headers],0)))</f>
        <v/>
      </c>
      <c r="G177" s="99" t="str">
        <f>IF($A177="","",INDEX(ListadoProductos[],MATCH('2.C_Datos'!$C177,ListadoProductos[Productos],0),MATCH('2.C_Datos'!G$3,ListadoProductos[#Headers],0)))</f>
        <v/>
      </c>
      <c r="H177" s="99" t="str">
        <f>IF($A177="","",INDEX(ListadoProductos[],MATCH('2.C_Datos'!$C177,ListadoProductos[Productos],0),MATCH('2.C_Datos'!H$3,ListadoProductos[#Headers],0)))</f>
        <v/>
      </c>
      <c r="I177" s="99" t="str">
        <f>IF($A177="","",INDEX(ListadoProductos[],MATCH('2.C_Datos'!$C177,ListadoProductos[Productos],0),MATCH('2.C_Datos'!I$3,ListadoProductos[#Headers],0)))</f>
        <v/>
      </c>
      <c r="J177" s="99" t="str">
        <f>IF(Tabla19[[#This Row],[Comp1]]="","",COUNTIFS(TablaMaq1[Componente],Tabla19[[#This Row],[Comp1]],TablaMaq1[ID_Pedido],'2.C_Datos'!A177)+
COUNTIFS(TablaMaq2[Componente],Tabla19[[#This Row],[Comp1]],TablaMaq2[ID_Pedido],'2.C_Datos'!A177)+
COUNTIFS(TablaMaq3[Componente],Tabla19[[#This Row],[Comp1]],TablaMaq3[ID_Pedido],'2.C_Datos'!A177)+
COUNTIFS(TablaMaq4[Componente],Tabla19[[#This Row],[Comp1]],TablaMaq4[ID_Pedido],'2.C_Datos'!A177))</f>
        <v/>
      </c>
      <c r="K177" s="99" t="str">
        <f>IF(Tabla19[[#This Row],[Comp2]]="","",COUNTIFS(TablaMaq1[Componente],Tabla19[[#This Row],[Comp2]],TablaMaq1[ID_Pedido],'2.C_Datos'!A177)+
COUNTIFS(TablaMaq2[Componente],Tabla19[[#This Row],[Comp2]],TablaMaq2[ID_Pedido],'2.C_Datos'!A177)+
COUNTIFS(TablaMaq3[Componente],Tabla19[[#This Row],[Comp2]],TablaMaq3[ID_Pedido],'2.C_Datos'!A177)+
COUNTIFS(TablaMaq4[Componente],Tabla19[[#This Row],[Comp2]],TablaMaq4[ID_Pedido],'2.C_Datos'!A177))</f>
        <v/>
      </c>
      <c r="L177" s="99" t="str">
        <f>IF(Tabla19[[#This Row],[Comp3]]="","",COUNTIFS(TablaMaq1[Componente],Tabla19[[#This Row],[Comp3]],TablaMaq1[ID_Pedido],'2.C_Datos'!A177)+
COUNTIFS(TablaMaq2[Componente],Tabla19[[#This Row],[Comp3]],TablaMaq2[ID_Pedido],'2.C_Datos'!A177)+
COUNTIFS(TablaMaq3[Componente],Tabla19[[#This Row],[Comp3]],TablaMaq3[ID_Pedido],'2.C_Datos'!A177)+
COUNTIFS(TablaMaq4[Componente],Tabla19[[#This Row],[Comp3]],TablaMaq4[ID_Pedido],'2.C_Datos'!A177))</f>
        <v/>
      </c>
      <c r="M177" s="99" t="str">
        <f>IF(Tabla19[[#This Row],[Comp4]]="","",COUNTIFS(TablaMaq1[Componente],Tabla19[[#This Row],[Comp4]],TablaMaq1[ID_Pedido],'2.C_Datos'!A177)+
COUNTIFS(TablaMaq2[Componente],Tabla19[[#This Row],[Comp4]],TablaMaq2[ID_Pedido],'2.C_Datos'!A177)+
COUNTIFS(TablaMaq3[Componente],Tabla19[[#This Row],[Comp4]],TablaMaq3[ID_Pedido],'2.C_Datos'!A177)+
COUNTIFS(TablaMaq4[Componente],Tabla19[[#This Row],[Comp4]],TablaMaq4[ID_Pedido],'2.C_Datos'!A177))</f>
        <v/>
      </c>
      <c r="N177" s="99" t="str">
        <f>IF(Tabla19[[#This Row],[Comp5]]="","",COUNTIFS(TablaMaq1[Componente],Tabla19[[#This Row],[Comp5]],TablaMaq1[ID_Pedido],'2.C_Datos'!A177)+
COUNTIFS(TablaMaq1[Componente],Tabla19[[#This Row],[Comp5]],TablaMaq2[ID_Pedido],'2.C_Datos'!A177)+
COUNTIFS(TablaMaq1[Componente],Tabla19[[#This Row],[Comp5]],TablaMaq3[ID_Pedido],'2.C_Datos'!A177)+
COUNTIFS(TablaMaq1[Componente],Tabla19[[#This Row],[Comp5]],TablaMaq4[ID_Pedido],'2.C_Datos'!A177))</f>
        <v/>
      </c>
      <c r="O177" s="85" t="str">
        <f>IF(Tabla19[[#This Row],[Comp1]]="","",
IF(IF(Tabla19[[#This Row],[Comp1]]=0,0,1)*$D177-Tabla19[[#This Row],[Asign1]]=0,0,Tabla19[[#This Row],[Comp1]]))</f>
        <v/>
      </c>
      <c r="P177" s="85" t="str">
        <f>IF(Tabla19[[#This Row],[Comp2]]="","",
IF(IF(Tabla19[[#This Row],[Comp2]]=0,0,1)*$D177-Tabla19[[#This Row],[Asign2]]=0,0,Tabla19[[#This Row],[Comp2]]))</f>
        <v/>
      </c>
      <c r="Q177" s="85" t="str">
        <f>IF(Tabla19[[#This Row],[Comp3]]="","",
IF(IF(Tabla19[[#This Row],[Comp3]]=0,0,1)*$D177-Tabla19[[#This Row],[Asign3]]=0,0,Tabla19[[#This Row],[Comp3]]))</f>
        <v/>
      </c>
      <c r="R177" s="85" t="str">
        <f>IF(Tabla19[[#This Row],[Comp4]]="","",
IF(IF(Tabla19[[#This Row],[Comp4]]=0,0,1)*$D177-Tabla19[[#This Row],[Asign4]]=0,0,Tabla19[[#This Row],[Comp4]]))</f>
        <v/>
      </c>
      <c r="S177" s="85" t="str">
        <f>IF(Tabla19[[#This Row],[Comp5]]="","",
IF(IF(Tabla19[[#This Row],[Comp5]]=0,0,1)*$D177-Tabla19[[#This Row],[Asign5]]=0,0,Tabla19[[#This Row],[Comp5]]))</f>
        <v/>
      </c>
    </row>
    <row r="178" spans="5:19" x14ac:dyDescent="0.3">
      <c r="E178" s="99" t="str">
        <f>IF($A178="","",INDEX(ListadoProductos[],MATCH('2.C_Datos'!$C178,ListadoProductos[Productos],0),MATCH('2.C_Datos'!E$3,ListadoProductos[#Headers],0)))</f>
        <v/>
      </c>
      <c r="F178" s="99" t="str">
        <f>IF($A178="","",INDEX(ListadoProductos[],MATCH('2.C_Datos'!$C178,ListadoProductos[Productos],0),MATCH('2.C_Datos'!F$3,ListadoProductos[#Headers],0)))</f>
        <v/>
      </c>
      <c r="G178" s="99" t="str">
        <f>IF($A178="","",INDEX(ListadoProductos[],MATCH('2.C_Datos'!$C178,ListadoProductos[Productos],0),MATCH('2.C_Datos'!G$3,ListadoProductos[#Headers],0)))</f>
        <v/>
      </c>
      <c r="H178" s="99" t="str">
        <f>IF($A178="","",INDEX(ListadoProductos[],MATCH('2.C_Datos'!$C178,ListadoProductos[Productos],0),MATCH('2.C_Datos'!H$3,ListadoProductos[#Headers],0)))</f>
        <v/>
      </c>
      <c r="I178" s="99" t="str">
        <f>IF($A178="","",INDEX(ListadoProductos[],MATCH('2.C_Datos'!$C178,ListadoProductos[Productos],0),MATCH('2.C_Datos'!I$3,ListadoProductos[#Headers],0)))</f>
        <v/>
      </c>
      <c r="J178" s="99" t="str">
        <f>IF(Tabla19[[#This Row],[Comp1]]="","",COUNTIFS(TablaMaq1[Componente],Tabla19[[#This Row],[Comp1]],TablaMaq1[ID_Pedido],'2.C_Datos'!A178)+
COUNTIFS(TablaMaq2[Componente],Tabla19[[#This Row],[Comp1]],TablaMaq2[ID_Pedido],'2.C_Datos'!A178)+
COUNTIFS(TablaMaq3[Componente],Tabla19[[#This Row],[Comp1]],TablaMaq3[ID_Pedido],'2.C_Datos'!A178)+
COUNTIFS(TablaMaq4[Componente],Tabla19[[#This Row],[Comp1]],TablaMaq4[ID_Pedido],'2.C_Datos'!A178))</f>
        <v/>
      </c>
      <c r="K178" s="99" t="str">
        <f>IF(Tabla19[[#This Row],[Comp2]]="","",COUNTIFS(TablaMaq1[Componente],Tabla19[[#This Row],[Comp2]],TablaMaq1[ID_Pedido],'2.C_Datos'!A178)+
COUNTIFS(TablaMaq2[Componente],Tabla19[[#This Row],[Comp2]],TablaMaq2[ID_Pedido],'2.C_Datos'!A178)+
COUNTIFS(TablaMaq3[Componente],Tabla19[[#This Row],[Comp2]],TablaMaq3[ID_Pedido],'2.C_Datos'!A178)+
COUNTIFS(TablaMaq4[Componente],Tabla19[[#This Row],[Comp2]],TablaMaq4[ID_Pedido],'2.C_Datos'!A178))</f>
        <v/>
      </c>
      <c r="L178" s="99" t="str">
        <f>IF(Tabla19[[#This Row],[Comp3]]="","",COUNTIFS(TablaMaq1[Componente],Tabla19[[#This Row],[Comp3]],TablaMaq1[ID_Pedido],'2.C_Datos'!A178)+
COUNTIFS(TablaMaq2[Componente],Tabla19[[#This Row],[Comp3]],TablaMaq2[ID_Pedido],'2.C_Datos'!A178)+
COUNTIFS(TablaMaq3[Componente],Tabla19[[#This Row],[Comp3]],TablaMaq3[ID_Pedido],'2.C_Datos'!A178)+
COUNTIFS(TablaMaq4[Componente],Tabla19[[#This Row],[Comp3]],TablaMaq4[ID_Pedido],'2.C_Datos'!A178))</f>
        <v/>
      </c>
      <c r="M178" s="99" t="str">
        <f>IF(Tabla19[[#This Row],[Comp4]]="","",COUNTIFS(TablaMaq1[Componente],Tabla19[[#This Row],[Comp4]],TablaMaq1[ID_Pedido],'2.C_Datos'!A178)+
COUNTIFS(TablaMaq2[Componente],Tabla19[[#This Row],[Comp4]],TablaMaq2[ID_Pedido],'2.C_Datos'!A178)+
COUNTIFS(TablaMaq3[Componente],Tabla19[[#This Row],[Comp4]],TablaMaq3[ID_Pedido],'2.C_Datos'!A178)+
COUNTIFS(TablaMaq4[Componente],Tabla19[[#This Row],[Comp4]],TablaMaq4[ID_Pedido],'2.C_Datos'!A178))</f>
        <v/>
      </c>
      <c r="N178" s="99" t="str">
        <f>IF(Tabla19[[#This Row],[Comp5]]="","",COUNTIFS(TablaMaq1[Componente],Tabla19[[#This Row],[Comp5]],TablaMaq1[ID_Pedido],'2.C_Datos'!A178)+
COUNTIFS(TablaMaq1[Componente],Tabla19[[#This Row],[Comp5]],TablaMaq2[ID_Pedido],'2.C_Datos'!A178)+
COUNTIFS(TablaMaq1[Componente],Tabla19[[#This Row],[Comp5]],TablaMaq3[ID_Pedido],'2.C_Datos'!A178)+
COUNTIFS(TablaMaq1[Componente],Tabla19[[#This Row],[Comp5]],TablaMaq4[ID_Pedido],'2.C_Datos'!A178))</f>
        <v/>
      </c>
      <c r="O178" s="85" t="str">
        <f>IF(Tabla19[[#This Row],[Comp1]]="","",
IF(IF(Tabla19[[#This Row],[Comp1]]=0,0,1)*$D178-Tabla19[[#This Row],[Asign1]]=0,0,Tabla19[[#This Row],[Comp1]]))</f>
        <v/>
      </c>
      <c r="P178" s="85" t="str">
        <f>IF(Tabla19[[#This Row],[Comp2]]="","",
IF(IF(Tabla19[[#This Row],[Comp2]]=0,0,1)*$D178-Tabla19[[#This Row],[Asign2]]=0,0,Tabla19[[#This Row],[Comp2]]))</f>
        <v/>
      </c>
      <c r="Q178" s="85" t="str">
        <f>IF(Tabla19[[#This Row],[Comp3]]="","",
IF(IF(Tabla19[[#This Row],[Comp3]]=0,0,1)*$D178-Tabla19[[#This Row],[Asign3]]=0,0,Tabla19[[#This Row],[Comp3]]))</f>
        <v/>
      </c>
      <c r="R178" s="85" t="str">
        <f>IF(Tabla19[[#This Row],[Comp4]]="","",
IF(IF(Tabla19[[#This Row],[Comp4]]=0,0,1)*$D178-Tabla19[[#This Row],[Asign4]]=0,0,Tabla19[[#This Row],[Comp4]]))</f>
        <v/>
      </c>
      <c r="S178" s="85" t="str">
        <f>IF(Tabla19[[#This Row],[Comp5]]="","",
IF(IF(Tabla19[[#This Row],[Comp5]]=0,0,1)*$D178-Tabla19[[#This Row],[Asign5]]=0,0,Tabla19[[#This Row],[Comp5]]))</f>
        <v/>
      </c>
    </row>
    <row r="179" spans="5:19" x14ac:dyDescent="0.3">
      <c r="E179" s="99" t="str">
        <f>IF($A179="","",INDEX(ListadoProductos[],MATCH('2.C_Datos'!$C179,ListadoProductos[Productos],0),MATCH('2.C_Datos'!E$3,ListadoProductos[#Headers],0)))</f>
        <v/>
      </c>
      <c r="F179" s="99" t="str">
        <f>IF($A179="","",INDEX(ListadoProductos[],MATCH('2.C_Datos'!$C179,ListadoProductos[Productos],0),MATCH('2.C_Datos'!F$3,ListadoProductos[#Headers],0)))</f>
        <v/>
      </c>
      <c r="G179" s="99" t="str">
        <f>IF($A179="","",INDEX(ListadoProductos[],MATCH('2.C_Datos'!$C179,ListadoProductos[Productos],0),MATCH('2.C_Datos'!G$3,ListadoProductos[#Headers],0)))</f>
        <v/>
      </c>
      <c r="H179" s="99" t="str">
        <f>IF($A179="","",INDEX(ListadoProductos[],MATCH('2.C_Datos'!$C179,ListadoProductos[Productos],0),MATCH('2.C_Datos'!H$3,ListadoProductos[#Headers],0)))</f>
        <v/>
      </c>
      <c r="I179" s="99" t="str">
        <f>IF($A179="","",INDEX(ListadoProductos[],MATCH('2.C_Datos'!$C179,ListadoProductos[Productos],0),MATCH('2.C_Datos'!I$3,ListadoProductos[#Headers],0)))</f>
        <v/>
      </c>
      <c r="J179" s="99" t="str">
        <f>IF(Tabla19[[#This Row],[Comp1]]="","",COUNTIFS(TablaMaq1[Componente],Tabla19[[#This Row],[Comp1]],TablaMaq1[ID_Pedido],'2.C_Datos'!A179)+
COUNTIFS(TablaMaq2[Componente],Tabla19[[#This Row],[Comp1]],TablaMaq2[ID_Pedido],'2.C_Datos'!A179)+
COUNTIFS(TablaMaq3[Componente],Tabla19[[#This Row],[Comp1]],TablaMaq3[ID_Pedido],'2.C_Datos'!A179)+
COUNTIFS(TablaMaq4[Componente],Tabla19[[#This Row],[Comp1]],TablaMaq4[ID_Pedido],'2.C_Datos'!A179))</f>
        <v/>
      </c>
      <c r="K179" s="99" t="str">
        <f>IF(Tabla19[[#This Row],[Comp2]]="","",COUNTIFS(TablaMaq1[Componente],Tabla19[[#This Row],[Comp2]],TablaMaq1[ID_Pedido],'2.C_Datos'!A179)+
COUNTIFS(TablaMaq2[Componente],Tabla19[[#This Row],[Comp2]],TablaMaq2[ID_Pedido],'2.C_Datos'!A179)+
COUNTIFS(TablaMaq3[Componente],Tabla19[[#This Row],[Comp2]],TablaMaq3[ID_Pedido],'2.C_Datos'!A179)+
COUNTIFS(TablaMaq4[Componente],Tabla19[[#This Row],[Comp2]],TablaMaq4[ID_Pedido],'2.C_Datos'!A179))</f>
        <v/>
      </c>
      <c r="L179" s="99" t="str">
        <f>IF(Tabla19[[#This Row],[Comp3]]="","",COUNTIFS(TablaMaq1[Componente],Tabla19[[#This Row],[Comp3]],TablaMaq1[ID_Pedido],'2.C_Datos'!A179)+
COUNTIFS(TablaMaq2[Componente],Tabla19[[#This Row],[Comp3]],TablaMaq2[ID_Pedido],'2.C_Datos'!A179)+
COUNTIFS(TablaMaq3[Componente],Tabla19[[#This Row],[Comp3]],TablaMaq3[ID_Pedido],'2.C_Datos'!A179)+
COUNTIFS(TablaMaq4[Componente],Tabla19[[#This Row],[Comp3]],TablaMaq4[ID_Pedido],'2.C_Datos'!A179))</f>
        <v/>
      </c>
      <c r="M179" s="99" t="str">
        <f>IF(Tabla19[[#This Row],[Comp4]]="","",COUNTIFS(TablaMaq1[Componente],Tabla19[[#This Row],[Comp4]],TablaMaq1[ID_Pedido],'2.C_Datos'!A179)+
COUNTIFS(TablaMaq2[Componente],Tabla19[[#This Row],[Comp4]],TablaMaq2[ID_Pedido],'2.C_Datos'!A179)+
COUNTIFS(TablaMaq3[Componente],Tabla19[[#This Row],[Comp4]],TablaMaq3[ID_Pedido],'2.C_Datos'!A179)+
COUNTIFS(TablaMaq4[Componente],Tabla19[[#This Row],[Comp4]],TablaMaq4[ID_Pedido],'2.C_Datos'!A179))</f>
        <v/>
      </c>
      <c r="N179" s="99" t="str">
        <f>IF(Tabla19[[#This Row],[Comp5]]="","",COUNTIFS(TablaMaq1[Componente],Tabla19[[#This Row],[Comp5]],TablaMaq1[ID_Pedido],'2.C_Datos'!A179)+
COUNTIFS(TablaMaq1[Componente],Tabla19[[#This Row],[Comp5]],TablaMaq2[ID_Pedido],'2.C_Datos'!A179)+
COUNTIFS(TablaMaq1[Componente],Tabla19[[#This Row],[Comp5]],TablaMaq3[ID_Pedido],'2.C_Datos'!A179)+
COUNTIFS(TablaMaq1[Componente],Tabla19[[#This Row],[Comp5]],TablaMaq4[ID_Pedido],'2.C_Datos'!A179))</f>
        <v/>
      </c>
      <c r="O179" s="85" t="str">
        <f>IF(Tabla19[[#This Row],[Comp1]]="","",
IF(IF(Tabla19[[#This Row],[Comp1]]=0,0,1)*$D179-Tabla19[[#This Row],[Asign1]]=0,0,Tabla19[[#This Row],[Comp1]]))</f>
        <v/>
      </c>
      <c r="P179" s="85" t="str">
        <f>IF(Tabla19[[#This Row],[Comp2]]="","",
IF(IF(Tabla19[[#This Row],[Comp2]]=0,0,1)*$D179-Tabla19[[#This Row],[Asign2]]=0,0,Tabla19[[#This Row],[Comp2]]))</f>
        <v/>
      </c>
      <c r="Q179" s="85" t="str">
        <f>IF(Tabla19[[#This Row],[Comp3]]="","",
IF(IF(Tabla19[[#This Row],[Comp3]]=0,0,1)*$D179-Tabla19[[#This Row],[Asign3]]=0,0,Tabla19[[#This Row],[Comp3]]))</f>
        <v/>
      </c>
      <c r="R179" s="85" t="str">
        <f>IF(Tabla19[[#This Row],[Comp4]]="","",
IF(IF(Tabla19[[#This Row],[Comp4]]=0,0,1)*$D179-Tabla19[[#This Row],[Asign4]]=0,0,Tabla19[[#This Row],[Comp4]]))</f>
        <v/>
      </c>
      <c r="S179" s="85" t="str">
        <f>IF(Tabla19[[#This Row],[Comp5]]="","",
IF(IF(Tabla19[[#This Row],[Comp5]]=0,0,1)*$D179-Tabla19[[#This Row],[Asign5]]=0,0,Tabla19[[#This Row],[Comp5]]))</f>
        <v/>
      </c>
    </row>
    <row r="180" spans="5:19" x14ac:dyDescent="0.3">
      <c r="E180" s="99" t="str">
        <f>IF($A180="","",INDEX(ListadoProductos[],MATCH('2.C_Datos'!$C180,ListadoProductos[Productos],0),MATCH('2.C_Datos'!E$3,ListadoProductos[#Headers],0)))</f>
        <v/>
      </c>
      <c r="F180" s="99" t="str">
        <f>IF($A180="","",INDEX(ListadoProductos[],MATCH('2.C_Datos'!$C180,ListadoProductos[Productos],0),MATCH('2.C_Datos'!F$3,ListadoProductos[#Headers],0)))</f>
        <v/>
      </c>
      <c r="G180" s="99" t="str">
        <f>IF($A180="","",INDEX(ListadoProductos[],MATCH('2.C_Datos'!$C180,ListadoProductos[Productos],0),MATCH('2.C_Datos'!G$3,ListadoProductos[#Headers],0)))</f>
        <v/>
      </c>
      <c r="H180" s="99" t="str">
        <f>IF($A180="","",INDEX(ListadoProductos[],MATCH('2.C_Datos'!$C180,ListadoProductos[Productos],0),MATCH('2.C_Datos'!H$3,ListadoProductos[#Headers],0)))</f>
        <v/>
      </c>
      <c r="I180" s="99" t="str">
        <f>IF($A180="","",INDEX(ListadoProductos[],MATCH('2.C_Datos'!$C180,ListadoProductos[Productos],0),MATCH('2.C_Datos'!I$3,ListadoProductos[#Headers],0)))</f>
        <v/>
      </c>
      <c r="J180" s="99" t="str">
        <f>IF(Tabla19[[#This Row],[Comp1]]="","",COUNTIFS(TablaMaq1[Componente],Tabla19[[#This Row],[Comp1]],TablaMaq1[ID_Pedido],'2.C_Datos'!A180)+
COUNTIFS(TablaMaq2[Componente],Tabla19[[#This Row],[Comp1]],TablaMaq2[ID_Pedido],'2.C_Datos'!A180)+
COUNTIFS(TablaMaq3[Componente],Tabla19[[#This Row],[Comp1]],TablaMaq3[ID_Pedido],'2.C_Datos'!A180)+
COUNTIFS(TablaMaq4[Componente],Tabla19[[#This Row],[Comp1]],TablaMaq4[ID_Pedido],'2.C_Datos'!A180))</f>
        <v/>
      </c>
      <c r="K180" s="99" t="str">
        <f>IF(Tabla19[[#This Row],[Comp2]]="","",COUNTIFS(TablaMaq1[Componente],Tabla19[[#This Row],[Comp2]],TablaMaq1[ID_Pedido],'2.C_Datos'!A180)+
COUNTIFS(TablaMaq2[Componente],Tabla19[[#This Row],[Comp2]],TablaMaq2[ID_Pedido],'2.C_Datos'!A180)+
COUNTIFS(TablaMaq3[Componente],Tabla19[[#This Row],[Comp2]],TablaMaq3[ID_Pedido],'2.C_Datos'!A180)+
COUNTIFS(TablaMaq4[Componente],Tabla19[[#This Row],[Comp2]],TablaMaq4[ID_Pedido],'2.C_Datos'!A180))</f>
        <v/>
      </c>
      <c r="L180" s="99" t="str">
        <f>IF(Tabla19[[#This Row],[Comp3]]="","",COUNTIFS(TablaMaq1[Componente],Tabla19[[#This Row],[Comp3]],TablaMaq1[ID_Pedido],'2.C_Datos'!A180)+
COUNTIFS(TablaMaq2[Componente],Tabla19[[#This Row],[Comp3]],TablaMaq2[ID_Pedido],'2.C_Datos'!A180)+
COUNTIFS(TablaMaq3[Componente],Tabla19[[#This Row],[Comp3]],TablaMaq3[ID_Pedido],'2.C_Datos'!A180)+
COUNTIFS(TablaMaq4[Componente],Tabla19[[#This Row],[Comp3]],TablaMaq4[ID_Pedido],'2.C_Datos'!A180))</f>
        <v/>
      </c>
      <c r="M180" s="99" t="str">
        <f>IF(Tabla19[[#This Row],[Comp4]]="","",COUNTIFS(TablaMaq1[Componente],Tabla19[[#This Row],[Comp4]],TablaMaq1[ID_Pedido],'2.C_Datos'!A180)+
COUNTIFS(TablaMaq2[Componente],Tabla19[[#This Row],[Comp4]],TablaMaq2[ID_Pedido],'2.C_Datos'!A180)+
COUNTIFS(TablaMaq3[Componente],Tabla19[[#This Row],[Comp4]],TablaMaq3[ID_Pedido],'2.C_Datos'!A180)+
COUNTIFS(TablaMaq4[Componente],Tabla19[[#This Row],[Comp4]],TablaMaq4[ID_Pedido],'2.C_Datos'!A180))</f>
        <v/>
      </c>
      <c r="N180" s="99" t="str">
        <f>IF(Tabla19[[#This Row],[Comp5]]="","",COUNTIFS(TablaMaq1[Componente],Tabla19[[#This Row],[Comp5]],TablaMaq1[ID_Pedido],'2.C_Datos'!A180)+
COUNTIFS(TablaMaq1[Componente],Tabla19[[#This Row],[Comp5]],TablaMaq2[ID_Pedido],'2.C_Datos'!A180)+
COUNTIFS(TablaMaq1[Componente],Tabla19[[#This Row],[Comp5]],TablaMaq3[ID_Pedido],'2.C_Datos'!A180)+
COUNTIFS(TablaMaq1[Componente],Tabla19[[#This Row],[Comp5]],TablaMaq4[ID_Pedido],'2.C_Datos'!A180))</f>
        <v/>
      </c>
      <c r="O180" s="85" t="str">
        <f>IF(Tabla19[[#This Row],[Comp1]]="","",
IF(IF(Tabla19[[#This Row],[Comp1]]=0,0,1)*$D180-Tabla19[[#This Row],[Asign1]]=0,0,Tabla19[[#This Row],[Comp1]]))</f>
        <v/>
      </c>
      <c r="P180" s="85" t="str">
        <f>IF(Tabla19[[#This Row],[Comp2]]="","",
IF(IF(Tabla19[[#This Row],[Comp2]]=0,0,1)*$D180-Tabla19[[#This Row],[Asign2]]=0,0,Tabla19[[#This Row],[Comp2]]))</f>
        <v/>
      </c>
      <c r="Q180" s="85" t="str">
        <f>IF(Tabla19[[#This Row],[Comp3]]="","",
IF(IF(Tabla19[[#This Row],[Comp3]]=0,0,1)*$D180-Tabla19[[#This Row],[Asign3]]=0,0,Tabla19[[#This Row],[Comp3]]))</f>
        <v/>
      </c>
      <c r="R180" s="85" t="str">
        <f>IF(Tabla19[[#This Row],[Comp4]]="","",
IF(IF(Tabla19[[#This Row],[Comp4]]=0,0,1)*$D180-Tabla19[[#This Row],[Asign4]]=0,0,Tabla19[[#This Row],[Comp4]]))</f>
        <v/>
      </c>
      <c r="S180" s="85" t="str">
        <f>IF(Tabla19[[#This Row],[Comp5]]="","",
IF(IF(Tabla19[[#This Row],[Comp5]]=0,0,1)*$D180-Tabla19[[#This Row],[Asign5]]=0,0,Tabla19[[#This Row],[Comp5]]))</f>
        <v/>
      </c>
    </row>
    <row r="181" spans="5:19" x14ac:dyDescent="0.3">
      <c r="E181" s="99" t="str">
        <f>IF($A181="","",INDEX(ListadoProductos[],MATCH('2.C_Datos'!$C181,ListadoProductos[Productos],0),MATCH('2.C_Datos'!E$3,ListadoProductos[#Headers],0)))</f>
        <v/>
      </c>
      <c r="F181" s="99" t="str">
        <f>IF($A181="","",INDEX(ListadoProductos[],MATCH('2.C_Datos'!$C181,ListadoProductos[Productos],0),MATCH('2.C_Datos'!F$3,ListadoProductos[#Headers],0)))</f>
        <v/>
      </c>
      <c r="G181" s="99" t="str">
        <f>IF($A181="","",INDEX(ListadoProductos[],MATCH('2.C_Datos'!$C181,ListadoProductos[Productos],0),MATCH('2.C_Datos'!G$3,ListadoProductos[#Headers],0)))</f>
        <v/>
      </c>
      <c r="H181" s="99" t="str">
        <f>IF($A181="","",INDEX(ListadoProductos[],MATCH('2.C_Datos'!$C181,ListadoProductos[Productos],0),MATCH('2.C_Datos'!H$3,ListadoProductos[#Headers],0)))</f>
        <v/>
      </c>
      <c r="I181" s="99" t="str">
        <f>IF($A181="","",INDEX(ListadoProductos[],MATCH('2.C_Datos'!$C181,ListadoProductos[Productos],0),MATCH('2.C_Datos'!I$3,ListadoProductos[#Headers],0)))</f>
        <v/>
      </c>
      <c r="J181" s="99" t="str">
        <f>IF(Tabla19[[#This Row],[Comp1]]="","",COUNTIFS(TablaMaq1[Componente],Tabla19[[#This Row],[Comp1]],TablaMaq1[ID_Pedido],'2.C_Datos'!A181)+
COUNTIFS(TablaMaq2[Componente],Tabla19[[#This Row],[Comp1]],TablaMaq2[ID_Pedido],'2.C_Datos'!A181)+
COUNTIFS(TablaMaq3[Componente],Tabla19[[#This Row],[Comp1]],TablaMaq3[ID_Pedido],'2.C_Datos'!A181)+
COUNTIFS(TablaMaq4[Componente],Tabla19[[#This Row],[Comp1]],TablaMaq4[ID_Pedido],'2.C_Datos'!A181))</f>
        <v/>
      </c>
      <c r="K181" s="99" t="str">
        <f>IF(Tabla19[[#This Row],[Comp2]]="","",COUNTIFS(TablaMaq1[Componente],Tabla19[[#This Row],[Comp2]],TablaMaq1[ID_Pedido],'2.C_Datos'!A181)+
COUNTIFS(TablaMaq2[Componente],Tabla19[[#This Row],[Comp2]],TablaMaq2[ID_Pedido],'2.C_Datos'!A181)+
COUNTIFS(TablaMaq3[Componente],Tabla19[[#This Row],[Comp2]],TablaMaq3[ID_Pedido],'2.C_Datos'!A181)+
COUNTIFS(TablaMaq4[Componente],Tabla19[[#This Row],[Comp2]],TablaMaq4[ID_Pedido],'2.C_Datos'!A181))</f>
        <v/>
      </c>
      <c r="L181" s="99" t="str">
        <f>IF(Tabla19[[#This Row],[Comp3]]="","",COUNTIFS(TablaMaq1[Componente],Tabla19[[#This Row],[Comp3]],TablaMaq1[ID_Pedido],'2.C_Datos'!A181)+
COUNTIFS(TablaMaq2[Componente],Tabla19[[#This Row],[Comp3]],TablaMaq2[ID_Pedido],'2.C_Datos'!A181)+
COUNTIFS(TablaMaq3[Componente],Tabla19[[#This Row],[Comp3]],TablaMaq3[ID_Pedido],'2.C_Datos'!A181)+
COUNTIFS(TablaMaq4[Componente],Tabla19[[#This Row],[Comp3]],TablaMaq4[ID_Pedido],'2.C_Datos'!A181))</f>
        <v/>
      </c>
      <c r="M181" s="99" t="str">
        <f>IF(Tabla19[[#This Row],[Comp4]]="","",COUNTIFS(TablaMaq1[Componente],Tabla19[[#This Row],[Comp4]],TablaMaq1[ID_Pedido],'2.C_Datos'!A181)+
COUNTIFS(TablaMaq2[Componente],Tabla19[[#This Row],[Comp4]],TablaMaq2[ID_Pedido],'2.C_Datos'!A181)+
COUNTIFS(TablaMaq3[Componente],Tabla19[[#This Row],[Comp4]],TablaMaq3[ID_Pedido],'2.C_Datos'!A181)+
COUNTIFS(TablaMaq4[Componente],Tabla19[[#This Row],[Comp4]],TablaMaq4[ID_Pedido],'2.C_Datos'!A181))</f>
        <v/>
      </c>
      <c r="N181" s="99" t="str">
        <f>IF(Tabla19[[#This Row],[Comp5]]="","",COUNTIFS(TablaMaq1[Componente],Tabla19[[#This Row],[Comp5]],TablaMaq1[ID_Pedido],'2.C_Datos'!A181)+
COUNTIFS(TablaMaq1[Componente],Tabla19[[#This Row],[Comp5]],TablaMaq2[ID_Pedido],'2.C_Datos'!A181)+
COUNTIFS(TablaMaq1[Componente],Tabla19[[#This Row],[Comp5]],TablaMaq3[ID_Pedido],'2.C_Datos'!A181)+
COUNTIFS(TablaMaq1[Componente],Tabla19[[#This Row],[Comp5]],TablaMaq4[ID_Pedido],'2.C_Datos'!A181))</f>
        <v/>
      </c>
      <c r="O181" s="85" t="str">
        <f>IF(Tabla19[[#This Row],[Comp1]]="","",
IF(IF(Tabla19[[#This Row],[Comp1]]=0,0,1)*$D181-Tabla19[[#This Row],[Asign1]]=0,0,Tabla19[[#This Row],[Comp1]]))</f>
        <v/>
      </c>
      <c r="P181" s="85" t="str">
        <f>IF(Tabla19[[#This Row],[Comp2]]="","",
IF(IF(Tabla19[[#This Row],[Comp2]]=0,0,1)*$D181-Tabla19[[#This Row],[Asign2]]=0,0,Tabla19[[#This Row],[Comp2]]))</f>
        <v/>
      </c>
      <c r="Q181" s="85" t="str">
        <f>IF(Tabla19[[#This Row],[Comp3]]="","",
IF(IF(Tabla19[[#This Row],[Comp3]]=0,0,1)*$D181-Tabla19[[#This Row],[Asign3]]=0,0,Tabla19[[#This Row],[Comp3]]))</f>
        <v/>
      </c>
      <c r="R181" s="85" t="str">
        <f>IF(Tabla19[[#This Row],[Comp4]]="","",
IF(IF(Tabla19[[#This Row],[Comp4]]=0,0,1)*$D181-Tabla19[[#This Row],[Asign4]]=0,0,Tabla19[[#This Row],[Comp4]]))</f>
        <v/>
      </c>
      <c r="S181" s="85" t="str">
        <f>IF(Tabla19[[#This Row],[Comp5]]="","",
IF(IF(Tabla19[[#This Row],[Comp5]]=0,0,1)*$D181-Tabla19[[#This Row],[Asign5]]=0,0,Tabla19[[#This Row],[Comp5]]))</f>
        <v/>
      </c>
    </row>
    <row r="182" spans="5:19" x14ac:dyDescent="0.3">
      <c r="E182" s="99" t="str">
        <f>IF($A182="","",INDEX(ListadoProductos[],MATCH('2.C_Datos'!$C182,ListadoProductos[Productos],0),MATCH('2.C_Datos'!E$3,ListadoProductos[#Headers],0)))</f>
        <v/>
      </c>
      <c r="F182" s="99" t="str">
        <f>IF($A182="","",INDEX(ListadoProductos[],MATCH('2.C_Datos'!$C182,ListadoProductos[Productos],0),MATCH('2.C_Datos'!F$3,ListadoProductos[#Headers],0)))</f>
        <v/>
      </c>
      <c r="G182" s="99" t="str">
        <f>IF($A182="","",INDEX(ListadoProductos[],MATCH('2.C_Datos'!$C182,ListadoProductos[Productos],0),MATCH('2.C_Datos'!G$3,ListadoProductos[#Headers],0)))</f>
        <v/>
      </c>
      <c r="H182" s="99" t="str">
        <f>IF($A182="","",INDEX(ListadoProductos[],MATCH('2.C_Datos'!$C182,ListadoProductos[Productos],0),MATCH('2.C_Datos'!H$3,ListadoProductos[#Headers],0)))</f>
        <v/>
      </c>
      <c r="I182" s="99" t="str">
        <f>IF($A182="","",INDEX(ListadoProductos[],MATCH('2.C_Datos'!$C182,ListadoProductos[Productos],0),MATCH('2.C_Datos'!I$3,ListadoProductos[#Headers],0)))</f>
        <v/>
      </c>
      <c r="J182" s="99" t="str">
        <f>IF(Tabla19[[#This Row],[Comp1]]="","",COUNTIFS(TablaMaq1[Componente],Tabla19[[#This Row],[Comp1]],TablaMaq1[ID_Pedido],'2.C_Datos'!A182)+
COUNTIFS(TablaMaq2[Componente],Tabla19[[#This Row],[Comp1]],TablaMaq2[ID_Pedido],'2.C_Datos'!A182)+
COUNTIFS(TablaMaq3[Componente],Tabla19[[#This Row],[Comp1]],TablaMaq3[ID_Pedido],'2.C_Datos'!A182)+
COUNTIFS(TablaMaq4[Componente],Tabla19[[#This Row],[Comp1]],TablaMaq4[ID_Pedido],'2.C_Datos'!A182))</f>
        <v/>
      </c>
      <c r="K182" s="99" t="str">
        <f>IF(Tabla19[[#This Row],[Comp2]]="","",COUNTIFS(TablaMaq1[Componente],Tabla19[[#This Row],[Comp2]],TablaMaq1[ID_Pedido],'2.C_Datos'!A182)+
COUNTIFS(TablaMaq2[Componente],Tabla19[[#This Row],[Comp2]],TablaMaq2[ID_Pedido],'2.C_Datos'!A182)+
COUNTIFS(TablaMaq3[Componente],Tabla19[[#This Row],[Comp2]],TablaMaq3[ID_Pedido],'2.C_Datos'!A182)+
COUNTIFS(TablaMaq4[Componente],Tabla19[[#This Row],[Comp2]],TablaMaq4[ID_Pedido],'2.C_Datos'!A182))</f>
        <v/>
      </c>
      <c r="L182" s="99" t="str">
        <f>IF(Tabla19[[#This Row],[Comp3]]="","",COUNTIFS(TablaMaq1[Componente],Tabla19[[#This Row],[Comp3]],TablaMaq1[ID_Pedido],'2.C_Datos'!A182)+
COUNTIFS(TablaMaq2[Componente],Tabla19[[#This Row],[Comp3]],TablaMaq2[ID_Pedido],'2.C_Datos'!A182)+
COUNTIFS(TablaMaq3[Componente],Tabla19[[#This Row],[Comp3]],TablaMaq3[ID_Pedido],'2.C_Datos'!A182)+
COUNTIFS(TablaMaq4[Componente],Tabla19[[#This Row],[Comp3]],TablaMaq4[ID_Pedido],'2.C_Datos'!A182))</f>
        <v/>
      </c>
      <c r="M182" s="99" t="str">
        <f>IF(Tabla19[[#This Row],[Comp4]]="","",COUNTIFS(TablaMaq1[Componente],Tabla19[[#This Row],[Comp4]],TablaMaq1[ID_Pedido],'2.C_Datos'!A182)+
COUNTIFS(TablaMaq2[Componente],Tabla19[[#This Row],[Comp4]],TablaMaq2[ID_Pedido],'2.C_Datos'!A182)+
COUNTIFS(TablaMaq3[Componente],Tabla19[[#This Row],[Comp4]],TablaMaq3[ID_Pedido],'2.C_Datos'!A182)+
COUNTIFS(TablaMaq4[Componente],Tabla19[[#This Row],[Comp4]],TablaMaq4[ID_Pedido],'2.C_Datos'!A182))</f>
        <v/>
      </c>
      <c r="N182" s="99" t="str">
        <f>IF(Tabla19[[#This Row],[Comp5]]="","",COUNTIFS(TablaMaq1[Componente],Tabla19[[#This Row],[Comp5]],TablaMaq1[ID_Pedido],'2.C_Datos'!A182)+
COUNTIFS(TablaMaq1[Componente],Tabla19[[#This Row],[Comp5]],TablaMaq2[ID_Pedido],'2.C_Datos'!A182)+
COUNTIFS(TablaMaq1[Componente],Tabla19[[#This Row],[Comp5]],TablaMaq3[ID_Pedido],'2.C_Datos'!A182)+
COUNTIFS(TablaMaq1[Componente],Tabla19[[#This Row],[Comp5]],TablaMaq4[ID_Pedido],'2.C_Datos'!A182))</f>
        <v/>
      </c>
      <c r="O182" s="85" t="str">
        <f>IF(Tabla19[[#This Row],[Comp1]]="","",
IF(IF(Tabla19[[#This Row],[Comp1]]=0,0,1)*$D182-Tabla19[[#This Row],[Asign1]]=0,0,Tabla19[[#This Row],[Comp1]]))</f>
        <v/>
      </c>
      <c r="P182" s="85" t="str">
        <f>IF(Tabla19[[#This Row],[Comp2]]="","",
IF(IF(Tabla19[[#This Row],[Comp2]]=0,0,1)*$D182-Tabla19[[#This Row],[Asign2]]=0,0,Tabla19[[#This Row],[Comp2]]))</f>
        <v/>
      </c>
      <c r="Q182" s="85" t="str">
        <f>IF(Tabla19[[#This Row],[Comp3]]="","",
IF(IF(Tabla19[[#This Row],[Comp3]]=0,0,1)*$D182-Tabla19[[#This Row],[Asign3]]=0,0,Tabla19[[#This Row],[Comp3]]))</f>
        <v/>
      </c>
      <c r="R182" s="85" t="str">
        <f>IF(Tabla19[[#This Row],[Comp4]]="","",
IF(IF(Tabla19[[#This Row],[Comp4]]=0,0,1)*$D182-Tabla19[[#This Row],[Asign4]]=0,0,Tabla19[[#This Row],[Comp4]]))</f>
        <v/>
      </c>
      <c r="S182" s="85" t="str">
        <f>IF(Tabla19[[#This Row],[Comp5]]="","",
IF(IF(Tabla19[[#This Row],[Comp5]]=0,0,1)*$D182-Tabla19[[#This Row],[Asign5]]=0,0,Tabla19[[#This Row],[Comp5]]))</f>
        <v/>
      </c>
    </row>
    <row r="183" spans="5:19" x14ac:dyDescent="0.3">
      <c r="E183" s="99" t="str">
        <f>IF($A183="","",INDEX(ListadoProductos[],MATCH('2.C_Datos'!$C183,ListadoProductos[Productos],0),MATCH('2.C_Datos'!E$3,ListadoProductos[#Headers],0)))</f>
        <v/>
      </c>
      <c r="F183" s="99" t="str">
        <f>IF($A183="","",INDEX(ListadoProductos[],MATCH('2.C_Datos'!$C183,ListadoProductos[Productos],0),MATCH('2.C_Datos'!F$3,ListadoProductos[#Headers],0)))</f>
        <v/>
      </c>
      <c r="G183" s="99" t="str">
        <f>IF($A183="","",INDEX(ListadoProductos[],MATCH('2.C_Datos'!$C183,ListadoProductos[Productos],0),MATCH('2.C_Datos'!G$3,ListadoProductos[#Headers],0)))</f>
        <v/>
      </c>
      <c r="H183" s="99" t="str">
        <f>IF($A183="","",INDEX(ListadoProductos[],MATCH('2.C_Datos'!$C183,ListadoProductos[Productos],0),MATCH('2.C_Datos'!H$3,ListadoProductos[#Headers],0)))</f>
        <v/>
      </c>
      <c r="I183" s="99" t="str">
        <f>IF($A183="","",INDEX(ListadoProductos[],MATCH('2.C_Datos'!$C183,ListadoProductos[Productos],0),MATCH('2.C_Datos'!I$3,ListadoProductos[#Headers],0)))</f>
        <v/>
      </c>
      <c r="J183" s="99" t="str">
        <f>IF(Tabla19[[#This Row],[Comp1]]="","",COUNTIFS(TablaMaq1[Componente],Tabla19[[#This Row],[Comp1]],TablaMaq1[ID_Pedido],'2.C_Datos'!A183)+
COUNTIFS(TablaMaq2[Componente],Tabla19[[#This Row],[Comp1]],TablaMaq2[ID_Pedido],'2.C_Datos'!A183)+
COUNTIFS(TablaMaq3[Componente],Tabla19[[#This Row],[Comp1]],TablaMaq3[ID_Pedido],'2.C_Datos'!A183)+
COUNTIFS(TablaMaq4[Componente],Tabla19[[#This Row],[Comp1]],TablaMaq4[ID_Pedido],'2.C_Datos'!A183))</f>
        <v/>
      </c>
      <c r="K183" s="99" t="str">
        <f>IF(Tabla19[[#This Row],[Comp2]]="","",COUNTIFS(TablaMaq1[Componente],Tabla19[[#This Row],[Comp2]],TablaMaq1[ID_Pedido],'2.C_Datos'!A183)+
COUNTIFS(TablaMaq2[Componente],Tabla19[[#This Row],[Comp2]],TablaMaq2[ID_Pedido],'2.C_Datos'!A183)+
COUNTIFS(TablaMaq3[Componente],Tabla19[[#This Row],[Comp2]],TablaMaq3[ID_Pedido],'2.C_Datos'!A183)+
COUNTIFS(TablaMaq4[Componente],Tabla19[[#This Row],[Comp2]],TablaMaq4[ID_Pedido],'2.C_Datos'!A183))</f>
        <v/>
      </c>
      <c r="L183" s="99" t="str">
        <f>IF(Tabla19[[#This Row],[Comp3]]="","",COUNTIFS(TablaMaq1[Componente],Tabla19[[#This Row],[Comp3]],TablaMaq1[ID_Pedido],'2.C_Datos'!A183)+
COUNTIFS(TablaMaq2[Componente],Tabla19[[#This Row],[Comp3]],TablaMaq2[ID_Pedido],'2.C_Datos'!A183)+
COUNTIFS(TablaMaq3[Componente],Tabla19[[#This Row],[Comp3]],TablaMaq3[ID_Pedido],'2.C_Datos'!A183)+
COUNTIFS(TablaMaq4[Componente],Tabla19[[#This Row],[Comp3]],TablaMaq4[ID_Pedido],'2.C_Datos'!A183))</f>
        <v/>
      </c>
      <c r="M183" s="99" t="str">
        <f>IF(Tabla19[[#This Row],[Comp4]]="","",COUNTIFS(TablaMaq1[Componente],Tabla19[[#This Row],[Comp4]],TablaMaq1[ID_Pedido],'2.C_Datos'!A183)+
COUNTIFS(TablaMaq2[Componente],Tabla19[[#This Row],[Comp4]],TablaMaq2[ID_Pedido],'2.C_Datos'!A183)+
COUNTIFS(TablaMaq3[Componente],Tabla19[[#This Row],[Comp4]],TablaMaq3[ID_Pedido],'2.C_Datos'!A183)+
COUNTIFS(TablaMaq4[Componente],Tabla19[[#This Row],[Comp4]],TablaMaq4[ID_Pedido],'2.C_Datos'!A183))</f>
        <v/>
      </c>
      <c r="N183" s="99" t="str">
        <f>IF(Tabla19[[#This Row],[Comp5]]="","",COUNTIFS(TablaMaq1[Componente],Tabla19[[#This Row],[Comp5]],TablaMaq1[ID_Pedido],'2.C_Datos'!A183)+
COUNTIFS(TablaMaq1[Componente],Tabla19[[#This Row],[Comp5]],TablaMaq2[ID_Pedido],'2.C_Datos'!A183)+
COUNTIFS(TablaMaq1[Componente],Tabla19[[#This Row],[Comp5]],TablaMaq3[ID_Pedido],'2.C_Datos'!A183)+
COUNTIFS(TablaMaq1[Componente],Tabla19[[#This Row],[Comp5]],TablaMaq4[ID_Pedido],'2.C_Datos'!A183))</f>
        <v/>
      </c>
      <c r="O183" s="85" t="str">
        <f>IF(Tabla19[[#This Row],[Comp1]]="","",
IF(IF(Tabla19[[#This Row],[Comp1]]=0,0,1)*$D183-Tabla19[[#This Row],[Asign1]]=0,0,Tabla19[[#This Row],[Comp1]]))</f>
        <v/>
      </c>
      <c r="P183" s="85" t="str">
        <f>IF(Tabla19[[#This Row],[Comp2]]="","",
IF(IF(Tabla19[[#This Row],[Comp2]]=0,0,1)*$D183-Tabla19[[#This Row],[Asign2]]=0,0,Tabla19[[#This Row],[Comp2]]))</f>
        <v/>
      </c>
      <c r="Q183" s="85" t="str">
        <f>IF(Tabla19[[#This Row],[Comp3]]="","",
IF(IF(Tabla19[[#This Row],[Comp3]]=0,0,1)*$D183-Tabla19[[#This Row],[Asign3]]=0,0,Tabla19[[#This Row],[Comp3]]))</f>
        <v/>
      </c>
      <c r="R183" s="85" t="str">
        <f>IF(Tabla19[[#This Row],[Comp4]]="","",
IF(IF(Tabla19[[#This Row],[Comp4]]=0,0,1)*$D183-Tabla19[[#This Row],[Asign4]]=0,0,Tabla19[[#This Row],[Comp4]]))</f>
        <v/>
      </c>
      <c r="S183" s="85" t="str">
        <f>IF(Tabla19[[#This Row],[Comp5]]="","",
IF(IF(Tabla19[[#This Row],[Comp5]]=0,0,1)*$D183-Tabla19[[#This Row],[Asign5]]=0,0,Tabla19[[#This Row],[Comp5]]))</f>
        <v/>
      </c>
    </row>
    <row r="184" spans="5:19" x14ac:dyDescent="0.3">
      <c r="E184" s="99" t="str">
        <f>IF($A184="","",INDEX(ListadoProductos[],MATCH('2.C_Datos'!$C184,ListadoProductos[Productos],0),MATCH('2.C_Datos'!E$3,ListadoProductos[#Headers],0)))</f>
        <v/>
      </c>
      <c r="F184" s="99" t="str">
        <f>IF($A184="","",INDEX(ListadoProductos[],MATCH('2.C_Datos'!$C184,ListadoProductos[Productos],0),MATCH('2.C_Datos'!F$3,ListadoProductos[#Headers],0)))</f>
        <v/>
      </c>
      <c r="G184" s="99" t="str">
        <f>IF($A184="","",INDEX(ListadoProductos[],MATCH('2.C_Datos'!$C184,ListadoProductos[Productos],0),MATCH('2.C_Datos'!G$3,ListadoProductos[#Headers],0)))</f>
        <v/>
      </c>
      <c r="H184" s="99" t="str">
        <f>IF($A184="","",INDEX(ListadoProductos[],MATCH('2.C_Datos'!$C184,ListadoProductos[Productos],0),MATCH('2.C_Datos'!H$3,ListadoProductos[#Headers],0)))</f>
        <v/>
      </c>
      <c r="I184" s="99" t="str">
        <f>IF($A184="","",INDEX(ListadoProductos[],MATCH('2.C_Datos'!$C184,ListadoProductos[Productos],0),MATCH('2.C_Datos'!I$3,ListadoProductos[#Headers],0)))</f>
        <v/>
      </c>
      <c r="J184" s="99" t="str">
        <f>IF(Tabla19[[#This Row],[Comp1]]="","",COUNTIFS(TablaMaq1[Componente],Tabla19[[#This Row],[Comp1]],TablaMaq1[ID_Pedido],'2.C_Datos'!A184)+
COUNTIFS(TablaMaq2[Componente],Tabla19[[#This Row],[Comp1]],TablaMaq2[ID_Pedido],'2.C_Datos'!A184)+
COUNTIFS(TablaMaq3[Componente],Tabla19[[#This Row],[Comp1]],TablaMaq3[ID_Pedido],'2.C_Datos'!A184)+
COUNTIFS(TablaMaq4[Componente],Tabla19[[#This Row],[Comp1]],TablaMaq4[ID_Pedido],'2.C_Datos'!A184))</f>
        <v/>
      </c>
      <c r="K184" s="99" t="str">
        <f>IF(Tabla19[[#This Row],[Comp2]]="","",COUNTIFS(TablaMaq1[Componente],Tabla19[[#This Row],[Comp2]],TablaMaq1[ID_Pedido],'2.C_Datos'!A184)+
COUNTIFS(TablaMaq2[Componente],Tabla19[[#This Row],[Comp2]],TablaMaq2[ID_Pedido],'2.C_Datos'!A184)+
COUNTIFS(TablaMaq3[Componente],Tabla19[[#This Row],[Comp2]],TablaMaq3[ID_Pedido],'2.C_Datos'!A184)+
COUNTIFS(TablaMaq4[Componente],Tabla19[[#This Row],[Comp2]],TablaMaq4[ID_Pedido],'2.C_Datos'!A184))</f>
        <v/>
      </c>
      <c r="L184" s="99" t="str">
        <f>IF(Tabla19[[#This Row],[Comp3]]="","",COUNTIFS(TablaMaq1[Componente],Tabla19[[#This Row],[Comp3]],TablaMaq1[ID_Pedido],'2.C_Datos'!A184)+
COUNTIFS(TablaMaq2[Componente],Tabla19[[#This Row],[Comp3]],TablaMaq2[ID_Pedido],'2.C_Datos'!A184)+
COUNTIFS(TablaMaq3[Componente],Tabla19[[#This Row],[Comp3]],TablaMaq3[ID_Pedido],'2.C_Datos'!A184)+
COUNTIFS(TablaMaq4[Componente],Tabla19[[#This Row],[Comp3]],TablaMaq4[ID_Pedido],'2.C_Datos'!A184))</f>
        <v/>
      </c>
      <c r="M184" s="99" t="str">
        <f>IF(Tabla19[[#This Row],[Comp4]]="","",COUNTIFS(TablaMaq1[Componente],Tabla19[[#This Row],[Comp4]],TablaMaq1[ID_Pedido],'2.C_Datos'!A184)+
COUNTIFS(TablaMaq2[Componente],Tabla19[[#This Row],[Comp4]],TablaMaq2[ID_Pedido],'2.C_Datos'!A184)+
COUNTIFS(TablaMaq3[Componente],Tabla19[[#This Row],[Comp4]],TablaMaq3[ID_Pedido],'2.C_Datos'!A184)+
COUNTIFS(TablaMaq4[Componente],Tabla19[[#This Row],[Comp4]],TablaMaq4[ID_Pedido],'2.C_Datos'!A184))</f>
        <v/>
      </c>
      <c r="N184" s="99" t="str">
        <f>IF(Tabla19[[#This Row],[Comp5]]="","",COUNTIFS(TablaMaq1[Componente],Tabla19[[#This Row],[Comp5]],TablaMaq1[ID_Pedido],'2.C_Datos'!A184)+
COUNTIFS(TablaMaq1[Componente],Tabla19[[#This Row],[Comp5]],TablaMaq2[ID_Pedido],'2.C_Datos'!A184)+
COUNTIFS(TablaMaq1[Componente],Tabla19[[#This Row],[Comp5]],TablaMaq3[ID_Pedido],'2.C_Datos'!A184)+
COUNTIFS(TablaMaq1[Componente],Tabla19[[#This Row],[Comp5]],TablaMaq4[ID_Pedido],'2.C_Datos'!A184))</f>
        <v/>
      </c>
      <c r="O184" s="85" t="str">
        <f>IF(Tabla19[[#This Row],[Comp1]]="","",
IF(IF(Tabla19[[#This Row],[Comp1]]=0,0,1)*$D184-Tabla19[[#This Row],[Asign1]]=0,0,Tabla19[[#This Row],[Comp1]]))</f>
        <v/>
      </c>
      <c r="P184" s="85" t="str">
        <f>IF(Tabla19[[#This Row],[Comp2]]="","",
IF(IF(Tabla19[[#This Row],[Comp2]]=0,0,1)*$D184-Tabla19[[#This Row],[Asign2]]=0,0,Tabla19[[#This Row],[Comp2]]))</f>
        <v/>
      </c>
      <c r="Q184" s="85" t="str">
        <f>IF(Tabla19[[#This Row],[Comp3]]="","",
IF(IF(Tabla19[[#This Row],[Comp3]]=0,0,1)*$D184-Tabla19[[#This Row],[Asign3]]=0,0,Tabla19[[#This Row],[Comp3]]))</f>
        <v/>
      </c>
      <c r="R184" s="85" t="str">
        <f>IF(Tabla19[[#This Row],[Comp4]]="","",
IF(IF(Tabla19[[#This Row],[Comp4]]=0,0,1)*$D184-Tabla19[[#This Row],[Asign4]]=0,0,Tabla19[[#This Row],[Comp4]]))</f>
        <v/>
      </c>
      <c r="S184" s="85" t="str">
        <f>IF(Tabla19[[#This Row],[Comp5]]="","",
IF(IF(Tabla19[[#This Row],[Comp5]]=0,0,1)*$D184-Tabla19[[#This Row],[Asign5]]=0,0,Tabla19[[#This Row],[Comp5]]))</f>
        <v/>
      </c>
    </row>
    <row r="185" spans="5:19" x14ac:dyDescent="0.3">
      <c r="E185" s="99" t="str">
        <f>IF($A185="","",INDEX(ListadoProductos[],MATCH('2.C_Datos'!$C185,ListadoProductos[Productos],0),MATCH('2.C_Datos'!E$3,ListadoProductos[#Headers],0)))</f>
        <v/>
      </c>
      <c r="F185" s="99" t="str">
        <f>IF($A185="","",INDEX(ListadoProductos[],MATCH('2.C_Datos'!$C185,ListadoProductos[Productos],0),MATCH('2.C_Datos'!F$3,ListadoProductos[#Headers],0)))</f>
        <v/>
      </c>
      <c r="G185" s="99" t="str">
        <f>IF($A185="","",INDEX(ListadoProductos[],MATCH('2.C_Datos'!$C185,ListadoProductos[Productos],0),MATCH('2.C_Datos'!G$3,ListadoProductos[#Headers],0)))</f>
        <v/>
      </c>
      <c r="H185" s="99" t="str">
        <f>IF($A185="","",INDEX(ListadoProductos[],MATCH('2.C_Datos'!$C185,ListadoProductos[Productos],0),MATCH('2.C_Datos'!H$3,ListadoProductos[#Headers],0)))</f>
        <v/>
      </c>
      <c r="I185" s="99" t="str">
        <f>IF($A185="","",INDEX(ListadoProductos[],MATCH('2.C_Datos'!$C185,ListadoProductos[Productos],0),MATCH('2.C_Datos'!I$3,ListadoProductos[#Headers],0)))</f>
        <v/>
      </c>
      <c r="J185" s="99" t="str">
        <f>IF(Tabla19[[#This Row],[Comp1]]="","",COUNTIFS(TablaMaq1[Componente],Tabla19[[#This Row],[Comp1]],TablaMaq1[ID_Pedido],'2.C_Datos'!A185)+
COUNTIFS(TablaMaq2[Componente],Tabla19[[#This Row],[Comp1]],TablaMaq2[ID_Pedido],'2.C_Datos'!A185)+
COUNTIFS(TablaMaq3[Componente],Tabla19[[#This Row],[Comp1]],TablaMaq3[ID_Pedido],'2.C_Datos'!A185)+
COUNTIFS(TablaMaq4[Componente],Tabla19[[#This Row],[Comp1]],TablaMaq4[ID_Pedido],'2.C_Datos'!A185))</f>
        <v/>
      </c>
      <c r="K185" s="99" t="str">
        <f>IF(Tabla19[[#This Row],[Comp2]]="","",COUNTIFS(TablaMaq1[Componente],Tabla19[[#This Row],[Comp2]],TablaMaq1[ID_Pedido],'2.C_Datos'!A185)+
COUNTIFS(TablaMaq2[Componente],Tabla19[[#This Row],[Comp2]],TablaMaq2[ID_Pedido],'2.C_Datos'!A185)+
COUNTIFS(TablaMaq3[Componente],Tabla19[[#This Row],[Comp2]],TablaMaq3[ID_Pedido],'2.C_Datos'!A185)+
COUNTIFS(TablaMaq4[Componente],Tabla19[[#This Row],[Comp2]],TablaMaq4[ID_Pedido],'2.C_Datos'!A185))</f>
        <v/>
      </c>
      <c r="L185" s="99" t="str">
        <f>IF(Tabla19[[#This Row],[Comp3]]="","",COUNTIFS(TablaMaq1[Componente],Tabla19[[#This Row],[Comp3]],TablaMaq1[ID_Pedido],'2.C_Datos'!A185)+
COUNTIFS(TablaMaq2[Componente],Tabla19[[#This Row],[Comp3]],TablaMaq2[ID_Pedido],'2.C_Datos'!A185)+
COUNTIFS(TablaMaq3[Componente],Tabla19[[#This Row],[Comp3]],TablaMaq3[ID_Pedido],'2.C_Datos'!A185)+
COUNTIFS(TablaMaq4[Componente],Tabla19[[#This Row],[Comp3]],TablaMaq4[ID_Pedido],'2.C_Datos'!A185))</f>
        <v/>
      </c>
      <c r="M185" s="99" t="str">
        <f>IF(Tabla19[[#This Row],[Comp4]]="","",COUNTIFS(TablaMaq1[Componente],Tabla19[[#This Row],[Comp4]],TablaMaq1[ID_Pedido],'2.C_Datos'!A185)+
COUNTIFS(TablaMaq2[Componente],Tabla19[[#This Row],[Comp4]],TablaMaq2[ID_Pedido],'2.C_Datos'!A185)+
COUNTIFS(TablaMaq3[Componente],Tabla19[[#This Row],[Comp4]],TablaMaq3[ID_Pedido],'2.C_Datos'!A185)+
COUNTIFS(TablaMaq4[Componente],Tabla19[[#This Row],[Comp4]],TablaMaq4[ID_Pedido],'2.C_Datos'!A185))</f>
        <v/>
      </c>
      <c r="N185" s="99" t="str">
        <f>IF(Tabla19[[#This Row],[Comp5]]="","",COUNTIFS(TablaMaq1[Componente],Tabla19[[#This Row],[Comp5]],TablaMaq1[ID_Pedido],'2.C_Datos'!A185)+
COUNTIFS(TablaMaq1[Componente],Tabla19[[#This Row],[Comp5]],TablaMaq2[ID_Pedido],'2.C_Datos'!A185)+
COUNTIFS(TablaMaq1[Componente],Tabla19[[#This Row],[Comp5]],TablaMaq3[ID_Pedido],'2.C_Datos'!A185)+
COUNTIFS(TablaMaq1[Componente],Tabla19[[#This Row],[Comp5]],TablaMaq4[ID_Pedido],'2.C_Datos'!A185))</f>
        <v/>
      </c>
      <c r="O185" s="85" t="str">
        <f>IF(Tabla19[[#This Row],[Comp1]]="","",
IF(IF(Tabla19[[#This Row],[Comp1]]=0,0,1)*$D185-Tabla19[[#This Row],[Asign1]]=0,0,Tabla19[[#This Row],[Comp1]]))</f>
        <v/>
      </c>
      <c r="P185" s="85" t="str">
        <f>IF(Tabla19[[#This Row],[Comp2]]="","",
IF(IF(Tabla19[[#This Row],[Comp2]]=0,0,1)*$D185-Tabla19[[#This Row],[Asign2]]=0,0,Tabla19[[#This Row],[Comp2]]))</f>
        <v/>
      </c>
      <c r="Q185" s="85" t="str">
        <f>IF(Tabla19[[#This Row],[Comp3]]="","",
IF(IF(Tabla19[[#This Row],[Comp3]]=0,0,1)*$D185-Tabla19[[#This Row],[Asign3]]=0,0,Tabla19[[#This Row],[Comp3]]))</f>
        <v/>
      </c>
      <c r="R185" s="85" t="str">
        <f>IF(Tabla19[[#This Row],[Comp4]]="","",
IF(IF(Tabla19[[#This Row],[Comp4]]=0,0,1)*$D185-Tabla19[[#This Row],[Asign4]]=0,0,Tabla19[[#This Row],[Comp4]]))</f>
        <v/>
      </c>
      <c r="S185" s="85" t="str">
        <f>IF(Tabla19[[#This Row],[Comp5]]="","",
IF(IF(Tabla19[[#This Row],[Comp5]]=0,0,1)*$D185-Tabla19[[#This Row],[Asign5]]=0,0,Tabla19[[#This Row],[Comp5]]))</f>
        <v/>
      </c>
    </row>
    <row r="186" spans="5:19" x14ac:dyDescent="0.3">
      <c r="E186" s="99" t="str">
        <f>IF($A186="","",INDEX(ListadoProductos[],MATCH('2.C_Datos'!$C186,ListadoProductos[Productos],0),MATCH('2.C_Datos'!E$3,ListadoProductos[#Headers],0)))</f>
        <v/>
      </c>
      <c r="F186" s="99" t="str">
        <f>IF($A186="","",INDEX(ListadoProductos[],MATCH('2.C_Datos'!$C186,ListadoProductos[Productos],0),MATCH('2.C_Datos'!F$3,ListadoProductos[#Headers],0)))</f>
        <v/>
      </c>
      <c r="G186" s="99" t="str">
        <f>IF($A186="","",INDEX(ListadoProductos[],MATCH('2.C_Datos'!$C186,ListadoProductos[Productos],0),MATCH('2.C_Datos'!G$3,ListadoProductos[#Headers],0)))</f>
        <v/>
      </c>
      <c r="H186" s="99" t="str">
        <f>IF($A186="","",INDEX(ListadoProductos[],MATCH('2.C_Datos'!$C186,ListadoProductos[Productos],0),MATCH('2.C_Datos'!H$3,ListadoProductos[#Headers],0)))</f>
        <v/>
      </c>
      <c r="I186" s="99" t="str">
        <f>IF($A186="","",INDEX(ListadoProductos[],MATCH('2.C_Datos'!$C186,ListadoProductos[Productos],0),MATCH('2.C_Datos'!I$3,ListadoProductos[#Headers],0)))</f>
        <v/>
      </c>
      <c r="J186" s="99" t="str">
        <f>IF(Tabla19[[#This Row],[Comp1]]="","",COUNTIFS(TablaMaq1[Componente],Tabla19[[#This Row],[Comp1]],TablaMaq1[ID_Pedido],'2.C_Datos'!A186)+
COUNTIFS(TablaMaq2[Componente],Tabla19[[#This Row],[Comp1]],TablaMaq2[ID_Pedido],'2.C_Datos'!A186)+
COUNTIFS(TablaMaq3[Componente],Tabla19[[#This Row],[Comp1]],TablaMaq3[ID_Pedido],'2.C_Datos'!A186)+
COUNTIFS(TablaMaq4[Componente],Tabla19[[#This Row],[Comp1]],TablaMaq4[ID_Pedido],'2.C_Datos'!A186))</f>
        <v/>
      </c>
      <c r="K186" s="99" t="str">
        <f>IF(Tabla19[[#This Row],[Comp2]]="","",COUNTIFS(TablaMaq1[Componente],Tabla19[[#This Row],[Comp2]],TablaMaq1[ID_Pedido],'2.C_Datos'!A186)+
COUNTIFS(TablaMaq2[Componente],Tabla19[[#This Row],[Comp2]],TablaMaq2[ID_Pedido],'2.C_Datos'!A186)+
COUNTIFS(TablaMaq3[Componente],Tabla19[[#This Row],[Comp2]],TablaMaq3[ID_Pedido],'2.C_Datos'!A186)+
COUNTIFS(TablaMaq4[Componente],Tabla19[[#This Row],[Comp2]],TablaMaq4[ID_Pedido],'2.C_Datos'!A186))</f>
        <v/>
      </c>
      <c r="L186" s="99" t="str">
        <f>IF(Tabla19[[#This Row],[Comp3]]="","",COUNTIFS(TablaMaq1[Componente],Tabla19[[#This Row],[Comp3]],TablaMaq1[ID_Pedido],'2.C_Datos'!A186)+
COUNTIFS(TablaMaq2[Componente],Tabla19[[#This Row],[Comp3]],TablaMaq2[ID_Pedido],'2.C_Datos'!A186)+
COUNTIFS(TablaMaq3[Componente],Tabla19[[#This Row],[Comp3]],TablaMaq3[ID_Pedido],'2.C_Datos'!A186)+
COUNTIFS(TablaMaq4[Componente],Tabla19[[#This Row],[Comp3]],TablaMaq4[ID_Pedido],'2.C_Datos'!A186))</f>
        <v/>
      </c>
      <c r="M186" s="99" t="str">
        <f>IF(Tabla19[[#This Row],[Comp4]]="","",COUNTIFS(TablaMaq1[Componente],Tabla19[[#This Row],[Comp4]],TablaMaq1[ID_Pedido],'2.C_Datos'!A186)+
COUNTIFS(TablaMaq2[Componente],Tabla19[[#This Row],[Comp4]],TablaMaq2[ID_Pedido],'2.C_Datos'!A186)+
COUNTIFS(TablaMaq3[Componente],Tabla19[[#This Row],[Comp4]],TablaMaq3[ID_Pedido],'2.C_Datos'!A186)+
COUNTIFS(TablaMaq4[Componente],Tabla19[[#This Row],[Comp4]],TablaMaq4[ID_Pedido],'2.C_Datos'!A186))</f>
        <v/>
      </c>
      <c r="N186" s="99" t="str">
        <f>IF(Tabla19[[#This Row],[Comp5]]="","",COUNTIFS(TablaMaq1[Componente],Tabla19[[#This Row],[Comp5]],TablaMaq1[ID_Pedido],'2.C_Datos'!A186)+
COUNTIFS(TablaMaq1[Componente],Tabla19[[#This Row],[Comp5]],TablaMaq2[ID_Pedido],'2.C_Datos'!A186)+
COUNTIFS(TablaMaq1[Componente],Tabla19[[#This Row],[Comp5]],TablaMaq3[ID_Pedido],'2.C_Datos'!A186)+
COUNTIFS(TablaMaq1[Componente],Tabla19[[#This Row],[Comp5]],TablaMaq4[ID_Pedido],'2.C_Datos'!A186))</f>
        <v/>
      </c>
      <c r="O186" s="85" t="str">
        <f>IF(Tabla19[[#This Row],[Comp1]]="","",
IF(IF(Tabla19[[#This Row],[Comp1]]=0,0,1)*$D186-Tabla19[[#This Row],[Asign1]]=0,0,Tabla19[[#This Row],[Comp1]]))</f>
        <v/>
      </c>
      <c r="P186" s="85" t="str">
        <f>IF(Tabla19[[#This Row],[Comp2]]="","",
IF(IF(Tabla19[[#This Row],[Comp2]]=0,0,1)*$D186-Tabla19[[#This Row],[Asign2]]=0,0,Tabla19[[#This Row],[Comp2]]))</f>
        <v/>
      </c>
      <c r="Q186" s="85" t="str">
        <f>IF(Tabla19[[#This Row],[Comp3]]="","",
IF(IF(Tabla19[[#This Row],[Comp3]]=0,0,1)*$D186-Tabla19[[#This Row],[Asign3]]=0,0,Tabla19[[#This Row],[Comp3]]))</f>
        <v/>
      </c>
      <c r="R186" s="85" t="str">
        <f>IF(Tabla19[[#This Row],[Comp4]]="","",
IF(IF(Tabla19[[#This Row],[Comp4]]=0,0,1)*$D186-Tabla19[[#This Row],[Asign4]]=0,0,Tabla19[[#This Row],[Comp4]]))</f>
        <v/>
      </c>
      <c r="S186" s="85" t="str">
        <f>IF(Tabla19[[#This Row],[Comp5]]="","",
IF(IF(Tabla19[[#This Row],[Comp5]]=0,0,1)*$D186-Tabla19[[#This Row],[Asign5]]=0,0,Tabla19[[#This Row],[Comp5]]))</f>
        <v/>
      </c>
    </row>
    <row r="187" spans="5:19" x14ac:dyDescent="0.3">
      <c r="E187" s="99" t="str">
        <f>IF($A187="","",INDEX(ListadoProductos[],MATCH('2.C_Datos'!$C187,ListadoProductos[Productos],0),MATCH('2.C_Datos'!E$3,ListadoProductos[#Headers],0)))</f>
        <v/>
      </c>
      <c r="F187" s="99" t="str">
        <f>IF($A187="","",INDEX(ListadoProductos[],MATCH('2.C_Datos'!$C187,ListadoProductos[Productos],0),MATCH('2.C_Datos'!F$3,ListadoProductos[#Headers],0)))</f>
        <v/>
      </c>
      <c r="G187" s="99" t="str">
        <f>IF($A187="","",INDEX(ListadoProductos[],MATCH('2.C_Datos'!$C187,ListadoProductos[Productos],0),MATCH('2.C_Datos'!G$3,ListadoProductos[#Headers],0)))</f>
        <v/>
      </c>
      <c r="H187" s="99" t="str">
        <f>IF($A187="","",INDEX(ListadoProductos[],MATCH('2.C_Datos'!$C187,ListadoProductos[Productos],0),MATCH('2.C_Datos'!H$3,ListadoProductos[#Headers],0)))</f>
        <v/>
      </c>
      <c r="I187" s="99" t="str">
        <f>IF($A187="","",INDEX(ListadoProductos[],MATCH('2.C_Datos'!$C187,ListadoProductos[Productos],0),MATCH('2.C_Datos'!I$3,ListadoProductos[#Headers],0)))</f>
        <v/>
      </c>
      <c r="J187" s="99" t="str">
        <f>IF(Tabla19[[#This Row],[Comp1]]="","",COUNTIFS(TablaMaq1[Componente],Tabla19[[#This Row],[Comp1]],TablaMaq1[ID_Pedido],'2.C_Datos'!A187)+
COUNTIFS(TablaMaq2[Componente],Tabla19[[#This Row],[Comp1]],TablaMaq2[ID_Pedido],'2.C_Datos'!A187)+
COUNTIFS(TablaMaq3[Componente],Tabla19[[#This Row],[Comp1]],TablaMaq3[ID_Pedido],'2.C_Datos'!A187)+
COUNTIFS(TablaMaq4[Componente],Tabla19[[#This Row],[Comp1]],TablaMaq4[ID_Pedido],'2.C_Datos'!A187))</f>
        <v/>
      </c>
      <c r="K187" s="99" t="str">
        <f>IF(Tabla19[[#This Row],[Comp2]]="","",COUNTIFS(TablaMaq1[Componente],Tabla19[[#This Row],[Comp2]],TablaMaq1[ID_Pedido],'2.C_Datos'!A187)+
COUNTIFS(TablaMaq2[Componente],Tabla19[[#This Row],[Comp2]],TablaMaq2[ID_Pedido],'2.C_Datos'!A187)+
COUNTIFS(TablaMaq3[Componente],Tabla19[[#This Row],[Comp2]],TablaMaq3[ID_Pedido],'2.C_Datos'!A187)+
COUNTIFS(TablaMaq4[Componente],Tabla19[[#This Row],[Comp2]],TablaMaq4[ID_Pedido],'2.C_Datos'!A187))</f>
        <v/>
      </c>
      <c r="L187" s="99" t="str">
        <f>IF(Tabla19[[#This Row],[Comp3]]="","",COUNTIFS(TablaMaq1[Componente],Tabla19[[#This Row],[Comp3]],TablaMaq1[ID_Pedido],'2.C_Datos'!A187)+
COUNTIFS(TablaMaq2[Componente],Tabla19[[#This Row],[Comp3]],TablaMaq2[ID_Pedido],'2.C_Datos'!A187)+
COUNTIFS(TablaMaq3[Componente],Tabla19[[#This Row],[Comp3]],TablaMaq3[ID_Pedido],'2.C_Datos'!A187)+
COUNTIFS(TablaMaq4[Componente],Tabla19[[#This Row],[Comp3]],TablaMaq4[ID_Pedido],'2.C_Datos'!A187))</f>
        <v/>
      </c>
      <c r="M187" s="99" t="str">
        <f>IF(Tabla19[[#This Row],[Comp4]]="","",COUNTIFS(TablaMaq1[Componente],Tabla19[[#This Row],[Comp4]],TablaMaq1[ID_Pedido],'2.C_Datos'!A187)+
COUNTIFS(TablaMaq2[Componente],Tabla19[[#This Row],[Comp4]],TablaMaq2[ID_Pedido],'2.C_Datos'!A187)+
COUNTIFS(TablaMaq3[Componente],Tabla19[[#This Row],[Comp4]],TablaMaq3[ID_Pedido],'2.C_Datos'!A187)+
COUNTIFS(TablaMaq4[Componente],Tabla19[[#This Row],[Comp4]],TablaMaq4[ID_Pedido],'2.C_Datos'!A187))</f>
        <v/>
      </c>
      <c r="N187" s="99" t="str">
        <f>IF(Tabla19[[#This Row],[Comp5]]="","",COUNTIFS(TablaMaq1[Componente],Tabla19[[#This Row],[Comp5]],TablaMaq1[ID_Pedido],'2.C_Datos'!A187)+
COUNTIFS(TablaMaq1[Componente],Tabla19[[#This Row],[Comp5]],TablaMaq2[ID_Pedido],'2.C_Datos'!A187)+
COUNTIFS(TablaMaq1[Componente],Tabla19[[#This Row],[Comp5]],TablaMaq3[ID_Pedido],'2.C_Datos'!A187)+
COUNTIFS(TablaMaq1[Componente],Tabla19[[#This Row],[Comp5]],TablaMaq4[ID_Pedido],'2.C_Datos'!A187))</f>
        <v/>
      </c>
      <c r="O187" s="85" t="str">
        <f>IF(Tabla19[[#This Row],[Comp1]]="","",
IF(IF(Tabla19[[#This Row],[Comp1]]=0,0,1)*$D187-Tabla19[[#This Row],[Asign1]]=0,0,Tabla19[[#This Row],[Comp1]]))</f>
        <v/>
      </c>
      <c r="P187" s="85" t="str">
        <f>IF(Tabla19[[#This Row],[Comp2]]="","",
IF(IF(Tabla19[[#This Row],[Comp2]]=0,0,1)*$D187-Tabla19[[#This Row],[Asign2]]=0,0,Tabla19[[#This Row],[Comp2]]))</f>
        <v/>
      </c>
      <c r="Q187" s="85" t="str">
        <f>IF(Tabla19[[#This Row],[Comp3]]="","",
IF(IF(Tabla19[[#This Row],[Comp3]]=0,0,1)*$D187-Tabla19[[#This Row],[Asign3]]=0,0,Tabla19[[#This Row],[Comp3]]))</f>
        <v/>
      </c>
      <c r="R187" s="85" t="str">
        <f>IF(Tabla19[[#This Row],[Comp4]]="","",
IF(IF(Tabla19[[#This Row],[Comp4]]=0,0,1)*$D187-Tabla19[[#This Row],[Asign4]]=0,0,Tabla19[[#This Row],[Comp4]]))</f>
        <v/>
      </c>
      <c r="S187" s="85" t="str">
        <f>IF(Tabla19[[#This Row],[Comp5]]="","",
IF(IF(Tabla19[[#This Row],[Comp5]]=0,0,1)*$D187-Tabla19[[#This Row],[Asign5]]=0,0,Tabla19[[#This Row],[Comp5]]))</f>
        <v/>
      </c>
    </row>
    <row r="188" spans="5:19" x14ac:dyDescent="0.3">
      <c r="E188" s="99" t="str">
        <f>IF($A188="","",INDEX(ListadoProductos[],MATCH('2.C_Datos'!$C188,ListadoProductos[Productos],0),MATCH('2.C_Datos'!E$3,ListadoProductos[#Headers],0)))</f>
        <v/>
      </c>
      <c r="F188" s="99" t="str">
        <f>IF($A188="","",INDEX(ListadoProductos[],MATCH('2.C_Datos'!$C188,ListadoProductos[Productos],0),MATCH('2.C_Datos'!F$3,ListadoProductos[#Headers],0)))</f>
        <v/>
      </c>
      <c r="G188" s="99" t="str">
        <f>IF($A188="","",INDEX(ListadoProductos[],MATCH('2.C_Datos'!$C188,ListadoProductos[Productos],0),MATCH('2.C_Datos'!G$3,ListadoProductos[#Headers],0)))</f>
        <v/>
      </c>
      <c r="H188" s="99" t="str">
        <f>IF($A188="","",INDEX(ListadoProductos[],MATCH('2.C_Datos'!$C188,ListadoProductos[Productos],0),MATCH('2.C_Datos'!H$3,ListadoProductos[#Headers],0)))</f>
        <v/>
      </c>
      <c r="I188" s="99" t="str">
        <f>IF($A188="","",INDEX(ListadoProductos[],MATCH('2.C_Datos'!$C188,ListadoProductos[Productos],0),MATCH('2.C_Datos'!I$3,ListadoProductos[#Headers],0)))</f>
        <v/>
      </c>
      <c r="J188" s="99" t="str">
        <f>IF(Tabla19[[#This Row],[Comp1]]="","",COUNTIFS(TablaMaq1[Componente],Tabla19[[#This Row],[Comp1]],TablaMaq1[ID_Pedido],'2.C_Datos'!A188)+
COUNTIFS(TablaMaq2[Componente],Tabla19[[#This Row],[Comp1]],TablaMaq2[ID_Pedido],'2.C_Datos'!A188)+
COUNTIFS(TablaMaq3[Componente],Tabla19[[#This Row],[Comp1]],TablaMaq3[ID_Pedido],'2.C_Datos'!A188)+
COUNTIFS(TablaMaq4[Componente],Tabla19[[#This Row],[Comp1]],TablaMaq4[ID_Pedido],'2.C_Datos'!A188))</f>
        <v/>
      </c>
      <c r="K188" s="99" t="str">
        <f>IF(Tabla19[[#This Row],[Comp2]]="","",COUNTIFS(TablaMaq1[Componente],Tabla19[[#This Row],[Comp2]],TablaMaq1[ID_Pedido],'2.C_Datos'!A188)+
COUNTIFS(TablaMaq2[Componente],Tabla19[[#This Row],[Comp2]],TablaMaq2[ID_Pedido],'2.C_Datos'!A188)+
COUNTIFS(TablaMaq3[Componente],Tabla19[[#This Row],[Comp2]],TablaMaq3[ID_Pedido],'2.C_Datos'!A188)+
COUNTIFS(TablaMaq4[Componente],Tabla19[[#This Row],[Comp2]],TablaMaq4[ID_Pedido],'2.C_Datos'!A188))</f>
        <v/>
      </c>
      <c r="L188" s="99" t="str">
        <f>IF(Tabla19[[#This Row],[Comp3]]="","",COUNTIFS(TablaMaq1[Componente],Tabla19[[#This Row],[Comp3]],TablaMaq1[ID_Pedido],'2.C_Datos'!A188)+
COUNTIFS(TablaMaq2[Componente],Tabla19[[#This Row],[Comp3]],TablaMaq2[ID_Pedido],'2.C_Datos'!A188)+
COUNTIFS(TablaMaq3[Componente],Tabla19[[#This Row],[Comp3]],TablaMaq3[ID_Pedido],'2.C_Datos'!A188)+
COUNTIFS(TablaMaq4[Componente],Tabla19[[#This Row],[Comp3]],TablaMaq4[ID_Pedido],'2.C_Datos'!A188))</f>
        <v/>
      </c>
      <c r="M188" s="99" t="str">
        <f>IF(Tabla19[[#This Row],[Comp4]]="","",COUNTIFS(TablaMaq1[Componente],Tabla19[[#This Row],[Comp4]],TablaMaq1[ID_Pedido],'2.C_Datos'!A188)+
COUNTIFS(TablaMaq2[Componente],Tabla19[[#This Row],[Comp4]],TablaMaq2[ID_Pedido],'2.C_Datos'!A188)+
COUNTIFS(TablaMaq3[Componente],Tabla19[[#This Row],[Comp4]],TablaMaq3[ID_Pedido],'2.C_Datos'!A188)+
COUNTIFS(TablaMaq4[Componente],Tabla19[[#This Row],[Comp4]],TablaMaq4[ID_Pedido],'2.C_Datos'!A188))</f>
        <v/>
      </c>
      <c r="N188" s="99" t="str">
        <f>IF(Tabla19[[#This Row],[Comp5]]="","",COUNTIFS(TablaMaq1[Componente],Tabla19[[#This Row],[Comp5]],TablaMaq1[ID_Pedido],'2.C_Datos'!A188)+
COUNTIFS(TablaMaq1[Componente],Tabla19[[#This Row],[Comp5]],TablaMaq2[ID_Pedido],'2.C_Datos'!A188)+
COUNTIFS(TablaMaq1[Componente],Tabla19[[#This Row],[Comp5]],TablaMaq3[ID_Pedido],'2.C_Datos'!A188)+
COUNTIFS(TablaMaq1[Componente],Tabla19[[#This Row],[Comp5]],TablaMaq4[ID_Pedido],'2.C_Datos'!A188))</f>
        <v/>
      </c>
      <c r="O188" s="85" t="str">
        <f>IF(Tabla19[[#This Row],[Comp1]]="","",
IF(IF(Tabla19[[#This Row],[Comp1]]=0,0,1)*$D188-Tabla19[[#This Row],[Asign1]]=0,0,Tabla19[[#This Row],[Comp1]]))</f>
        <v/>
      </c>
      <c r="P188" s="85" t="str">
        <f>IF(Tabla19[[#This Row],[Comp2]]="","",
IF(IF(Tabla19[[#This Row],[Comp2]]=0,0,1)*$D188-Tabla19[[#This Row],[Asign2]]=0,0,Tabla19[[#This Row],[Comp2]]))</f>
        <v/>
      </c>
      <c r="Q188" s="85" t="str">
        <f>IF(Tabla19[[#This Row],[Comp3]]="","",
IF(IF(Tabla19[[#This Row],[Comp3]]=0,0,1)*$D188-Tabla19[[#This Row],[Asign3]]=0,0,Tabla19[[#This Row],[Comp3]]))</f>
        <v/>
      </c>
      <c r="R188" s="85" t="str">
        <f>IF(Tabla19[[#This Row],[Comp4]]="","",
IF(IF(Tabla19[[#This Row],[Comp4]]=0,0,1)*$D188-Tabla19[[#This Row],[Asign4]]=0,0,Tabla19[[#This Row],[Comp4]]))</f>
        <v/>
      </c>
      <c r="S188" s="85" t="str">
        <f>IF(Tabla19[[#This Row],[Comp5]]="","",
IF(IF(Tabla19[[#This Row],[Comp5]]=0,0,1)*$D188-Tabla19[[#This Row],[Asign5]]=0,0,Tabla19[[#This Row],[Comp5]]))</f>
        <v/>
      </c>
    </row>
    <row r="189" spans="5:19" x14ac:dyDescent="0.3">
      <c r="E189" s="99" t="str">
        <f>IF($A189="","",INDEX(ListadoProductos[],MATCH('2.C_Datos'!$C189,ListadoProductos[Productos],0),MATCH('2.C_Datos'!E$3,ListadoProductos[#Headers],0)))</f>
        <v/>
      </c>
      <c r="F189" s="99" t="str">
        <f>IF($A189="","",INDEX(ListadoProductos[],MATCH('2.C_Datos'!$C189,ListadoProductos[Productos],0),MATCH('2.C_Datos'!F$3,ListadoProductos[#Headers],0)))</f>
        <v/>
      </c>
      <c r="G189" s="99" t="str">
        <f>IF($A189="","",INDEX(ListadoProductos[],MATCH('2.C_Datos'!$C189,ListadoProductos[Productos],0),MATCH('2.C_Datos'!G$3,ListadoProductos[#Headers],0)))</f>
        <v/>
      </c>
      <c r="H189" s="99" t="str">
        <f>IF($A189="","",INDEX(ListadoProductos[],MATCH('2.C_Datos'!$C189,ListadoProductos[Productos],0),MATCH('2.C_Datos'!H$3,ListadoProductos[#Headers],0)))</f>
        <v/>
      </c>
      <c r="I189" s="99" t="str">
        <f>IF($A189="","",INDEX(ListadoProductos[],MATCH('2.C_Datos'!$C189,ListadoProductos[Productos],0),MATCH('2.C_Datos'!I$3,ListadoProductos[#Headers],0)))</f>
        <v/>
      </c>
      <c r="J189" s="99" t="str">
        <f>IF(Tabla19[[#This Row],[Comp1]]="","",COUNTIFS(TablaMaq1[Componente],Tabla19[[#This Row],[Comp1]],TablaMaq1[ID_Pedido],'2.C_Datos'!A189)+
COUNTIFS(TablaMaq2[Componente],Tabla19[[#This Row],[Comp1]],TablaMaq2[ID_Pedido],'2.C_Datos'!A189)+
COUNTIFS(TablaMaq3[Componente],Tabla19[[#This Row],[Comp1]],TablaMaq3[ID_Pedido],'2.C_Datos'!A189)+
COUNTIFS(TablaMaq4[Componente],Tabla19[[#This Row],[Comp1]],TablaMaq4[ID_Pedido],'2.C_Datos'!A189))</f>
        <v/>
      </c>
      <c r="K189" s="99" t="str">
        <f>IF(Tabla19[[#This Row],[Comp2]]="","",COUNTIFS(TablaMaq1[Componente],Tabla19[[#This Row],[Comp2]],TablaMaq1[ID_Pedido],'2.C_Datos'!A189)+
COUNTIFS(TablaMaq2[Componente],Tabla19[[#This Row],[Comp2]],TablaMaq2[ID_Pedido],'2.C_Datos'!A189)+
COUNTIFS(TablaMaq3[Componente],Tabla19[[#This Row],[Comp2]],TablaMaq3[ID_Pedido],'2.C_Datos'!A189)+
COUNTIFS(TablaMaq4[Componente],Tabla19[[#This Row],[Comp2]],TablaMaq4[ID_Pedido],'2.C_Datos'!A189))</f>
        <v/>
      </c>
      <c r="L189" s="99" t="str">
        <f>IF(Tabla19[[#This Row],[Comp3]]="","",COUNTIFS(TablaMaq1[Componente],Tabla19[[#This Row],[Comp3]],TablaMaq1[ID_Pedido],'2.C_Datos'!A189)+
COUNTIFS(TablaMaq2[Componente],Tabla19[[#This Row],[Comp3]],TablaMaq2[ID_Pedido],'2.C_Datos'!A189)+
COUNTIFS(TablaMaq3[Componente],Tabla19[[#This Row],[Comp3]],TablaMaq3[ID_Pedido],'2.C_Datos'!A189)+
COUNTIFS(TablaMaq4[Componente],Tabla19[[#This Row],[Comp3]],TablaMaq4[ID_Pedido],'2.C_Datos'!A189))</f>
        <v/>
      </c>
      <c r="M189" s="99" t="str">
        <f>IF(Tabla19[[#This Row],[Comp4]]="","",COUNTIFS(TablaMaq1[Componente],Tabla19[[#This Row],[Comp4]],TablaMaq1[ID_Pedido],'2.C_Datos'!A189)+
COUNTIFS(TablaMaq2[Componente],Tabla19[[#This Row],[Comp4]],TablaMaq2[ID_Pedido],'2.C_Datos'!A189)+
COUNTIFS(TablaMaq3[Componente],Tabla19[[#This Row],[Comp4]],TablaMaq3[ID_Pedido],'2.C_Datos'!A189)+
COUNTIFS(TablaMaq4[Componente],Tabla19[[#This Row],[Comp4]],TablaMaq4[ID_Pedido],'2.C_Datos'!A189))</f>
        <v/>
      </c>
      <c r="N189" s="99" t="str">
        <f>IF(Tabla19[[#This Row],[Comp5]]="","",COUNTIFS(TablaMaq1[Componente],Tabla19[[#This Row],[Comp5]],TablaMaq1[ID_Pedido],'2.C_Datos'!A189)+
COUNTIFS(TablaMaq1[Componente],Tabla19[[#This Row],[Comp5]],TablaMaq2[ID_Pedido],'2.C_Datos'!A189)+
COUNTIFS(TablaMaq1[Componente],Tabla19[[#This Row],[Comp5]],TablaMaq3[ID_Pedido],'2.C_Datos'!A189)+
COUNTIFS(TablaMaq1[Componente],Tabla19[[#This Row],[Comp5]],TablaMaq4[ID_Pedido],'2.C_Datos'!A189))</f>
        <v/>
      </c>
      <c r="O189" s="85" t="str">
        <f>IF(Tabla19[[#This Row],[Comp1]]="","",
IF(IF(Tabla19[[#This Row],[Comp1]]=0,0,1)*$D189-Tabla19[[#This Row],[Asign1]]=0,0,Tabla19[[#This Row],[Comp1]]))</f>
        <v/>
      </c>
      <c r="P189" s="85" t="str">
        <f>IF(Tabla19[[#This Row],[Comp2]]="","",
IF(IF(Tabla19[[#This Row],[Comp2]]=0,0,1)*$D189-Tabla19[[#This Row],[Asign2]]=0,0,Tabla19[[#This Row],[Comp2]]))</f>
        <v/>
      </c>
      <c r="Q189" s="85" t="str">
        <f>IF(Tabla19[[#This Row],[Comp3]]="","",
IF(IF(Tabla19[[#This Row],[Comp3]]=0,0,1)*$D189-Tabla19[[#This Row],[Asign3]]=0,0,Tabla19[[#This Row],[Comp3]]))</f>
        <v/>
      </c>
      <c r="R189" s="85" t="str">
        <f>IF(Tabla19[[#This Row],[Comp4]]="","",
IF(IF(Tabla19[[#This Row],[Comp4]]=0,0,1)*$D189-Tabla19[[#This Row],[Asign4]]=0,0,Tabla19[[#This Row],[Comp4]]))</f>
        <v/>
      </c>
      <c r="S189" s="85" t="str">
        <f>IF(Tabla19[[#This Row],[Comp5]]="","",
IF(IF(Tabla19[[#This Row],[Comp5]]=0,0,1)*$D189-Tabla19[[#This Row],[Asign5]]=0,0,Tabla19[[#This Row],[Comp5]]))</f>
        <v/>
      </c>
    </row>
    <row r="190" spans="5:19" x14ac:dyDescent="0.3">
      <c r="E190" s="99" t="str">
        <f>IF($A190="","",INDEX(ListadoProductos[],MATCH('2.C_Datos'!$C190,ListadoProductos[Productos],0),MATCH('2.C_Datos'!E$3,ListadoProductos[#Headers],0)))</f>
        <v/>
      </c>
      <c r="F190" s="99" t="str">
        <f>IF($A190="","",INDEX(ListadoProductos[],MATCH('2.C_Datos'!$C190,ListadoProductos[Productos],0),MATCH('2.C_Datos'!F$3,ListadoProductos[#Headers],0)))</f>
        <v/>
      </c>
      <c r="G190" s="99" t="str">
        <f>IF($A190="","",INDEX(ListadoProductos[],MATCH('2.C_Datos'!$C190,ListadoProductos[Productos],0),MATCH('2.C_Datos'!G$3,ListadoProductos[#Headers],0)))</f>
        <v/>
      </c>
      <c r="H190" s="99" t="str">
        <f>IF($A190="","",INDEX(ListadoProductos[],MATCH('2.C_Datos'!$C190,ListadoProductos[Productos],0),MATCH('2.C_Datos'!H$3,ListadoProductos[#Headers],0)))</f>
        <v/>
      </c>
      <c r="I190" s="99" t="str">
        <f>IF($A190="","",INDEX(ListadoProductos[],MATCH('2.C_Datos'!$C190,ListadoProductos[Productos],0),MATCH('2.C_Datos'!I$3,ListadoProductos[#Headers],0)))</f>
        <v/>
      </c>
      <c r="J190" s="99" t="str">
        <f>IF(Tabla19[[#This Row],[Comp1]]="","",COUNTIFS(TablaMaq1[Componente],Tabla19[[#This Row],[Comp1]],TablaMaq1[ID_Pedido],'2.C_Datos'!A190)+
COUNTIFS(TablaMaq2[Componente],Tabla19[[#This Row],[Comp1]],TablaMaq2[ID_Pedido],'2.C_Datos'!A190)+
COUNTIFS(TablaMaq3[Componente],Tabla19[[#This Row],[Comp1]],TablaMaq3[ID_Pedido],'2.C_Datos'!A190)+
COUNTIFS(TablaMaq4[Componente],Tabla19[[#This Row],[Comp1]],TablaMaq4[ID_Pedido],'2.C_Datos'!A190))</f>
        <v/>
      </c>
      <c r="K190" s="99" t="str">
        <f>IF(Tabla19[[#This Row],[Comp2]]="","",COUNTIFS(TablaMaq1[Componente],Tabla19[[#This Row],[Comp2]],TablaMaq1[ID_Pedido],'2.C_Datos'!A190)+
COUNTIFS(TablaMaq2[Componente],Tabla19[[#This Row],[Comp2]],TablaMaq2[ID_Pedido],'2.C_Datos'!A190)+
COUNTIFS(TablaMaq3[Componente],Tabla19[[#This Row],[Comp2]],TablaMaq3[ID_Pedido],'2.C_Datos'!A190)+
COUNTIFS(TablaMaq4[Componente],Tabla19[[#This Row],[Comp2]],TablaMaq4[ID_Pedido],'2.C_Datos'!A190))</f>
        <v/>
      </c>
      <c r="L190" s="99" t="str">
        <f>IF(Tabla19[[#This Row],[Comp3]]="","",COUNTIFS(TablaMaq1[Componente],Tabla19[[#This Row],[Comp3]],TablaMaq1[ID_Pedido],'2.C_Datos'!A190)+
COUNTIFS(TablaMaq2[Componente],Tabla19[[#This Row],[Comp3]],TablaMaq2[ID_Pedido],'2.C_Datos'!A190)+
COUNTIFS(TablaMaq3[Componente],Tabla19[[#This Row],[Comp3]],TablaMaq3[ID_Pedido],'2.C_Datos'!A190)+
COUNTIFS(TablaMaq4[Componente],Tabla19[[#This Row],[Comp3]],TablaMaq4[ID_Pedido],'2.C_Datos'!A190))</f>
        <v/>
      </c>
      <c r="M190" s="99" t="str">
        <f>IF(Tabla19[[#This Row],[Comp4]]="","",COUNTIFS(TablaMaq1[Componente],Tabla19[[#This Row],[Comp4]],TablaMaq1[ID_Pedido],'2.C_Datos'!A190)+
COUNTIFS(TablaMaq2[Componente],Tabla19[[#This Row],[Comp4]],TablaMaq2[ID_Pedido],'2.C_Datos'!A190)+
COUNTIFS(TablaMaq3[Componente],Tabla19[[#This Row],[Comp4]],TablaMaq3[ID_Pedido],'2.C_Datos'!A190)+
COUNTIFS(TablaMaq4[Componente],Tabla19[[#This Row],[Comp4]],TablaMaq4[ID_Pedido],'2.C_Datos'!A190))</f>
        <v/>
      </c>
      <c r="N190" s="99" t="str">
        <f>IF(Tabla19[[#This Row],[Comp5]]="","",COUNTIFS(TablaMaq1[Componente],Tabla19[[#This Row],[Comp5]],TablaMaq1[ID_Pedido],'2.C_Datos'!A190)+
COUNTIFS(TablaMaq1[Componente],Tabla19[[#This Row],[Comp5]],TablaMaq2[ID_Pedido],'2.C_Datos'!A190)+
COUNTIFS(TablaMaq1[Componente],Tabla19[[#This Row],[Comp5]],TablaMaq3[ID_Pedido],'2.C_Datos'!A190)+
COUNTIFS(TablaMaq1[Componente],Tabla19[[#This Row],[Comp5]],TablaMaq4[ID_Pedido],'2.C_Datos'!A190))</f>
        <v/>
      </c>
      <c r="O190" s="85" t="str">
        <f>IF(Tabla19[[#This Row],[Comp1]]="","",
IF(IF(Tabla19[[#This Row],[Comp1]]=0,0,1)*$D190-Tabla19[[#This Row],[Asign1]]=0,0,Tabla19[[#This Row],[Comp1]]))</f>
        <v/>
      </c>
      <c r="P190" s="85" t="str">
        <f>IF(Tabla19[[#This Row],[Comp2]]="","",
IF(IF(Tabla19[[#This Row],[Comp2]]=0,0,1)*$D190-Tabla19[[#This Row],[Asign2]]=0,0,Tabla19[[#This Row],[Comp2]]))</f>
        <v/>
      </c>
      <c r="Q190" s="85" t="str">
        <f>IF(Tabla19[[#This Row],[Comp3]]="","",
IF(IF(Tabla19[[#This Row],[Comp3]]=0,0,1)*$D190-Tabla19[[#This Row],[Asign3]]=0,0,Tabla19[[#This Row],[Comp3]]))</f>
        <v/>
      </c>
      <c r="R190" s="85" t="str">
        <f>IF(Tabla19[[#This Row],[Comp4]]="","",
IF(IF(Tabla19[[#This Row],[Comp4]]=0,0,1)*$D190-Tabla19[[#This Row],[Asign4]]=0,0,Tabla19[[#This Row],[Comp4]]))</f>
        <v/>
      </c>
      <c r="S190" s="85" t="str">
        <f>IF(Tabla19[[#This Row],[Comp5]]="","",
IF(IF(Tabla19[[#This Row],[Comp5]]=0,0,1)*$D190-Tabla19[[#This Row],[Asign5]]=0,0,Tabla19[[#This Row],[Comp5]]))</f>
        <v/>
      </c>
    </row>
    <row r="191" spans="5:19" x14ac:dyDescent="0.3">
      <c r="E191" s="99" t="str">
        <f>IF($A191="","",INDEX(ListadoProductos[],MATCH('2.C_Datos'!$C191,ListadoProductos[Productos],0),MATCH('2.C_Datos'!E$3,ListadoProductos[#Headers],0)))</f>
        <v/>
      </c>
      <c r="F191" s="99" t="str">
        <f>IF($A191="","",INDEX(ListadoProductos[],MATCH('2.C_Datos'!$C191,ListadoProductos[Productos],0),MATCH('2.C_Datos'!F$3,ListadoProductos[#Headers],0)))</f>
        <v/>
      </c>
      <c r="G191" s="99" t="str">
        <f>IF($A191="","",INDEX(ListadoProductos[],MATCH('2.C_Datos'!$C191,ListadoProductos[Productos],0),MATCH('2.C_Datos'!G$3,ListadoProductos[#Headers],0)))</f>
        <v/>
      </c>
      <c r="H191" s="99" t="str">
        <f>IF($A191="","",INDEX(ListadoProductos[],MATCH('2.C_Datos'!$C191,ListadoProductos[Productos],0),MATCH('2.C_Datos'!H$3,ListadoProductos[#Headers],0)))</f>
        <v/>
      </c>
      <c r="I191" s="99" t="str">
        <f>IF($A191="","",INDEX(ListadoProductos[],MATCH('2.C_Datos'!$C191,ListadoProductos[Productos],0),MATCH('2.C_Datos'!I$3,ListadoProductos[#Headers],0)))</f>
        <v/>
      </c>
      <c r="J191" s="99" t="str">
        <f>IF(Tabla19[[#This Row],[Comp1]]="","",COUNTIFS(TablaMaq1[Componente],Tabla19[[#This Row],[Comp1]],TablaMaq1[ID_Pedido],'2.C_Datos'!A191)+
COUNTIFS(TablaMaq2[Componente],Tabla19[[#This Row],[Comp1]],TablaMaq2[ID_Pedido],'2.C_Datos'!A191)+
COUNTIFS(TablaMaq3[Componente],Tabla19[[#This Row],[Comp1]],TablaMaq3[ID_Pedido],'2.C_Datos'!A191)+
COUNTIFS(TablaMaq4[Componente],Tabla19[[#This Row],[Comp1]],TablaMaq4[ID_Pedido],'2.C_Datos'!A191))</f>
        <v/>
      </c>
      <c r="K191" s="99" t="str">
        <f>IF(Tabla19[[#This Row],[Comp2]]="","",COUNTIFS(TablaMaq1[Componente],Tabla19[[#This Row],[Comp2]],TablaMaq1[ID_Pedido],'2.C_Datos'!A191)+
COUNTIFS(TablaMaq2[Componente],Tabla19[[#This Row],[Comp2]],TablaMaq2[ID_Pedido],'2.C_Datos'!A191)+
COUNTIFS(TablaMaq3[Componente],Tabla19[[#This Row],[Comp2]],TablaMaq3[ID_Pedido],'2.C_Datos'!A191)+
COUNTIFS(TablaMaq4[Componente],Tabla19[[#This Row],[Comp2]],TablaMaq4[ID_Pedido],'2.C_Datos'!A191))</f>
        <v/>
      </c>
      <c r="L191" s="99" t="str">
        <f>IF(Tabla19[[#This Row],[Comp3]]="","",COUNTIFS(TablaMaq1[Componente],Tabla19[[#This Row],[Comp3]],TablaMaq1[ID_Pedido],'2.C_Datos'!A191)+
COUNTIFS(TablaMaq2[Componente],Tabla19[[#This Row],[Comp3]],TablaMaq2[ID_Pedido],'2.C_Datos'!A191)+
COUNTIFS(TablaMaq3[Componente],Tabla19[[#This Row],[Comp3]],TablaMaq3[ID_Pedido],'2.C_Datos'!A191)+
COUNTIFS(TablaMaq4[Componente],Tabla19[[#This Row],[Comp3]],TablaMaq4[ID_Pedido],'2.C_Datos'!A191))</f>
        <v/>
      </c>
      <c r="M191" s="99" t="str">
        <f>IF(Tabla19[[#This Row],[Comp4]]="","",COUNTIFS(TablaMaq1[Componente],Tabla19[[#This Row],[Comp4]],TablaMaq1[ID_Pedido],'2.C_Datos'!A191)+
COUNTIFS(TablaMaq2[Componente],Tabla19[[#This Row],[Comp4]],TablaMaq2[ID_Pedido],'2.C_Datos'!A191)+
COUNTIFS(TablaMaq3[Componente],Tabla19[[#This Row],[Comp4]],TablaMaq3[ID_Pedido],'2.C_Datos'!A191)+
COUNTIFS(TablaMaq4[Componente],Tabla19[[#This Row],[Comp4]],TablaMaq4[ID_Pedido],'2.C_Datos'!A191))</f>
        <v/>
      </c>
      <c r="N191" s="99" t="str">
        <f>IF(Tabla19[[#This Row],[Comp5]]="","",COUNTIFS(TablaMaq1[Componente],Tabla19[[#This Row],[Comp5]],TablaMaq1[ID_Pedido],'2.C_Datos'!A191)+
COUNTIFS(TablaMaq1[Componente],Tabla19[[#This Row],[Comp5]],TablaMaq2[ID_Pedido],'2.C_Datos'!A191)+
COUNTIFS(TablaMaq1[Componente],Tabla19[[#This Row],[Comp5]],TablaMaq3[ID_Pedido],'2.C_Datos'!A191)+
COUNTIFS(TablaMaq1[Componente],Tabla19[[#This Row],[Comp5]],TablaMaq4[ID_Pedido],'2.C_Datos'!A191))</f>
        <v/>
      </c>
      <c r="O191" s="85" t="str">
        <f>IF(Tabla19[[#This Row],[Comp1]]="","",
IF(IF(Tabla19[[#This Row],[Comp1]]=0,0,1)*$D191-Tabla19[[#This Row],[Asign1]]=0,0,Tabla19[[#This Row],[Comp1]]))</f>
        <v/>
      </c>
      <c r="P191" s="85" t="str">
        <f>IF(Tabla19[[#This Row],[Comp2]]="","",
IF(IF(Tabla19[[#This Row],[Comp2]]=0,0,1)*$D191-Tabla19[[#This Row],[Asign2]]=0,0,Tabla19[[#This Row],[Comp2]]))</f>
        <v/>
      </c>
      <c r="Q191" s="85" t="str">
        <f>IF(Tabla19[[#This Row],[Comp3]]="","",
IF(IF(Tabla19[[#This Row],[Comp3]]=0,0,1)*$D191-Tabla19[[#This Row],[Asign3]]=0,0,Tabla19[[#This Row],[Comp3]]))</f>
        <v/>
      </c>
      <c r="R191" s="85" t="str">
        <f>IF(Tabla19[[#This Row],[Comp4]]="","",
IF(IF(Tabla19[[#This Row],[Comp4]]=0,0,1)*$D191-Tabla19[[#This Row],[Asign4]]=0,0,Tabla19[[#This Row],[Comp4]]))</f>
        <v/>
      </c>
      <c r="S191" s="85" t="str">
        <f>IF(Tabla19[[#This Row],[Comp5]]="","",
IF(IF(Tabla19[[#This Row],[Comp5]]=0,0,1)*$D191-Tabla19[[#This Row],[Asign5]]=0,0,Tabla19[[#This Row],[Comp5]]))</f>
        <v/>
      </c>
    </row>
    <row r="192" spans="5:19" x14ac:dyDescent="0.3">
      <c r="E192" s="99" t="str">
        <f>IF($A192="","",INDEX(ListadoProductos[],MATCH('2.C_Datos'!$C192,ListadoProductos[Productos],0),MATCH('2.C_Datos'!E$3,ListadoProductos[#Headers],0)))</f>
        <v/>
      </c>
      <c r="F192" s="99" t="str">
        <f>IF($A192="","",INDEX(ListadoProductos[],MATCH('2.C_Datos'!$C192,ListadoProductos[Productos],0),MATCH('2.C_Datos'!F$3,ListadoProductos[#Headers],0)))</f>
        <v/>
      </c>
      <c r="G192" s="99" t="str">
        <f>IF($A192="","",INDEX(ListadoProductos[],MATCH('2.C_Datos'!$C192,ListadoProductos[Productos],0),MATCH('2.C_Datos'!G$3,ListadoProductos[#Headers],0)))</f>
        <v/>
      </c>
      <c r="H192" s="99" t="str">
        <f>IF($A192="","",INDEX(ListadoProductos[],MATCH('2.C_Datos'!$C192,ListadoProductos[Productos],0),MATCH('2.C_Datos'!H$3,ListadoProductos[#Headers],0)))</f>
        <v/>
      </c>
      <c r="I192" s="99" t="str">
        <f>IF($A192="","",INDEX(ListadoProductos[],MATCH('2.C_Datos'!$C192,ListadoProductos[Productos],0),MATCH('2.C_Datos'!I$3,ListadoProductos[#Headers],0)))</f>
        <v/>
      </c>
      <c r="J192" s="99" t="str">
        <f>IF(Tabla19[[#This Row],[Comp1]]="","",COUNTIFS(TablaMaq1[Componente],Tabla19[[#This Row],[Comp1]],TablaMaq1[ID_Pedido],'2.C_Datos'!A192)+
COUNTIFS(TablaMaq2[Componente],Tabla19[[#This Row],[Comp1]],TablaMaq2[ID_Pedido],'2.C_Datos'!A192)+
COUNTIFS(TablaMaq3[Componente],Tabla19[[#This Row],[Comp1]],TablaMaq3[ID_Pedido],'2.C_Datos'!A192)+
COUNTIFS(TablaMaq4[Componente],Tabla19[[#This Row],[Comp1]],TablaMaq4[ID_Pedido],'2.C_Datos'!A192))</f>
        <v/>
      </c>
      <c r="K192" s="99" t="str">
        <f>IF(Tabla19[[#This Row],[Comp2]]="","",COUNTIFS(TablaMaq1[Componente],Tabla19[[#This Row],[Comp2]],TablaMaq1[ID_Pedido],'2.C_Datos'!A192)+
COUNTIFS(TablaMaq2[Componente],Tabla19[[#This Row],[Comp2]],TablaMaq2[ID_Pedido],'2.C_Datos'!A192)+
COUNTIFS(TablaMaq3[Componente],Tabla19[[#This Row],[Comp2]],TablaMaq3[ID_Pedido],'2.C_Datos'!A192)+
COUNTIFS(TablaMaq4[Componente],Tabla19[[#This Row],[Comp2]],TablaMaq4[ID_Pedido],'2.C_Datos'!A192))</f>
        <v/>
      </c>
      <c r="L192" s="99" t="str">
        <f>IF(Tabla19[[#This Row],[Comp3]]="","",COUNTIFS(TablaMaq1[Componente],Tabla19[[#This Row],[Comp3]],TablaMaq1[ID_Pedido],'2.C_Datos'!A192)+
COUNTIFS(TablaMaq2[Componente],Tabla19[[#This Row],[Comp3]],TablaMaq2[ID_Pedido],'2.C_Datos'!A192)+
COUNTIFS(TablaMaq3[Componente],Tabla19[[#This Row],[Comp3]],TablaMaq3[ID_Pedido],'2.C_Datos'!A192)+
COUNTIFS(TablaMaq4[Componente],Tabla19[[#This Row],[Comp3]],TablaMaq4[ID_Pedido],'2.C_Datos'!A192))</f>
        <v/>
      </c>
      <c r="M192" s="99" t="str">
        <f>IF(Tabla19[[#This Row],[Comp4]]="","",COUNTIFS(TablaMaq1[Componente],Tabla19[[#This Row],[Comp4]],TablaMaq1[ID_Pedido],'2.C_Datos'!A192)+
COUNTIFS(TablaMaq2[Componente],Tabla19[[#This Row],[Comp4]],TablaMaq2[ID_Pedido],'2.C_Datos'!A192)+
COUNTIFS(TablaMaq3[Componente],Tabla19[[#This Row],[Comp4]],TablaMaq3[ID_Pedido],'2.C_Datos'!A192)+
COUNTIFS(TablaMaq4[Componente],Tabla19[[#This Row],[Comp4]],TablaMaq4[ID_Pedido],'2.C_Datos'!A192))</f>
        <v/>
      </c>
      <c r="N192" s="99" t="str">
        <f>IF(Tabla19[[#This Row],[Comp5]]="","",COUNTIFS(TablaMaq1[Componente],Tabla19[[#This Row],[Comp5]],TablaMaq1[ID_Pedido],'2.C_Datos'!A192)+
COUNTIFS(TablaMaq1[Componente],Tabla19[[#This Row],[Comp5]],TablaMaq2[ID_Pedido],'2.C_Datos'!A192)+
COUNTIFS(TablaMaq1[Componente],Tabla19[[#This Row],[Comp5]],TablaMaq3[ID_Pedido],'2.C_Datos'!A192)+
COUNTIFS(TablaMaq1[Componente],Tabla19[[#This Row],[Comp5]],TablaMaq4[ID_Pedido],'2.C_Datos'!A192))</f>
        <v/>
      </c>
      <c r="O192" s="85" t="str">
        <f>IF(Tabla19[[#This Row],[Comp1]]="","",
IF(IF(Tabla19[[#This Row],[Comp1]]=0,0,1)*$D192-Tabla19[[#This Row],[Asign1]]=0,0,Tabla19[[#This Row],[Comp1]]))</f>
        <v/>
      </c>
      <c r="P192" s="85" t="str">
        <f>IF(Tabla19[[#This Row],[Comp2]]="","",
IF(IF(Tabla19[[#This Row],[Comp2]]=0,0,1)*$D192-Tabla19[[#This Row],[Asign2]]=0,0,Tabla19[[#This Row],[Comp2]]))</f>
        <v/>
      </c>
      <c r="Q192" s="85" t="str">
        <f>IF(Tabla19[[#This Row],[Comp3]]="","",
IF(IF(Tabla19[[#This Row],[Comp3]]=0,0,1)*$D192-Tabla19[[#This Row],[Asign3]]=0,0,Tabla19[[#This Row],[Comp3]]))</f>
        <v/>
      </c>
      <c r="R192" s="85" t="str">
        <f>IF(Tabla19[[#This Row],[Comp4]]="","",
IF(IF(Tabla19[[#This Row],[Comp4]]=0,0,1)*$D192-Tabla19[[#This Row],[Asign4]]=0,0,Tabla19[[#This Row],[Comp4]]))</f>
        <v/>
      </c>
      <c r="S192" s="85" t="str">
        <f>IF(Tabla19[[#This Row],[Comp5]]="","",
IF(IF(Tabla19[[#This Row],[Comp5]]=0,0,1)*$D192-Tabla19[[#This Row],[Asign5]]=0,0,Tabla19[[#This Row],[Comp5]]))</f>
        <v/>
      </c>
    </row>
    <row r="193" spans="5:19" x14ac:dyDescent="0.3">
      <c r="E193" s="99" t="str">
        <f>IF($A193="","",INDEX(ListadoProductos[],MATCH('2.C_Datos'!$C193,ListadoProductos[Productos],0),MATCH('2.C_Datos'!E$3,ListadoProductos[#Headers],0)))</f>
        <v/>
      </c>
      <c r="F193" s="99" t="str">
        <f>IF($A193="","",INDEX(ListadoProductos[],MATCH('2.C_Datos'!$C193,ListadoProductos[Productos],0),MATCH('2.C_Datos'!F$3,ListadoProductos[#Headers],0)))</f>
        <v/>
      </c>
      <c r="G193" s="99" t="str">
        <f>IF($A193="","",INDEX(ListadoProductos[],MATCH('2.C_Datos'!$C193,ListadoProductos[Productos],0),MATCH('2.C_Datos'!G$3,ListadoProductos[#Headers],0)))</f>
        <v/>
      </c>
      <c r="H193" s="99" t="str">
        <f>IF($A193="","",INDEX(ListadoProductos[],MATCH('2.C_Datos'!$C193,ListadoProductos[Productos],0),MATCH('2.C_Datos'!H$3,ListadoProductos[#Headers],0)))</f>
        <v/>
      </c>
      <c r="I193" s="99" t="str">
        <f>IF($A193="","",INDEX(ListadoProductos[],MATCH('2.C_Datos'!$C193,ListadoProductos[Productos],0),MATCH('2.C_Datos'!I$3,ListadoProductos[#Headers],0)))</f>
        <v/>
      </c>
      <c r="J193" s="99" t="str">
        <f>IF(Tabla19[[#This Row],[Comp1]]="","",COUNTIFS(TablaMaq1[Componente],Tabla19[[#This Row],[Comp1]],TablaMaq1[ID_Pedido],'2.C_Datos'!A193)+
COUNTIFS(TablaMaq2[Componente],Tabla19[[#This Row],[Comp1]],TablaMaq2[ID_Pedido],'2.C_Datos'!A193)+
COUNTIFS(TablaMaq3[Componente],Tabla19[[#This Row],[Comp1]],TablaMaq3[ID_Pedido],'2.C_Datos'!A193)+
COUNTIFS(TablaMaq4[Componente],Tabla19[[#This Row],[Comp1]],TablaMaq4[ID_Pedido],'2.C_Datos'!A193))</f>
        <v/>
      </c>
      <c r="K193" s="99" t="str">
        <f>IF(Tabla19[[#This Row],[Comp2]]="","",COUNTIFS(TablaMaq1[Componente],Tabla19[[#This Row],[Comp2]],TablaMaq1[ID_Pedido],'2.C_Datos'!A193)+
COUNTIFS(TablaMaq2[Componente],Tabla19[[#This Row],[Comp2]],TablaMaq2[ID_Pedido],'2.C_Datos'!A193)+
COUNTIFS(TablaMaq3[Componente],Tabla19[[#This Row],[Comp2]],TablaMaq3[ID_Pedido],'2.C_Datos'!A193)+
COUNTIFS(TablaMaq4[Componente],Tabla19[[#This Row],[Comp2]],TablaMaq4[ID_Pedido],'2.C_Datos'!A193))</f>
        <v/>
      </c>
      <c r="L193" s="99" t="str">
        <f>IF(Tabla19[[#This Row],[Comp3]]="","",COUNTIFS(TablaMaq1[Componente],Tabla19[[#This Row],[Comp3]],TablaMaq1[ID_Pedido],'2.C_Datos'!A193)+
COUNTIFS(TablaMaq2[Componente],Tabla19[[#This Row],[Comp3]],TablaMaq2[ID_Pedido],'2.C_Datos'!A193)+
COUNTIFS(TablaMaq3[Componente],Tabla19[[#This Row],[Comp3]],TablaMaq3[ID_Pedido],'2.C_Datos'!A193)+
COUNTIFS(TablaMaq4[Componente],Tabla19[[#This Row],[Comp3]],TablaMaq4[ID_Pedido],'2.C_Datos'!A193))</f>
        <v/>
      </c>
      <c r="M193" s="99" t="str">
        <f>IF(Tabla19[[#This Row],[Comp4]]="","",COUNTIFS(TablaMaq1[Componente],Tabla19[[#This Row],[Comp4]],TablaMaq1[ID_Pedido],'2.C_Datos'!A193)+
COUNTIFS(TablaMaq2[Componente],Tabla19[[#This Row],[Comp4]],TablaMaq2[ID_Pedido],'2.C_Datos'!A193)+
COUNTIFS(TablaMaq3[Componente],Tabla19[[#This Row],[Comp4]],TablaMaq3[ID_Pedido],'2.C_Datos'!A193)+
COUNTIFS(TablaMaq4[Componente],Tabla19[[#This Row],[Comp4]],TablaMaq4[ID_Pedido],'2.C_Datos'!A193))</f>
        <v/>
      </c>
      <c r="N193" s="99" t="str">
        <f>IF(Tabla19[[#This Row],[Comp5]]="","",COUNTIFS(TablaMaq1[Componente],Tabla19[[#This Row],[Comp5]],TablaMaq1[ID_Pedido],'2.C_Datos'!A193)+
COUNTIFS(TablaMaq1[Componente],Tabla19[[#This Row],[Comp5]],TablaMaq2[ID_Pedido],'2.C_Datos'!A193)+
COUNTIFS(TablaMaq1[Componente],Tabla19[[#This Row],[Comp5]],TablaMaq3[ID_Pedido],'2.C_Datos'!A193)+
COUNTIFS(TablaMaq1[Componente],Tabla19[[#This Row],[Comp5]],TablaMaq4[ID_Pedido],'2.C_Datos'!A193))</f>
        <v/>
      </c>
      <c r="O193" s="85" t="str">
        <f>IF(Tabla19[[#This Row],[Comp1]]="","",
IF(IF(Tabla19[[#This Row],[Comp1]]=0,0,1)*$D193-Tabla19[[#This Row],[Asign1]]=0,0,Tabla19[[#This Row],[Comp1]]))</f>
        <v/>
      </c>
      <c r="P193" s="85" t="str">
        <f>IF(Tabla19[[#This Row],[Comp2]]="","",
IF(IF(Tabla19[[#This Row],[Comp2]]=0,0,1)*$D193-Tabla19[[#This Row],[Asign2]]=0,0,Tabla19[[#This Row],[Comp2]]))</f>
        <v/>
      </c>
      <c r="Q193" s="85" t="str">
        <f>IF(Tabla19[[#This Row],[Comp3]]="","",
IF(IF(Tabla19[[#This Row],[Comp3]]=0,0,1)*$D193-Tabla19[[#This Row],[Asign3]]=0,0,Tabla19[[#This Row],[Comp3]]))</f>
        <v/>
      </c>
      <c r="R193" s="85" t="str">
        <f>IF(Tabla19[[#This Row],[Comp4]]="","",
IF(IF(Tabla19[[#This Row],[Comp4]]=0,0,1)*$D193-Tabla19[[#This Row],[Asign4]]=0,0,Tabla19[[#This Row],[Comp4]]))</f>
        <v/>
      </c>
      <c r="S193" s="85" t="str">
        <f>IF(Tabla19[[#This Row],[Comp5]]="","",
IF(IF(Tabla19[[#This Row],[Comp5]]=0,0,1)*$D193-Tabla19[[#This Row],[Asign5]]=0,0,Tabla19[[#This Row],[Comp5]]))</f>
        <v/>
      </c>
    </row>
    <row r="194" spans="5:19" x14ac:dyDescent="0.3">
      <c r="E194" s="99" t="str">
        <f>IF($A194="","",INDEX(ListadoProductos[],MATCH('2.C_Datos'!$C194,ListadoProductos[Productos],0),MATCH('2.C_Datos'!E$3,ListadoProductos[#Headers],0)))</f>
        <v/>
      </c>
      <c r="F194" s="99" t="str">
        <f>IF($A194="","",INDEX(ListadoProductos[],MATCH('2.C_Datos'!$C194,ListadoProductos[Productos],0),MATCH('2.C_Datos'!F$3,ListadoProductos[#Headers],0)))</f>
        <v/>
      </c>
      <c r="G194" s="99" t="str">
        <f>IF($A194="","",INDEX(ListadoProductos[],MATCH('2.C_Datos'!$C194,ListadoProductos[Productos],0),MATCH('2.C_Datos'!G$3,ListadoProductos[#Headers],0)))</f>
        <v/>
      </c>
      <c r="H194" s="99" t="str">
        <f>IF($A194="","",INDEX(ListadoProductos[],MATCH('2.C_Datos'!$C194,ListadoProductos[Productos],0),MATCH('2.C_Datos'!H$3,ListadoProductos[#Headers],0)))</f>
        <v/>
      </c>
      <c r="I194" s="99" t="str">
        <f>IF($A194="","",INDEX(ListadoProductos[],MATCH('2.C_Datos'!$C194,ListadoProductos[Productos],0),MATCH('2.C_Datos'!I$3,ListadoProductos[#Headers],0)))</f>
        <v/>
      </c>
      <c r="J194" s="99" t="str">
        <f>IF(Tabla19[[#This Row],[Comp1]]="","",COUNTIFS(TablaMaq1[Componente],Tabla19[[#This Row],[Comp1]],TablaMaq1[ID_Pedido],'2.C_Datos'!A194)+
COUNTIFS(TablaMaq2[Componente],Tabla19[[#This Row],[Comp1]],TablaMaq2[ID_Pedido],'2.C_Datos'!A194)+
COUNTIFS(TablaMaq3[Componente],Tabla19[[#This Row],[Comp1]],TablaMaq3[ID_Pedido],'2.C_Datos'!A194)+
COUNTIFS(TablaMaq4[Componente],Tabla19[[#This Row],[Comp1]],TablaMaq4[ID_Pedido],'2.C_Datos'!A194))</f>
        <v/>
      </c>
      <c r="K194" s="99" t="str">
        <f>IF(Tabla19[[#This Row],[Comp2]]="","",COUNTIFS(TablaMaq1[Componente],Tabla19[[#This Row],[Comp2]],TablaMaq1[ID_Pedido],'2.C_Datos'!A194)+
COUNTIFS(TablaMaq2[Componente],Tabla19[[#This Row],[Comp2]],TablaMaq2[ID_Pedido],'2.C_Datos'!A194)+
COUNTIFS(TablaMaq3[Componente],Tabla19[[#This Row],[Comp2]],TablaMaq3[ID_Pedido],'2.C_Datos'!A194)+
COUNTIFS(TablaMaq4[Componente],Tabla19[[#This Row],[Comp2]],TablaMaq4[ID_Pedido],'2.C_Datos'!A194))</f>
        <v/>
      </c>
      <c r="L194" s="99" t="str">
        <f>IF(Tabla19[[#This Row],[Comp3]]="","",COUNTIFS(TablaMaq1[Componente],Tabla19[[#This Row],[Comp3]],TablaMaq1[ID_Pedido],'2.C_Datos'!A194)+
COUNTIFS(TablaMaq2[Componente],Tabla19[[#This Row],[Comp3]],TablaMaq2[ID_Pedido],'2.C_Datos'!A194)+
COUNTIFS(TablaMaq3[Componente],Tabla19[[#This Row],[Comp3]],TablaMaq3[ID_Pedido],'2.C_Datos'!A194)+
COUNTIFS(TablaMaq4[Componente],Tabla19[[#This Row],[Comp3]],TablaMaq4[ID_Pedido],'2.C_Datos'!A194))</f>
        <v/>
      </c>
      <c r="M194" s="99" t="str">
        <f>IF(Tabla19[[#This Row],[Comp4]]="","",COUNTIFS(TablaMaq1[Componente],Tabla19[[#This Row],[Comp4]],TablaMaq1[ID_Pedido],'2.C_Datos'!A194)+
COUNTIFS(TablaMaq2[Componente],Tabla19[[#This Row],[Comp4]],TablaMaq2[ID_Pedido],'2.C_Datos'!A194)+
COUNTIFS(TablaMaq3[Componente],Tabla19[[#This Row],[Comp4]],TablaMaq3[ID_Pedido],'2.C_Datos'!A194)+
COUNTIFS(TablaMaq4[Componente],Tabla19[[#This Row],[Comp4]],TablaMaq4[ID_Pedido],'2.C_Datos'!A194))</f>
        <v/>
      </c>
      <c r="N194" s="99" t="str">
        <f>IF(Tabla19[[#This Row],[Comp5]]="","",COUNTIFS(TablaMaq1[Componente],Tabla19[[#This Row],[Comp5]],TablaMaq1[ID_Pedido],'2.C_Datos'!A194)+
COUNTIFS(TablaMaq1[Componente],Tabla19[[#This Row],[Comp5]],TablaMaq2[ID_Pedido],'2.C_Datos'!A194)+
COUNTIFS(TablaMaq1[Componente],Tabla19[[#This Row],[Comp5]],TablaMaq3[ID_Pedido],'2.C_Datos'!A194)+
COUNTIFS(TablaMaq1[Componente],Tabla19[[#This Row],[Comp5]],TablaMaq4[ID_Pedido],'2.C_Datos'!A194))</f>
        <v/>
      </c>
      <c r="O194" s="85" t="str">
        <f>IF(Tabla19[[#This Row],[Comp1]]="","",
IF(IF(Tabla19[[#This Row],[Comp1]]=0,0,1)*$D194-Tabla19[[#This Row],[Asign1]]=0,0,Tabla19[[#This Row],[Comp1]]))</f>
        <v/>
      </c>
      <c r="P194" s="85" t="str">
        <f>IF(Tabla19[[#This Row],[Comp2]]="","",
IF(IF(Tabla19[[#This Row],[Comp2]]=0,0,1)*$D194-Tabla19[[#This Row],[Asign2]]=0,0,Tabla19[[#This Row],[Comp2]]))</f>
        <v/>
      </c>
      <c r="Q194" s="85" t="str">
        <f>IF(Tabla19[[#This Row],[Comp3]]="","",
IF(IF(Tabla19[[#This Row],[Comp3]]=0,0,1)*$D194-Tabla19[[#This Row],[Asign3]]=0,0,Tabla19[[#This Row],[Comp3]]))</f>
        <v/>
      </c>
      <c r="R194" s="85" t="str">
        <f>IF(Tabla19[[#This Row],[Comp4]]="","",
IF(IF(Tabla19[[#This Row],[Comp4]]=0,0,1)*$D194-Tabla19[[#This Row],[Asign4]]=0,0,Tabla19[[#This Row],[Comp4]]))</f>
        <v/>
      </c>
      <c r="S194" s="85" t="str">
        <f>IF(Tabla19[[#This Row],[Comp5]]="","",
IF(IF(Tabla19[[#This Row],[Comp5]]=0,0,1)*$D194-Tabla19[[#This Row],[Asign5]]=0,0,Tabla19[[#This Row],[Comp5]]))</f>
        <v/>
      </c>
    </row>
    <row r="195" spans="5:19" x14ac:dyDescent="0.3">
      <c r="E195" s="99" t="str">
        <f>IF($A195="","",INDEX(ListadoProductos[],MATCH('2.C_Datos'!$C195,ListadoProductos[Productos],0),MATCH('2.C_Datos'!E$3,ListadoProductos[#Headers],0)))</f>
        <v/>
      </c>
      <c r="F195" s="99" t="str">
        <f>IF($A195="","",INDEX(ListadoProductos[],MATCH('2.C_Datos'!$C195,ListadoProductos[Productos],0),MATCH('2.C_Datos'!F$3,ListadoProductos[#Headers],0)))</f>
        <v/>
      </c>
      <c r="G195" s="99" t="str">
        <f>IF($A195="","",INDEX(ListadoProductos[],MATCH('2.C_Datos'!$C195,ListadoProductos[Productos],0),MATCH('2.C_Datos'!G$3,ListadoProductos[#Headers],0)))</f>
        <v/>
      </c>
      <c r="H195" s="99" t="str">
        <f>IF($A195="","",INDEX(ListadoProductos[],MATCH('2.C_Datos'!$C195,ListadoProductos[Productos],0),MATCH('2.C_Datos'!H$3,ListadoProductos[#Headers],0)))</f>
        <v/>
      </c>
      <c r="I195" s="99" t="str">
        <f>IF($A195="","",INDEX(ListadoProductos[],MATCH('2.C_Datos'!$C195,ListadoProductos[Productos],0),MATCH('2.C_Datos'!I$3,ListadoProductos[#Headers],0)))</f>
        <v/>
      </c>
      <c r="J195" s="99" t="str">
        <f>IF(Tabla19[[#This Row],[Comp1]]="","",COUNTIFS(TablaMaq1[Componente],Tabla19[[#This Row],[Comp1]],TablaMaq1[ID_Pedido],'2.C_Datos'!A195)+
COUNTIFS(TablaMaq2[Componente],Tabla19[[#This Row],[Comp1]],TablaMaq2[ID_Pedido],'2.C_Datos'!A195)+
COUNTIFS(TablaMaq3[Componente],Tabla19[[#This Row],[Comp1]],TablaMaq3[ID_Pedido],'2.C_Datos'!A195)+
COUNTIFS(TablaMaq4[Componente],Tabla19[[#This Row],[Comp1]],TablaMaq4[ID_Pedido],'2.C_Datos'!A195))</f>
        <v/>
      </c>
      <c r="K195" s="99" t="str">
        <f>IF(Tabla19[[#This Row],[Comp2]]="","",COUNTIFS(TablaMaq1[Componente],Tabla19[[#This Row],[Comp2]],TablaMaq1[ID_Pedido],'2.C_Datos'!A195)+
COUNTIFS(TablaMaq2[Componente],Tabla19[[#This Row],[Comp2]],TablaMaq2[ID_Pedido],'2.C_Datos'!A195)+
COUNTIFS(TablaMaq3[Componente],Tabla19[[#This Row],[Comp2]],TablaMaq3[ID_Pedido],'2.C_Datos'!A195)+
COUNTIFS(TablaMaq4[Componente],Tabla19[[#This Row],[Comp2]],TablaMaq4[ID_Pedido],'2.C_Datos'!A195))</f>
        <v/>
      </c>
      <c r="L195" s="99" t="str">
        <f>IF(Tabla19[[#This Row],[Comp3]]="","",COUNTIFS(TablaMaq1[Componente],Tabla19[[#This Row],[Comp3]],TablaMaq1[ID_Pedido],'2.C_Datos'!A195)+
COUNTIFS(TablaMaq2[Componente],Tabla19[[#This Row],[Comp3]],TablaMaq2[ID_Pedido],'2.C_Datos'!A195)+
COUNTIFS(TablaMaq3[Componente],Tabla19[[#This Row],[Comp3]],TablaMaq3[ID_Pedido],'2.C_Datos'!A195)+
COUNTIFS(TablaMaq4[Componente],Tabla19[[#This Row],[Comp3]],TablaMaq4[ID_Pedido],'2.C_Datos'!A195))</f>
        <v/>
      </c>
      <c r="M195" s="99" t="str">
        <f>IF(Tabla19[[#This Row],[Comp4]]="","",COUNTIFS(TablaMaq1[Componente],Tabla19[[#This Row],[Comp4]],TablaMaq1[ID_Pedido],'2.C_Datos'!A195)+
COUNTIFS(TablaMaq2[Componente],Tabla19[[#This Row],[Comp4]],TablaMaq2[ID_Pedido],'2.C_Datos'!A195)+
COUNTIFS(TablaMaq3[Componente],Tabla19[[#This Row],[Comp4]],TablaMaq3[ID_Pedido],'2.C_Datos'!A195)+
COUNTIFS(TablaMaq4[Componente],Tabla19[[#This Row],[Comp4]],TablaMaq4[ID_Pedido],'2.C_Datos'!A195))</f>
        <v/>
      </c>
      <c r="N195" s="99" t="str">
        <f>IF(Tabla19[[#This Row],[Comp5]]="","",COUNTIFS(TablaMaq1[Componente],Tabla19[[#This Row],[Comp5]],TablaMaq1[ID_Pedido],'2.C_Datos'!A195)+
COUNTIFS(TablaMaq1[Componente],Tabla19[[#This Row],[Comp5]],TablaMaq2[ID_Pedido],'2.C_Datos'!A195)+
COUNTIFS(TablaMaq1[Componente],Tabla19[[#This Row],[Comp5]],TablaMaq3[ID_Pedido],'2.C_Datos'!A195)+
COUNTIFS(TablaMaq1[Componente],Tabla19[[#This Row],[Comp5]],TablaMaq4[ID_Pedido],'2.C_Datos'!A195))</f>
        <v/>
      </c>
      <c r="O195" s="85" t="str">
        <f>IF(Tabla19[[#This Row],[Comp1]]="","",
IF(IF(Tabla19[[#This Row],[Comp1]]=0,0,1)*$D195-Tabla19[[#This Row],[Asign1]]=0,0,Tabla19[[#This Row],[Comp1]]))</f>
        <v/>
      </c>
      <c r="P195" s="85" t="str">
        <f>IF(Tabla19[[#This Row],[Comp2]]="","",
IF(IF(Tabla19[[#This Row],[Comp2]]=0,0,1)*$D195-Tabla19[[#This Row],[Asign2]]=0,0,Tabla19[[#This Row],[Comp2]]))</f>
        <v/>
      </c>
      <c r="Q195" s="85" t="str">
        <f>IF(Tabla19[[#This Row],[Comp3]]="","",
IF(IF(Tabla19[[#This Row],[Comp3]]=0,0,1)*$D195-Tabla19[[#This Row],[Asign3]]=0,0,Tabla19[[#This Row],[Comp3]]))</f>
        <v/>
      </c>
      <c r="R195" s="85" t="str">
        <f>IF(Tabla19[[#This Row],[Comp4]]="","",
IF(IF(Tabla19[[#This Row],[Comp4]]=0,0,1)*$D195-Tabla19[[#This Row],[Asign4]]=0,0,Tabla19[[#This Row],[Comp4]]))</f>
        <v/>
      </c>
      <c r="S195" s="85" t="str">
        <f>IF(Tabla19[[#This Row],[Comp5]]="","",
IF(IF(Tabla19[[#This Row],[Comp5]]=0,0,1)*$D195-Tabla19[[#This Row],[Asign5]]=0,0,Tabla19[[#This Row],[Comp5]]))</f>
        <v/>
      </c>
    </row>
    <row r="196" spans="5:19" x14ac:dyDescent="0.3">
      <c r="E196" s="99" t="str">
        <f>IF($A196="","",INDEX(ListadoProductos[],MATCH('2.C_Datos'!$C196,ListadoProductos[Productos],0),MATCH('2.C_Datos'!E$3,ListadoProductos[#Headers],0)))</f>
        <v/>
      </c>
      <c r="F196" s="99" t="str">
        <f>IF($A196="","",INDEX(ListadoProductos[],MATCH('2.C_Datos'!$C196,ListadoProductos[Productos],0),MATCH('2.C_Datos'!F$3,ListadoProductos[#Headers],0)))</f>
        <v/>
      </c>
      <c r="G196" s="99" t="str">
        <f>IF($A196="","",INDEX(ListadoProductos[],MATCH('2.C_Datos'!$C196,ListadoProductos[Productos],0),MATCH('2.C_Datos'!G$3,ListadoProductos[#Headers],0)))</f>
        <v/>
      </c>
      <c r="H196" s="99" t="str">
        <f>IF($A196="","",INDEX(ListadoProductos[],MATCH('2.C_Datos'!$C196,ListadoProductos[Productos],0),MATCH('2.C_Datos'!H$3,ListadoProductos[#Headers],0)))</f>
        <v/>
      </c>
      <c r="I196" s="99" t="str">
        <f>IF($A196="","",INDEX(ListadoProductos[],MATCH('2.C_Datos'!$C196,ListadoProductos[Productos],0),MATCH('2.C_Datos'!I$3,ListadoProductos[#Headers],0)))</f>
        <v/>
      </c>
      <c r="J196" s="99" t="str">
        <f>IF(Tabla19[[#This Row],[Comp1]]="","",COUNTIFS(TablaMaq1[Componente],Tabla19[[#This Row],[Comp1]],TablaMaq1[ID_Pedido],'2.C_Datos'!A196)+
COUNTIFS(TablaMaq2[Componente],Tabla19[[#This Row],[Comp1]],TablaMaq2[ID_Pedido],'2.C_Datos'!A196)+
COUNTIFS(TablaMaq3[Componente],Tabla19[[#This Row],[Comp1]],TablaMaq3[ID_Pedido],'2.C_Datos'!A196)+
COUNTIFS(TablaMaq4[Componente],Tabla19[[#This Row],[Comp1]],TablaMaq4[ID_Pedido],'2.C_Datos'!A196))</f>
        <v/>
      </c>
      <c r="K196" s="99" t="str">
        <f>IF(Tabla19[[#This Row],[Comp2]]="","",COUNTIFS(TablaMaq1[Componente],Tabla19[[#This Row],[Comp2]],TablaMaq1[ID_Pedido],'2.C_Datos'!A196)+
COUNTIFS(TablaMaq2[Componente],Tabla19[[#This Row],[Comp2]],TablaMaq2[ID_Pedido],'2.C_Datos'!A196)+
COUNTIFS(TablaMaq3[Componente],Tabla19[[#This Row],[Comp2]],TablaMaq3[ID_Pedido],'2.C_Datos'!A196)+
COUNTIFS(TablaMaq4[Componente],Tabla19[[#This Row],[Comp2]],TablaMaq4[ID_Pedido],'2.C_Datos'!A196))</f>
        <v/>
      </c>
      <c r="L196" s="99" t="str">
        <f>IF(Tabla19[[#This Row],[Comp3]]="","",COUNTIFS(TablaMaq1[Componente],Tabla19[[#This Row],[Comp3]],TablaMaq1[ID_Pedido],'2.C_Datos'!A196)+
COUNTIFS(TablaMaq2[Componente],Tabla19[[#This Row],[Comp3]],TablaMaq2[ID_Pedido],'2.C_Datos'!A196)+
COUNTIFS(TablaMaq3[Componente],Tabla19[[#This Row],[Comp3]],TablaMaq3[ID_Pedido],'2.C_Datos'!A196)+
COUNTIFS(TablaMaq4[Componente],Tabla19[[#This Row],[Comp3]],TablaMaq4[ID_Pedido],'2.C_Datos'!A196))</f>
        <v/>
      </c>
      <c r="M196" s="99" t="str">
        <f>IF(Tabla19[[#This Row],[Comp4]]="","",COUNTIFS(TablaMaq1[Componente],Tabla19[[#This Row],[Comp4]],TablaMaq1[ID_Pedido],'2.C_Datos'!A196)+
COUNTIFS(TablaMaq2[Componente],Tabla19[[#This Row],[Comp4]],TablaMaq2[ID_Pedido],'2.C_Datos'!A196)+
COUNTIFS(TablaMaq3[Componente],Tabla19[[#This Row],[Comp4]],TablaMaq3[ID_Pedido],'2.C_Datos'!A196)+
COUNTIFS(TablaMaq4[Componente],Tabla19[[#This Row],[Comp4]],TablaMaq4[ID_Pedido],'2.C_Datos'!A196))</f>
        <v/>
      </c>
      <c r="N196" s="99" t="str">
        <f>IF(Tabla19[[#This Row],[Comp5]]="","",COUNTIFS(TablaMaq1[Componente],Tabla19[[#This Row],[Comp5]],TablaMaq1[ID_Pedido],'2.C_Datos'!A196)+
COUNTIFS(TablaMaq1[Componente],Tabla19[[#This Row],[Comp5]],TablaMaq2[ID_Pedido],'2.C_Datos'!A196)+
COUNTIFS(TablaMaq1[Componente],Tabla19[[#This Row],[Comp5]],TablaMaq3[ID_Pedido],'2.C_Datos'!A196)+
COUNTIFS(TablaMaq1[Componente],Tabla19[[#This Row],[Comp5]],TablaMaq4[ID_Pedido],'2.C_Datos'!A196))</f>
        <v/>
      </c>
      <c r="O196" s="85" t="str">
        <f>IF(Tabla19[[#This Row],[Comp1]]="","",
IF(IF(Tabla19[[#This Row],[Comp1]]=0,0,1)*$D196-Tabla19[[#This Row],[Asign1]]=0,0,Tabla19[[#This Row],[Comp1]]))</f>
        <v/>
      </c>
      <c r="P196" s="85" t="str">
        <f>IF(Tabla19[[#This Row],[Comp2]]="","",
IF(IF(Tabla19[[#This Row],[Comp2]]=0,0,1)*$D196-Tabla19[[#This Row],[Asign2]]=0,0,Tabla19[[#This Row],[Comp2]]))</f>
        <v/>
      </c>
      <c r="Q196" s="85" t="str">
        <f>IF(Tabla19[[#This Row],[Comp3]]="","",
IF(IF(Tabla19[[#This Row],[Comp3]]=0,0,1)*$D196-Tabla19[[#This Row],[Asign3]]=0,0,Tabla19[[#This Row],[Comp3]]))</f>
        <v/>
      </c>
      <c r="R196" s="85" t="str">
        <f>IF(Tabla19[[#This Row],[Comp4]]="","",
IF(IF(Tabla19[[#This Row],[Comp4]]=0,0,1)*$D196-Tabla19[[#This Row],[Asign4]]=0,0,Tabla19[[#This Row],[Comp4]]))</f>
        <v/>
      </c>
      <c r="S196" s="85" t="str">
        <f>IF(Tabla19[[#This Row],[Comp5]]="","",
IF(IF(Tabla19[[#This Row],[Comp5]]=0,0,1)*$D196-Tabla19[[#This Row],[Asign5]]=0,0,Tabla19[[#This Row],[Comp5]]))</f>
        <v/>
      </c>
    </row>
    <row r="197" spans="5:19" x14ac:dyDescent="0.3">
      <c r="E197" s="99" t="str">
        <f>IF($A197="","",INDEX(ListadoProductos[],MATCH('2.C_Datos'!$C197,ListadoProductos[Productos],0),MATCH('2.C_Datos'!E$3,ListadoProductos[#Headers],0)))</f>
        <v/>
      </c>
      <c r="F197" s="99" t="str">
        <f>IF($A197="","",INDEX(ListadoProductos[],MATCH('2.C_Datos'!$C197,ListadoProductos[Productos],0),MATCH('2.C_Datos'!F$3,ListadoProductos[#Headers],0)))</f>
        <v/>
      </c>
      <c r="G197" s="99" t="str">
        <f>IF($A197="","",INDEX(ListadoProductos[],MATCH('2.C_Datos'!$C197,ListadoProductos[Productos],0),MATCH('2.C_Datos'!G$3,ListadoProductos[#Headers],0)))</f>
        <v/>
      </c>
      <c r="H197" s="99" t="str">
        <f>IF($A197="","",INDEX(ListadoProductos[],MATCH('2.C_Datos'!$C197,ListadoProductos[Productos],0),MATCH('2.C_Datos'!H$3,ListadoProductos[#Headers],0)))</f>
        <v/>
      </c>
      <c r="I197" s="99" t="str">
        <f>IF($A197="","",INDEX(ListadoProductos[],MATCH('2.C_Datos'!$C197,ListadoProductos[Productos],0),MATCH('2.C_Datos'!I$3,ListadoProductos[#Headers],0)))</f>
        <v/>
      </c>
      <c r="J197" s="99" t="str">
        <f>IF(Tabla19[[#This Row],[Comp1]]="","",COUNTIFS(TablaMaq1[Componente],Tabla19[[#This Row],[Comp1]],TablaMaq1[ID_Pedido],'2.C_Datos'!A197)+
COUNTIFS(TablaMaq2[Componente],Tabla19[[#This Row],[Comp1]],TablaMaq2[ID_Pedido],'2.C_Datos'!A197)+
COUNTIFS(TablaMaq3[Componente],Tabla19[[#This Row],[Comp1]],TablaMaq3[ID_Pedido],'2.C_Datos'!A197)+
COUNTIFS(TablaMaq4[Componente],Tabla19[[#This Row],[Comp1]],TablaMaq4[ID_Pedido],'2.C_Datos'!A197))</f>
        <v/>
      </c>
      <c r="K197" s="99" t="str">
        <f>IF(Tabla19[[#This Row],[Comp2]]="","",COUNTIFS(TablaMaq1[Componente],Tabla19[[#This Row],[Comp2]],TablaMaq1[ID_Pedido],'2.C_Datos'!A197)+
COUNTIFS(TablaMaq2[Componente],Tabla19[[#This Row],[Comp2]],TablaMaq2[ID_Pedido],'2.C_Datos'!A197)+
COUNTIFS(TablaMaq3[Componente],Tabla19[[#This Row],[Comp2]],TablaMaq3[ID_Pedido],'2.C_Datos'!A197)+
COUNTIFS(TablaMaq4[Componente],Tabla19[[#This Row],[Comp2]],TablaMaq4[ID_Pedido],'2.C_Datos'!A197))</f>
        <v/>
      </c>
      <c r="L197" s="99" t="str">
        <f>IF(Tabla19[[#This Row],[Comp3]]="","",COUNTIFS(TablaMaq1[Componente],Tabla19[[#This Row],[Comp3]],TablaMaq1[ID_Pedido],'2.C_Datos'!A197)+
COUNTIFS(TablaMaq2[Componente],Tabla19[[#This Row],[Comp3]],TablaMaq2[ID_Pedido],'2.C_Datos'!A197)+
COUNTIFS(TablaMaq3[Componente],Tabla19[[#This Row],[Comp3]],TablaMaq3[ID_Pedido],'2.C_Datos'!A197)+
COUNTIFS(TablaMaq4[Componente],Tabla19[[#This Row],[Comp3]],TablaMaq4[ID_Pedido],'2.C_Datos'!A197))</f>
        <v/>
      </c>
      <c r="M197" s="99" t="str">
        <f>IF(Tabla19[[#This Row],[Comp4]]="","",COUNTIFS(TablaMaq1[Componente],Tabla19[[#This Row],[Comp4]],TablaMaq1[ID_Pedido],'2.C_Datos'!A197)+
COUNTIFS(TablaMaq2[Componente],Tabla19[[#This Row],[Comp4]],TablaMaq2[ID_Pedido],'2.C_Datos'!A197)+
COUNTIFS(TablaMaq3[Componente],Tabla19[[#This Row],[Comp4]],TablaMaq3[ID_Pedido],'2.C_Datos'!A197)+
COUNTIFS(TablaMaq4[Componente],Tabla19[[#This Row],[Comp4]],TablaMaq4[ID_Pedido],'2.C_Datos'!A197))</f>
        <v/>
      </c>
      <c r="N197" s="99" t="str">
        <f>IF(Tabla19[[#This Row],[Comp5]]="","",COUNTIFS(TablaMaq1[Componente],Tabla19[[#This Row],[Comp5]],TablaMaq1[ID_Pedido],'2.C_Datos'!A197)+
COUNTIFS(TablaMaq1[Componente],Tabla19[[#This Row],[Comp5]],TablaMaq2[ID_Pedido],'2.C_Datos'!A197)+
COUNTIFS(TablaMaq1[Componente],Tabla19[[#This Row],[Comp5]],TablaMaq3[ID_Pedido],'2.C_Datos'!A197)+
COUNTIFS(TablaMaq1[Componente],Tabla19[[#This Row],[Comp5]],TablaMaq4[ID_Pedido],'2.C_Datos'!A197))</f>
        <v/>
      </c>
      <c r="O197" s="85" t="str">
        <f>IF(Tabla19[[#This Row],[Comp1]]="","",
IF(IF(Tabla19[[#This Row],[Comp1]]=0,0,1)*$D197-Tabla19[[#This Row],[Asign1]]=0,0,Tabla19[[#This Row],[Comp1]]))</f>
        <v/>
      </c>
      <c r="P197" s="85" t="str">
        <f>IF(Tabla19[[#This Row],[Comp2]]="","",
IF(IF(Tabla19[[#This Row],[Comp2]]=0,0,1)*$D197-Tabla19[[#This Row],[Asign2]]=0,0,Tabla19[[#This Row],[Comp2]]))</f>
        <v/>
      </c>
      <c r="Q197" s="85" t="str">
        <f>IF(Tabla19[[#This Row],[Comp3]]="","",
IF(IF(Tabla19[[#This Row],[Comp3]]=0,0,1)*$D197-Tabla19[[#This Row],[Asign3]]=0,0,Tabla19[[#This Row],[Comp3]]))</f>
        <v/>
      </c>
      <c r="R197" s="85" t="str">
        <f>IF(Tabla19[[#This Row],[Comp4]]="","",
IF(IF(Tabla19[[#This Row],[Comp4]]=0,0,1)*$D197-Tabla19[[#This Row],[Asign4]]=0,0,Tabla19[[#This Row],[Comp4]]))</f>
        <v/>
      </c>
      <c r="S197" s="85" t="str">
        <f>IF(Tabla19[[#This Row],[Comp5]]="","",
IF(IF(Tabla19[[#This Row],[Comp5]]=0,0,1)*$D197-Tabla19[[#This Row],[Asign5]]=0,0,Tabla19[[#This Row],[Comp5]]))</f>
        <v/>
      </c>
    </row>
    <row r="198" spans="5:19" x14ac:dyDescent="0.3">
      <c r="E198" s="99" t="str">
        <f>IF($A198="","",INDEX(ListadoProductos[],MATCH('2.C_Datos'!$C198,ListadoProductos[Productos],0),MATCH('2.C_Datos'!E$3,ListadoProductos[#Headers],0)))</f>
        <v/>
      </c>
      <c r="F198" s="99" t="str">
        <f>IF($A198="","",INDEX(ListadoProductos[],MATCH('2.C_Datos'!$C198,ListadoProductos[Productos],0),MATCH('2.C_Datos'!F$3,ListadoProductos[#Headers],0)))</f>
        <v/>
      </c>
      <c r="G198" s="99" t="str">
        <f>IF($A198="","",INDEX(ListadoProductos[],MATCH('2.C_Datos'!$C198,ListadoProductos[Productos],0),MATCH('2.C_Datos'!G$3,ListadoProductos[#Headers],0)))</f>
        <v/>
      </c>
      <c r="H198" s="99" t="str">
        <f>IF($A198="","",INDEX(ListadoProductos[],MATCH('2.C_Datos'!$C198,ListadoProductos[Productos],0),MATCH('2.C_Datos'!H$3,ListadoProductos[#Headers],0)))</f>
        <v/>
      </c>
      <c r="I198" s="99" t="str">
        <f>IF($A198="","",INDEX(ListadoProductos[],MATCH('2.C_Datos'!$C198,ListadoProductos[Productos],0),MATCH('2.C_Datos'!I$3,ListadoProductos[#Headers],0)))</f>
        <v/>
      </c>
      <c r="J198" s="99" t="str">
        <f>IF(Tabla19[[#This Row],[Comp1]]="","",COUNTIFS(TablaMaq1[Componente],Tabla19[[#This Row],[Comp1]],TablaMaq1[ID_Pedido],'2.C_Datos'!A198)+
COUNTIFS(TablaMaq2[Componente],Tabla19[[#This Row],[Comp1]],TablaMaq2[ID_Pedido],'2.C_Datos'!A198)+
COUNTIFS(TablaMaq3[Componente],Tabla19[[#This Row],[Comp1]],TablaMaq3[ID_Pedido],'2.C_Datos'!A198)+
COUNTIFS(TablaMaq4[Componente],Tabla19[[#This Row],[Comp1]],TablaMaq4[ID_Pedido],'2.C_Datos'!A198))</f>
        <v/>
      </c>
      <c r="K198" s="99" t="str">
        <f>IF(Tabla19[[#This Row],[Comp2]]="","",COUNTIFS(TablaMaq1[Componente],Tabla19[[#This Row],[Comp2]],TablaMaq1[ID_Pedido],'2.C_Datos'!A198)+
COUNTIFS(TablaMaq2[Componente],Tabla19[[#This Row],[Comp2]],TablaMaq2[ID_Pedido],'2.C_Datos'!A198)+
COUNTIFS(TablaMaq3[Componente],Tabla19[[#This Row],[Comp2]],TablaMaq3[ID_Pedido],'2.C_Datos'!A198)+
COUNTIFS(TablaMaq4[Componente],Tabla19[[#This Row],[Comp2]],TablaMaq4[ID_Pedido],'2.C_Datos'!A198))</f>
        <v/>
      </c>
      <c r="L198" s="99" t="str">
        <f>IF(Tabla19[[#This Row],[Comp3]]="","",COUNTIFS(TablaMaq1[Componente],Tabla19[[#This Row],[Comp3]],TablaMaq1[ID_Pedido],'2.C_Datos'!A198)+
COUNTIFS(TablaMaq2[Componente],Tabla19[[#This Row],[Comp3]],TablaMaq2[ID_Pedido],'2.C_Datos'!A198)+
COUNTIFS(TablaMaq3[Componente],Tabla19[[#This Row],[Comp3]],TablaMaq3[ID_Pedido],'2.C_Datos'!A198)+
COUNTIFS(TablaMaq4[Componente],Tabla19[[#This Row],[Comp3]],TablaMaq4[ID_Pedido],'2.C_Datos'!A198))</f>
        <v/>
      </c>
      <c r="M198" s="99" t="str">
        <f>IF(Tabla19[[#This Row],[Comp4]]="","",COUNTIFS(TablaMaq1[Componente],Tabla19[[#This Row],[Comp4]],TablaMaq1[ID_Pedido],'2.C_Datos'!A198)+
COUNTIFS(TablaMaq2[Componente],Tabla19[[#This Row],[Comp4]],TablaMaq2[ID_Pedido],'2.C_Datos'!A198)+
COUNTIFS(TablaMaq3[Componente],Tabla19[[#This Row],[Comp4]],TablaMaq3[ID_Pedido],'2.C_Datos'!A198)+
COUNTIFS(TablaMaq4[Componente],Tabla19[[#This Row],[Comp4]],TablaMaq4[ID_Pedido],'2.C_Datos'!A198))</f>
        <v/>
      </c>
      <c r="N198" s="99" t="str">
        <f>IF(Tabla19[[#This Row],[Comp5]]="","",COUNTIFS(TablaMaq1[Componente],Tabla19[[#This Row],[Comp5]],TablaMaq1[ID_Pedido],'2.C_Datos'!A198)+
COUNTIFS(TablaMaq1[Componente],Tabla19[[#This Row],[Comp5]],TablaMaq2[ID_Pedido],'2.C_Datos'!A198)+
COUNTIFS(TablaMaq1[Componente],Tabla19[[#This Row],[Comp5]],TablaMaq3[ID_Pedido],'2.C_Datos'!A198)+
COUNTIFS(TablaMaq1[Componente],Tabla19[[#This Row],[Comp5]],TablaMaq4[ID_Pedido],'2.C_Datos'!A198))</f>
        <v/>
      </c>
      <c r="O198" s="85" t="str">
        <f>IF(Tabla19[[#This Row],[Comp1]]="","",
IF(IF(Tabla19[[#This Row],[Comp1]]=0,0,1)*$D198-Tabla19[[#This Row],[Asign1]]=0,0,Tabla19[[#This Row],[Comp1]]))</f>
        <v/>
      </c>
      <c r="P198" s="85" t="str">
        <f>IF(Tabla19[[#This Row],[Comp2]]="","",
IF(IF(Tabla19[[#This Row],[Comp2]]=0,0,1)*$D198-Tabla19[[#This Row],[Asign2]]=0,0,Tabla19[[#This Row],[Comp2]]))</f>
        <v/>
      </c>
      <c r="Q198" s="85" t="str">
        <f>IF(Tabla19[[#This Row],[Comp3]]="","",
IF(IF(Tabla19[[#This Row],[Comp3]]=0,0,1)*$D198-Tabla19[[#This Row],[Asign3]]=0,0,Tabla19[[#This Row],[Comp3]]))</f>
        <v/>
      </c>
      <c r="R198" s="85" t="str">
        <f>IF(Tabla19[[#This Row],[Comp4]]="","",
IF(IF(Tabla19[[#This Row],[Comp4]]=0,0,1)*$D198-Tabla19[[#This Row],[Asign4]]=0,0,Tabla19[[#This Row],[Comp4]]))</f>
        <v/>
      </c>
      <c r="S198" s="85" t="str">
        <f>IF(Tabla19[[#This Row],[Comp5]]="","",
IF(IF(Tabla19[[#This Row],[Comp5]]=0,0,1)*$D198-Tabla19[[#This Row],[Asign5]]=0,0,Tabla19[[#This Row],[Comp5]]))</f>
        <v/>
      </c>
    </row>
    <row r="199" spans="5:19" x14ac:dyDescent="0.3">
      <c r="E199" s="99" t="str">
        <f>IF($A199="","",INDEX(ListadoProductos[],MATCH('2.C_Datos'!$C199,ListadoProductos[Productos],0),MATCH('2.C_Datos'!E$3,ListadoProductos[#Headers],0)))</f>
        <v/>
      </c>
      <c r="F199" s="99" t="str">
        <f>IF($A199="","",INDEX(ListadoProductos[],MATCH('2.C_Datos'!$C199,ListadoProductos[Productos],0),MATCH('2.C_Datos'!F$3,ListadoProductos[#Headers],0)))</f>
        <v/>
      </c>
      <c r="G199" s="99" t="str">
        <f>IF($A199="","",INDEX(ListadoProductos[],MATCH('2.C_Datos'!$C199,ListadoProductos[Productos],0),MATCH('2.C_Datos'!G$3,ListadoProductos[#Headers],0)))</f>
        <v/>
      </c>
      <c r="H199" s="99" t="str">
        <f>IF($A199="","",INDEX(ListadoProductos[],MATCH('2.C_Datos'!$C199,ListadoProductos[Productos],0),MATCH('2.C_Datos'!H$3,ListadoProductos[#Headers],0)))</f>
        <v/>
      </c>
      <c r="I199" s="99" t="str">
        <f>IF($A199="","",INDEX(ListadoProductos[],MATCH('2.C_Datos'!$C199,ListadoProductos[Productos],0),MATCH('2.C_Datos'!I$3,ListadoProductos[#Headers],0)))</f>
        <v/>
      </c>
      <c r="J199" s="99" t="str">
        <f>IF(Tabla19[[#This Row],[Comp1]]="","",COUNTIFS(TablaMaq1[Componente],Tabla19[[#This Row],[Comp1]],TablaMaq1[ID_Pedido],'2.C_Datos'!A199)+
COUNTIFS(TablaMaq2[Componente],Tabla19[[#This Row],[Comp1]],TablaMaq2[ID_Pedido],'2.C_Datos'!A199)+
COUNTIFS(TablaMaq3[Componente],Tabla19[[#This Row],[Comp1]],TablaMaq3[ID_Pedido],'2.C_Datos'!A199)+
COUNTIFS(TablaMaq4[Componente],Tabla19[[#This Row],[Comp1]],TablaMaq4[ID_Pedido],'2.C_Datos'!A199))</f>
        <v/>
      </c>
      <c r="K199" s="99" t="str">
        <f>IF(Tabla19[[#This Row],[Comp2]]="","",COUNTIFS(TablaMaq1[Componente],Tabla19[[#This Row],[Comp2]],TablaMaq1[ID_Pedido],'2.C_Datos'!A199)+
COUNTIFS(TablaMaq2[Componente],Tabla19[[#This Row],[Comp2]],TablaMaq2[ID_Pedido],'2.C_Datos'!A199)+
COUNTIFS(TablaMaq3[Componente],Tabla19[[#This Row],[Comp2]],TablaMaq3[ID_Pedido],'2.C_Datos'!A199)+
COUNTIFS(TablaMaq4[Componente],Tabla19[[#This Row],[Comp2]],TablaMaq4[ID_Pedido],'2.C_Datos'!A199))</f>
        <v/>
      </c>
      <c r="L199" s="99" t="str">
        <f>IF(Tabla19[[#This Row],[Comp3]]="","",COUNTIFS(TablaMaq1[Componente],Tabla19[[#This Row],[Comp3]],TablaMaq1[ID_Pedido],'2.C_Datos'!A199)+
COUNTIFS(TablaMaq2[Componente],Tabla19[[#This Row],[Comp3]],TablaMaq2[ID_Pedido],'2.C_Datos'!A199)+
COUNTIFS(TablaMaq3[Componente],Tabla19[[#This Row],[Comp3]],TablaMaq3[ID_Pedido],'2.C_Datos'!A199)+
COUNTIFS(TablaMaq4[Componente],Tabla19[[#This Row],[Comp3]],TablaMaq4[ID_Pedido],'2.C_Datos'!A199))</f>
        <v/>
      </c>
      <c r="M199" s="99" t="str">
        <f>IF(Tabla19[[#This Row],[Comp4]]="","",COUNTIFS(TablaMaq1[Componente],Tabla19[[#This Row],[Comp4]],TablaMaq1[ID_Pedido],'2.C_Datos'!A199)+
COUNTIFS(TablaMaq2[Componente],Tabla19[[#This Row],[Comp4]],TablaMaq2[ID_Pedido],'2.C_Datos'!A199)+
COUNTIFS(TablaMaq3[Componente],Tabla19[[#This Row],[Comp4]],TablaMaq3[ID_Pedido],'2.C_Datos'!A199)+
COUNTIFS(TablaMaq4[Componente],Tabla19[[#This Row],[Comp4]],TablaMaq4[ID_Pedido],'2.C_Datos'!A199))</f>
        <v/>
      </c>
      <c r="N199" s="99" t="str">
        <f>IF(Tabla19[[#This Row],[Comp5]]="","",COUNTIFS(TablaMaq1[Componente],Tabla19[[#This Row],[Comp5]],TablaMaq1[ID_Pedido],'2.C_Datos'!A199)+
COUNTIFS(TablaMaq1[Componente],Tabla19[[#This Row],[Comp5]],TablaMaq2[ID_Pedido],'2.C_Datos'!A199)+
COUNTIFS(TablaMaq1[Componente],Tabla19[[#This Row],[Comp5]],TablaMaq3[ID_Pedido],'2.C_Datos'!A199)+
COUNTIFS(TablaMaq1[Componente],Tabla19[[#This Row],[Comp5]],TablaMaq4[ID_Pedido],'2.C_Datos'!A199))</f>
        <v/>
      </c>
      <c r="O199" s="85" t="str">
        <f>IF(Tabla19[[#This Row],[Comp1]]="","",
IF(IF(Tabla19[[#This Row],[Comp1]]=0,0,1)*$D199-Tabla19[[#This Row],[Asign1]]=0,0,Tabla19[[#This Row],[Comp1]]))</f>
        <v/>
      </c>
      <c r="P199" s="85" t="str">
        <f>IF(Tabla19[[#This Row],[Comp2]]="","",
IF(IF(Tabla19[[#This Row],[Comp2]]=0,0,1)*$D199-Tabla19[[#This Row],[Asign2]]=0,0,Tabla19[[#This Row],[Comp2]]))</f>
        <v/>
      </c>
      <c r="Q199" s="85" t="str">
        <f>IF(Tabla19[[#This Row],[Comp3]]="","",
IF(IF(Tabla19[[#This Row],[Comp3]]=0,0,1)*$D199-Tabla19[[#This Row],[Asign3]]=0,0,Tabla19[[#This Row],[Comp3]]))</f>
        <v/>
      </c>
      <c r="R199" s="85" t="str">
        <f>IF(Tabla19[[#This Row],[Comp4]]="","",
IF(IF(Tabla19[[#This Row],[Comp4]]=0,0,1)*$D199-Tabla19[[#This Row],[Asign4]]=0,0,Tabla19[[#This Row],[Comp4]]))</f>
        <v/>
      </c>
      <c r="S199" s="85" t="str">
        <f>IF(Tabla19[[#This Row],[Comp5]]="","",
IF(IF(Tabla19[[#This Row],[Comp5]]=0,0,1)*$D199-Tabla19[[#This Row],[Asign5]]=0,0,Tabla19[[#This Row],[Comp5]]))</f>
        <v/>
      </c>
    </row>
    <row r="200" spans="5:19" x14ac:dyDescent="0.3">
      <c r="E200" s="99" t="str">
        <f>IF($A200="","",INDEX(ListadoProductos[],MATCH('2.C_Datos'!$C200,ListadoProductos[Productos],0),MATCH('2.C_Datos'!E$3,ListadoProductos[#Headers],0)))</f>
        <v/>
      </c>
      <c r="F200" s="99" t="str">
        <f>IF($A200="","",INDEX(ListadoProductos[],MATCH('2.C_Datos'!$C200,ListadoProductos[Productos],0),MATCH('2.C_Datos'!F$3,ListadoProductos[#Headers],0)))</f>
        <v/>
      </c>
      <c r="G200" s="99" t="str">
        <f>IF($A200="","",INDEX(ListadoProductos[],MATCH('2.C_Datos'!$C200,ListadoProductos[Productos],0),MATCH('2.C_Datos'!G$3,ListadoProductos[#Headers],0)))</f>
        <v/>
      </c>
      <c r="H200" s="99" t="str">
        <f>IF($A200="","",INDEX(ListadoProductos[],MATCH('2.C_Datos'!$C200,ListadoProductos[Productos],0),MATCH('2.C_Datos'!H$3,ListadoProductos[#Headers],0)))</f>
        <v/>
      </c>
      <c r="I200" s="99" t="str">
        <f>IF($A200="","",INDEX(ListadoProductos[],MATCH('2.C_Datos'!$C200,ListadoProductos[Productos],0),MATCH('2.C_Datos'!I$3,ListadoProductos[#Headers],0)))</f>
        <v/>
      </c>
      <c r="J200" s="99" t="str">
        <f>IF(Tabla19[[#This Row],[Comp1]]="","",COUNTIFS(TablaMaq1[Componente],Tabla19[[#This Row],[Comp1]],TablaMaq1[ID_Pedido],'2.C_Datos'!A200)+
COUNTIFS(TablaMaq2[Componente],Tabla19[[#This Row],[Comp1]],TablaMaq2[ID_Pedido],'2.C_Datos'!A200)+
COUNTIFS(TablaMaq3[Componente],Tabla19[[#This Row],[Comp1]],TablaMaq3[ID_Pedido],'2.C_Datos'!A200)+
COUNTIFS(TablaMaq4[Componente],Tabla19[[#This Row],[Comp1]],TablaMaq4[ID_Pedido],'2.C_Datos'!A200))</f>
        <v/>
      </c>
      <c r="K200" s="99" t="str">
        <f>IF(Tabla19[[#This Row],[Comp2]]="","",COUNTIFS(TablaMaq1[Componente],Tabla19[[#This Row],[Comp2]],TablaMaq1[ID_Pedido],'2.C_Datos'!A200)+
COUNTIFS(TablaMaq2[Componente],Tabla19[[#This Row],[Comp2]],TablaMaq2[ID_Pedido],'2.C_Datos'!A200)+
COUNTIFS(TablaMaq3[Componente],Tabla19[[#This Row],[Comp2]],TablaMaq3[ID_Pedido],'2.C_Datos'!A200)+
COUNTIFS(TablaMaq4[Componente],Tabla19[[#This Row],[Comp2]],TablaMaq4[ID_Pedido],'2.C_Datos'!A200))</f>
        <v/>
      </c>
      <c r="L200" s="99" t="str">
        <f>IF(Tabla19[[#This Row],[Comp3]]="","",COUNTIFS(TablaMaq1[Componente],Tabla19[[#This Row],[Comp3]],TablaMaq1[ID_Pedido],'2.C_Datos'!A200)+
COUNTIFS(TablaMaq2[Componente],Tabla19[[#This Row],[Comp3]],TablaMaq2[ID_Pedido],'2.C_Datos'!A200)+
COUNTIFS(TablaMaq3[Componente],Tabla19[[#This Row],[Comp3]],TablaMaq3[ID_Pedido],'2.C_Datos'!A200)+
COUNTIFS(TablaMaq4[Componente],Tabla19[[#This Row],[Comp3]],TablaMaq4[ID_Pedido],'2.C_Datos'!A200))</f>
        <v/>
      </c>
      <c r="M200" s="99" t="str">
        <f>IF(Tabla19[[#This Row],[Comp4]]="","",COUNTIFS(TablaMaq1[Componente],Tabla19[[#This Row],[Comp4]],TablaMaq1[ID_Pedido],'2.C_Datos'!A200)+
COUNTIFS(TablaMaq2[Componente],Tabla19[[#This Row],[Comp4]],TablaMaq2[ID_Pedido],'2.C_Datos'!A200)+
COUNTIFS(TablaMaq3[Componente],Tabla19[[#This Row],[Comp4]],TablaMaq3[ID_Pedido],'2.C_Datos'!A200)+
COUNTIFS(TablaMaq4[Componente],Tabla19[[#This Row],[Comp4]],TablaMaq4[ID_Pedido],'2.C_Datos'!A200))</f>
        <v/>
      </c>
      <c r="N200" s="99" t="str">
        <f>IF(Tabla19[[#This Row],[Comp5]]="","",COUNTIFS(TablaMaq1[Componente],Tabla19[[#This Row],[Comp5]],TablaMaq1[ID_Pedido],'2.C_Datos'!A200)+
COUNTIFS(TablaMaq1[Componente],Tabla19[[#This Row],[Comp5]],TablaMaq2[ID_Pedido],'2.C_Datos'!A200)+
COUNTIFS(TablaMaq1[Componente],Tabla19[[#This Row],[Comp5]],TablaMaq3[ID_Pedido],'2.C_Datos'!A200)+
COUNTIFS(TablaMaq1[Componente],Tabla19[[#This Row],[Comp5]],TablaMaq4[ID_Pedido],'2.C_Datos'!A200))</f>
        <v/>
      </c>
      <c r="O200" s="85" t="str">
        <f>IF(Tabla19[[#This Row],[Comp1]]="","",
IF(IF(Tabla19[[#This Row],[Comp1]]=0,0,1)*$D200-Tabla19[[#This Row],[Asign1]]=0,0,Tabla19[[#This Row],[Comp1]]))</f>
        <v/>
      </c>
      <c r="P200" s="85" t="str">
        <f>IF(Tabla19[[#This Row],[Comp2]]="","",
IF(IF(Tabla19[[#This Row],[Comp2]]=0,0,1)*$D200-Tabla19[[#This Row],[Asign2]]=0,0,Tabla19[[#This Row],[Comp2]]))</f>
        <v/>
      </c>
      <c r="Q200" s="85" t="str">
        <f>IF(Tabla19[[#This Row],[Comp3]]="","",
IF(IF(Tabla19[[#This Row],[Comp3]]=0,0,1)*$D200-Tabla19[[#This Row],[Asign3]]=0,0,Tabla19[[#This Row],[Comp3]]))</f>
        <v/>
      </c>
      <c r="R200" s="85" t="str">
        <f>IF(Tabla19[[#This Row],[Comp4]]="","",
IF(IF(Tabla19[[#This Row],[Comp4]]=0,0,1)*$D200-Tabla19[[#This Row],[Asign4]]=0,0,Tabla19[[#This Row],[Comp4]]))</f>
        <v/>
      </c>
      <c r="S200" s="85" t="str">
        <f>IF(Tabla19[[#This Row],[Comp5]]="","",
IF(IF(Tabla19[[#This Row],[Comp5]]=0,0,1)*$D200-Tabla19[[#This Row],[Asign5]]=0,0,Tabla19[[#This Row],[Comp5]]))</f>
        <v/>
      </c>
    </row>
    <row r="201" spans="5:19" x14ac:dyDescent="0.3">
      <c r="E201" s="99" t="str">
        <f>IF($A201="","",INDEX(ListadoProductos[],MATCH('2.C_Datos'!$C201,ListadoProductos[Productos],0),MATCH('2.C_Datos'!E$3,ListadoProductos[#Headers],0)))</f>
        <v/>
      </c>
      <c r="F201" s="99" t="str">
        <f>IF($A201="","",INDEX(ListadoProductos[],MATCH('2.C_Datos'!$C201,ListadoProductos[Productos],0),MATCH('2.C_Datos'!F$3,ListadoProductos[#Headers],0)))</f>
        <v/>
      </c>
      <c r="G201" s="99" t="str">
        <f>IF($A201="","",INDEX(ListadoProductos[],MATCH('2.C_Datos'!$C201,ListadoProductos[Productos],0),MATCH('2.C_Datos'!G$3,ListadoProductos[#Headers],0)))</f>
        <v/>
      </c>
      <c r="H201" s="99" t="str">
        <f>IF($A201="","",INDEX(ListadoProductos[],MATCH('2.C_Datos'!$C201,ListadoProductos[Productos],0),MATCH('2.C_Datos'!H$3,ListadoProductos[#Headers],0)))</f>
        <v/>
      </c>
      <c r="I201" s="99" t="str">
        <f>IF($A201="","",INDEX(ListadoProductos[],MATCH('2.C_Datos'!$C201,ListadoProductos[Productos],0),MATCH('2.C_Datos'!I$3,ListadoProductos[#Headers],0)))</f>
        <v/>
      </c>
      <c r="J201" s="99" t="str">
        <f>IF(Tabla19[[#This Row],[Comp1]]="","",COUNTIFS(TablaMaq1[Componente],Tabla19[[#This Row],[Comp1]],TablaMaq1[ID_Pedido],'2.C_Datos'!A201)+
COUNTIFS(TablaMaq2[Componente],Tabla19[[#This Row],[Comp1]],TablaMaq2[ID_Pedido],'2.C_Datos'!A201)+
COUNTIFS(TablaMaq3[Componente],Tabla19[[#This Row],[Comp1]],TablaMaq3[ID_Pedido],'2.C_Datos'!A201)+
COUNTIFS(TablaMaq4[Componente],Tabla19[[#This Row],[Comp1]],TablaMaq4[ID_Pedido],'2.C_Datos'!A201))</f>
        <v/>
      </c>
      <c r="K201" s="99" t="str">
        <f>IF(Tabla19[[#This Row],[Comp2]]="","",COUNTIFS(TablaMaq1[Componente],Tabla19[[#This Row],[Comp2]],TablaMaq1[ID_Pedido],'2.C_Datos'!A201)+
COUNTIFS(TablaMaq2[Componente],Tabla19[[#This Row],[Comp2]],TablaMaq2[ID_Pedido],'2.C_Datos'!A201)+
COUNTIFS(TablaMaq3[Componente],Tabla19[[#This Row],[Comp2]],TablaMaq3[ID_Pedido],'2.C_Datos'!A201)+
COUNTIFS(TablaMaq4[Componente],Tabla19[[#This Row],[Comp2]],TablaMaq4[ID_Pedido],'2.C_Datos'!A201))</f>
        <v/>
      </c>
      <c r="L201" s="99" t="str">
        <f>IF(Tabla19[[#This Row],[Comp3]]="","",COUNTIFS(TablaMaq1[Componente],Tabla19[[#This Row],[Comp3]],TablaMaq1[ID_Pedido],'2.C_Datos'!A201)+
COUNTIFS(TablaMaq2[Componente],Tabla19[[#This Row],[Comp3]],TablaMaq2[ID_Pedido],'2.C_Datos'!A201)+
COUNTIFS(TablaMaq3[Componente],Tabla19[[#This Row],[Comp3]],TablaMaq3[ID_Pedido],'2.C_Datos'!A201)+
COUNTIFS(TablaMaq4[Componente],Tabla19[[#This Row],[Comp3]],TablaMaq4[ID_Pedido],'2.C_Datos'!A201))</f>
        <v/>
      </c>
      <c r="M201" s="99" t="str">
        <f>IF(Tabla19[[#This Row],[Comp4]]="","",COUNTIFS(TablaMaq1[Componente],Tabla19[[#This Row],[Comp4]],TablaMaq1[ID_Pedido],'2.C_Datos'!A201)+
COUNTIFS(TablaMaq2[Componente],Tabla19[[#This Row],[Comp4]],TablaMaq2[ID_Pedido],'2.C_Datos'!A201)+
COUNTIFS(TablaMaq3[Componente],Tabla19[[#This Row],[Comp4]],TablaMaq3[ID_Pedido],'2.C_Datos'!A201)+
COUNTIFS(TablaMaq4[Componente],Tabla19[[#This Row],[Comp4]],TablaMaq4[ID_Pedido],'2.C_Datos'!A201))</f>
        <v/>
      </c>
      <c r="N201" s="99" t="str">
        <f>IF(Tabla19[[#This Row],[Comp5]]="","",COUNTIFS(TablaMaq1[Componente],Tabla19[[#This Row],[Comp5]],TablaMaq1[ID_Pedido],'2.C_Datos'!A201)+
COUNTIFS(TablaMaq1[Componente],Tabla19[[#This Row],[Comp5]],TablaMaq2[ID_Pedido],'2.C_Datos'!A201)+
COUNTIFS(TablaMaq1[Componente],Tabla19[[#This Row],[Comp5]],TablaMaq3[ID_Pedido],'2.C_Datos'!A201)+
COUNTIFS(TablaMaq1[Componente],Tabla19[[#This Row],[Comp5]],TablaMaq4[ID_Pedido],'2.C_Datos'!A201))</f>
        <v/>
      </c>
      <c r="O201" s="85" t="str">
        <f>IF(Tabla19[[#This Row],[Comp1]]="","",
IF(IF(Tabla19[[#This Row],[Comp1]]=0,0,1)*$D201-Tabla19[[#This Row],[Asign1]]=0,0,Tabla19[[#This Row],[Comp1]]))</f>
        <v/>
      </c>
      <c r="P201" s="85" t="str">
        <f>IF(Tabla19[[#This Row],[Comp2]]="","",
IF(IF(Tabla19[[#This Row],[Comp2]]=0,0,1)*$D201-Tabla19[[#This Row],[Asign2]]=0,0,Tabla19[[#This Row],[Comp2]]))</f>
        <v/>
      </c>
      <c r="Q201" s="85" t="str">
        <f>IF(Tabla19[[#This Row],[Comp3]]="","",
IF(IF(Tabla19[[#This Row],[Comp3]]=0,0,1)*$D201-Tabla19[[#This Row],[Asign3]]=0,0,Tabla19[[#This Row],[Comp3]]))</f>
        <v/>
      </c>
      <c r="R201" s="85" t="str">
        <f>IF(Tabla19[[#This Row],[Comp4]]="","",
IF(IF(Tabla19[[#This Row],[Comp4]]=0,0,1)*$D201-Tabla19[[#This Row],[Asign4]]=0,0,Tabla19[[#This Row],[Comp4]]))</f>
        <v/>
      </c>
      <c r="S201" s="85" t="str">
        <f>IF(Tabla19[[#This Row],[Comp5]]="","",
IF(IF(Tabla19[[#This Row],[Comp5]]=0,0,1)*$D201-Tabla19[[#This Row],[Asign5]]=0,0,Tabla19[[#This Row],[Comp5]]))</f>
        <v/>
      </c>
    </row>
    <row r="202" spans="5:19" x14ac:dyDescent="0.3">
      <c r="E202" s="99" t="str">
        <f>IF($A202="","",INDEX(ListadoProductos[],MATCH('2.C_Datos'!$C202,ListadoProductos[Productos],0),MATCH('2.C_Datos'!E$3,ListadoProductos[#Headers],0)))</f>
        <v/>
      </c>
      <c r="F202" s="99" t="str">
        <f>IF($A202="","",INDEX(ListadoProductos[],MATCH('2.C_Datos'!$C202,ListadoProductos[Productos],0),MATCH('2.C_Datos'!F$3,ListadoProductos[#Headers],0)))</f>
        <v/>
      </c>
      <c r="G202" s="99" t="str">
        <f>IF($A202="","",INDEX(ListadoProductos[],MATCH('2.C_Datos'!$C202,ListadoProductos[Productos],0),MATCH('2.C_Datos'!G$3,ListadoProductos[#Headers],0)))</f>
        <v/>
      </c>
      <c r="H202" s="99" t="str">
        <f>IF($A202="","",INDEX(ListadoProductos[],MATCH('2.C_Datos'!$C202,ListadoProductos[Productos],0),MATCH('2.C_Datos'!H$3,ListadoProductos[#Headers],0)))</f>
        <v/>
      </c>
      <c r="I202" s="99" t="str">
        <f>IF($A202="","",INDEX(ListadoProductos[],MATCH('2.C_Datos'!$C202,ListadoProductos[Productos],0),MATCH('2.C_Datos'!I$3,ListadoProductos[#Headers],0)))</f>
        <v/>
      </c>
      <c r="J202" s="99" t="str">
        <f>IF(Tabla19[[#This Row],[Comp1]]="","",COUNTIFS(TablaMaq1[Componente],Tabla19[[#This Row],[Comp1]],TablaMaq1[ID_Pedido],'2.C_Datos'!A202)+
COUNTIFS(TablaMaq2[Componente],Tabla19[[#This Row],[Comp1]],TablaMaq2[ID_Pedido],'2.C_Datos'!A202)+
COUNTIFS(TablaMaq3[Componente],Tabla19[[#This Row],[Comp1]],TablaMaq3[ID_Pedido],'2.C_Datos'!A202)+
COUNTIFS(TablaMaq4[Componente],Tabla19[[#This Row],[Comp1]],TablaMaq4[ID_Pedido],'2.C_Datos'!A202))</f>
        <v/>
      </c>
      <c r="K202" s="99" t="str">
        <f>IF(Tabla19[[#This Row],[Comp2]]="","",COUNTIFS(TablaMaq1[Componente],Tabla19[[#This Row],[Comp2]],TablaMaq1[ID_Pedido],'2.C_Datos'!A202)+
COUNTIFS(TablaMaq2[Componente],Tabla19[[#This Row],[Comp2]],TablaMaq2[ID_Pedido],'2.C_Datos'!A202)+
COUNTIFS(TablaMaq3[Componente],Tabla19[[#This Row],[Comp2]],TablaMaq3[ID_Pedido],'2.C_Datos'!A202)+
COUNTIFS(TablaMaq4[Componente],Tabla19[[#This Row],[Comp2]],TablaMaq4[ID_Pedido],'2.C_Datos'!A202))</f>
        <v/>
      </c>
      <c r="L202" s="99" t="str">
        <f>IF(Tabla19[[#This Row],[Comp3]]="","",COUNTIFS(TablaMaq1[Componente],Tabla19[[#This Row],[Comp3]],TablaMaq1[ID_Pedido],'2.C_Datos'!A202)+
COUNTIFS(TablaMaq2[Componente],Tabla19[[#This Row],[Comp3]],TablaMaq2[ID_Pedido],'2.C_Datos'!A202)+
COUNTIFS(TablaMaq3[Componente],Tabla19[[#This Row],[Comp3]],TablaMaq3[ID_Pedido],'2.C_Datos'!A202)+
COUNTIFS(TablaMaq4[Componente],Tabla19[[#This Row],[Comp3]],TablaMaq4[ID_Pedido],'2.C_Datos'!A202))</f>
        <v/>
      </c>
      <c r="M202" s="99" t="str">
        <f>IF(Tabla19[[#This Row],[Comp4]]="","",COUNTIFS(TablaMaq1[Componente],Tabla19[[#This Row],[Comp4]],TablaMaq1[ID_Pedido],'2.C_Datos'!A202)+
COUNTIFS(TablaMaq2[Componente],Tabla19[[#This Row],[Comp4]],TablaMaq2[ID_Pedido],'2.C_Datos'!A202)+
COUNTIFS(TablaMaq3[Componente],Tabla19[[#This Row],[Comp4]],TablaMaq3[ID_Pedido],'2.C_Datos'!A202)+
COUNTIFS(TablaMaq4[Componente],Tabla19[[#This Row],[Comp4]],TablaMaq4[ID_Pedido],'2.C_Datos'!A202))</f>
        <v/>
      </c>
      <c r="N202" s="99" t="str">
        <f>IF(Tabla19[[#This Row],[Comp5]]="","",COUNTIFS(TablaMaq1[Componente],Tabla19[[#This Row],[Comp5]],TablaMaq1[ID_Pedido],'2.C_Datos'!A202)+
COUNTIFS(TablaMaq1[Componente],Tabla19[[#This Row],[Comp5]],TablaMaq2[ID_Pedido],'2.C_Datos'!A202)+
COUNTIFS(TablaMaq1[Componente],Tabla19[[#This Row],[Comp5]],TablaMaq3[ID_Pedido],'2.C_Datos'!A202)+
COUNTIFS(TablaMaq1[Componente],Tabla19[[#This Row],[Comp5]],TablaMaq4[ID_Pedido],'2.C_Datos'!A202))</f>
        <v/>
      </c>
      <c r="O202" s="85" t="str">
        <f>IF(Tabla19[[#This Row],[Comp1]]="","",
IF(IF(Tabla19[[#This Row],[Comp1]]=0,0,1)*$D202-Tabla19[[#This Row],[Asign1]]=0,0,Tabla19[[#This Row],[Comp1]]))</f>
        <v/>
      </c>
      <c r="P202" s="85" t="str">
        <f>IF(Tabla19[[#This Row],[Comp2]]="","",
IF(IF(Tabla19[[#This Row],[Comp2]]=0,0,1)*$D202-Tabla19[[#This Row],[Asign2]]=0,0,Tabla19[[#This Row],[Comp2]]))</f>
        <v/>
      </c>
      <c r="Q202" s="85" t="str">
        <f>IF(Tabla19[[#This Row],[Comp3]]="","",
IF(IF(Tabla19[[#This Row],[Comp3]]=0,0,1)*$D202-Tabla19[[#This Row],[Asign3]]=0,0,Tabla19[[#This Row],[Comp3]]))</f>
        <v/>
      </c>
      <c r="R202" s="85" t="str">
        <f>IF(Tabla19[[#This Row],[Comp4]]="","",
IF(IF(Tabla19[[#This Row],[Comp4]]=0,0,1)*$D202-Tabla19[[#This Row],[Asign4]]=0,0,Tabla19[[#This Row],[Comp4]]))</f>
        <v/>
      </c>
      <c r="S202" s="85" t="str">
        <f>IF(Tabla19[[#This Row],[Comp5]]="","",
IF(IF(Tabla19[[#This Row],[Comp5]]=0,0,1)*$D202-Tabla19[[#This Row],[Asign5]]=0,0,Tabla19[[#This Row],[Comp5]]))</f>
        <v/>
      </c>
    </row>
    <row r="203" spans="5:19" x14ac:dyDescent="0.3">
      <c r="E203" s="99" t="str">
        <f>IF($A203="","",INDEX(ListadoProductos[],MATCH('2.C_Datos'!$C203,ListadoProductos[Productos],0),MATCH('2.C_Datos'!E$3,ListadoProductos[#Headers],0)))</f>
        <v/>
      </c>
      <c r="F203" s="99" t="str">
        <f>IF($A203="","",INDEX(ListadoProductos[],MATCH('2.C_Datos'!$C203,ListadoProductos[Productos],0),MATCH('2.C_Datos'!F$3,ListadoProductos[#Headers],0)))</f>
        <v/>
      </c>
      <c r="G203" s="99" t="str">
        <f>IF($A203="","",INDEX(ListadoProductos[],MATCH('2.C_Datos'!$C203,ListadoProductos[Productos],0),MATCH('2.C_Datos'!G$3,ListadoProductos[#Headers],0)))</f>
        <v/>
      </c>
      <c r="H203" s="99" t="str">
        <f>IF($A203="","",INDEX(ListadoProductos[],MATCH('2.C_Datos'!$C203,ListadoProductos[Productos],0),MATCH('2.C_Datos'!H$3,ListadoProductos[#Headers],0)))</f>
        <v/>
      </c>
      <c r="I203" s="99" t="str">
        <f>IF($A203="","",INDEX(ListadoProductos[],MATCH('2.C_Datos'!$C203,ListadoProductos[Productos],0),MATCH('2.C_Datos'!I$3,ListadoProductos[#Headers],0)))</f>
        <v/>
      </c>
      <c r="J203" s="99" t="str">
        <f>IF(Tabla19[[#This Row],[Comp1]]="","",COUNTIFS(TablaMaq1[Componente],Tabla19[[#This Row],[Comp1]],TablaMaq1[ID_Pedido],'2.C_Datos'!A203)+
COUNTIFS(TablaMaq2[Componente],Tabla19[[#This Row],[Comp1]],TablaMaq2[ID_Pedido],'2.C_Datos'!A203)+
COUNTIFS(TablaMaq3[Componente],Tabla19[[#This Row],[Comp1]],TablaMaq3[ID_Pedido],'2.C_Datos'!A203)+
COUNTIFS(TablaMaq4[Componente],Tabla19[[#This Row],[Comp1]],TablaMaq4[ID_Pedido],'2.C_Datos'!A203))</f>
        <v/>
      </c>
      <c r="K203" s="99" t="str">
        <f>IF(Tabla19[[#This Row],[Comp2]]="","",COUNTIFS(TablaMaq1[Componente],Tabla19[[#This Row],[Comp2]],TablaMaq1[ID_Pedido],'2.C_Datos'!A203)+
COUNTIFS(TablaMaq2[Componente],Tabla19[[#This Row],[Comp2]],TablaMaq2[ID_Pedido],'2.C_Datos'!A203)+
COUNTIFS(TablaMaq3[Componente],Tabla19[[#This Row],[Comp2]],TablaMaq3[ID_Pedido],'2.C_Datos'!A203)+
COUNTIFS(TablaMaq4[Componente],Tabla19[[#This Row],[Comp2]],TablaMaq4[ID_Pedido],'2.C_Datos'!A203))</f>
        <v/>
      </c>
      <c r="L203" s="99" t="str">
        <f>IF(Tabla19[[#This Row],[Comp3]]="","",COUNTIFS(TablaMaq1[Componente],Tabla19[[#This Row],[Comp3]],TablaMaq1[ID_Pedido],'2.C_Datos'!A203)+
COUNTIFS(TablaMaq2[Componente],Tabla19[[#This Row],[Comp3]],TablaMaq2[ID_Pedido],'2.C_Datos'!A203)+
COUNTIFS(TablaMaq3[Componente],Tabla19[[#This Row],[Comp3]],TablaMaq3[ID_Pedido],'2.C_Datos'!A203)+
COUNTIFS(TablaMaq4[Componente],Tabla19[[#This Row],[Comp3]],TablaMaq4[ID_Pedido],'2.C_Datos'!A203))</f>
        <v/>
      </c>
      <c r="M203" s="99" t="str">
        <f>IF(Tabla19[[#This Row],[Comp4]]="","",COUNTIFS(TablaMaq1[Componente],Tabla19[[#This Row],[Comp4]],TablaMaq1[ID_Pedido],'2.C_Datos'!A203)+
COUNTIFS(TablaMaq2[Componente],Tabla19[[#This Row],[Comp4]],TablaMaq2[ID_Pedido],'2.C_Datos'!A203)+
COUNTIFS(TablaMaq3[Componente],Tabla19[[#This Row],[Comp4]],TablaMaq3[ID_Pedido],'2.C_Datos'!A203)+
COUNTIFS(TablaMaq4[Componente],Tabla19[[#This Row],[Comp4]],TablaMaq4[ID_Pedido],'2.C_Datos'!A203))</f>
        <v/>
      </c>
      <c r="N203" s="99" t="str">
        <f>IF(Tabla19[[#This Row],[Comp5]]="","",COUNTIFS(TablaMaq1[Componente],Tabla19[[#This Row],[Comp5]],TablaMaq1[ID_Pedido],'2.C_Datos'!A203)+
COUNTIFS(TablaMaq1[Componente],Tabla19[[#This Row],[Comp5]],TablaMaq2[ID_Pedido],'2.C_Datos'!A203)+
COUNTIFS(TablaMaq1[Componente],Tabla19[[#This Row],[Comp5]],TablaMaq3[ID_Pedido],'2.C_Datos'!A203)+
COUNTIFS(TablaMaq1[Componente],Tabla19[[#This Row],[Comp5]],TablaMaq4[ID_Pedido],'2.C_Datos'!A203))</f>
        <v/>
      </c>
      <c r="O203" s="85" t="str">
        <f>IF(Tabla19[[#This Row],[Comp1]]="","",
IF(IF(Tabla19[[#This Row],[Comp1]]=0,0,1)*$D203-Tabla19[[#This Row],[Asign1]]=0,0,Tabla19[[#This Row],[Comp1]]))</f>
        <v/>
      </c>
      <c r="P203" s="85" t="str">
        <f>IF(Tabla19[[#This Row],[Comp2]]="","",
IF(IF(Tabla19[[#This Row],[Comp2]]=0,0,1)*$D203-Tabla19[[#This Row],[Asign2]]=0,0,Tabla19[[#This Row],[Comp2]]))</f>
        <v/>
      </c>
      <c r="Q203" s="85" t="str">
        <f>IF(Tabla19[[#This Row],[Comp3]]="","",
IF(IF(Tabla19[[#This Row],[Comp3]]=0,0,1)*$D203-Tabla19[[#This Row],[Asign3]]=0,0,Tabla19[[#This Row],[Comp3]]))</f>
        <v/>
      </c>
      <c r="R203" s="85" t="str">
        <f>IF(Tabla19[[#This Row],[Comp4]]="","",
IF(IF(Tabla19[[#This Row],[Comp4]]=0,0,1)*$D203-Tabla19[[#This Row],[Asign4]]=0,0,Tabla19[[#This Row],[Comp4]]))</f>
        <v/>
      </c>
      <c r="S203" s="85" t="str">
        <f>IF(Tabla19[[#This Row],[Comp5]]="","",
IF(IF(Tabla19[[#This Row],[Comp5]]=0,0,1)*$D203-Tabla19[[#This Row],[Asign5]]=0,0,Tabla19[[#This Row],[Comp5]]))</f>
        <v/>
      </c>
    </row>
    <row r="204" spans="5:19" x14ac:dyDescent="0.3">
      <c r="E204" s="99" t="str">
        <f>IF($A204="","",INDEX(ListadoProductos[],MATCH('2.C_Datos'!$C204,ListadoProductos[Productos],0),MATCH('2.C_Datos'!E$3,ListadoProductos[#Headers],0)))</f>
        <v/>
      </c>
      <c r="F204" s="99" t="str">
        <f>IF($A204="","",INDEX(ListadoProductos[],MATCH('2.C_Datos'!$C204,ListadoProductos[Productos],0),MATCH('2.C_Datos'!F$3,ListadoProductos[#Headers],0)))</f>
        <v/>
      </c>
      <c r="G204" s="99" t="str">
        <f>IF($A204="","",INDEX(ListadoProductos[],MATCH('2.C_Datos'!$C204,ListadoProductos[Productos],0),MATCH('2.C_Datos'!G$3,ListadoProductos[#Headers],0)))</f>
        <v/>
      </c>
      <c r="H204" s="99" t="str">
        <f>IF($A204="","",INDEX(ListadoProductos[],MATCH('2.C_Datos'!$C204,ListadoProductos[Productos],0),MATCH('2.C_Datos'!H$3,ListadoProductos[#Headers],0)))</f>
        <v/>
      </c>
      <c r="I204" s="99" t="str">
        <f>IF($A204="","",INDEX(ListadoProductos[],MATCH('2.C_Datos'!$C204,ListadoProductos[Productos],0),MATCH('2.C_Datos'!I$3,ListadoProductos[#Headers],0)))</f>
        <v/>
      </c>
      <c r="J204" s="99" t="str">
        <f>IF(Tabla19[[#This Row],[Comp1]]="","",COUNTIFS(TablaMaq1[Componente],Tabla19[[#This Row],[Comp1]],TablaMaq1[ID_Pedido],'2.C_Datos'!A204)+
COUNTIFS(TablaMaq2[Componente],Tabla19[[#This Row],[Comp1]],TablaMaq2[ID_Pedido],'2.C_Datos'!A204)+
COUNTIFS(TablaMaq3[Componente],Tabla19[[#This Row],[Comp1]],TablaMaq3[ID_Pedido],'2.C_Datos'!A204)+
COUNTIFS(TablaMaq4[Componente],Tabla19[[#This Row],[Comp1]],TablaMaq4[ID_Pedido],'2.C_Datos'!A204))</f>
        <v/>
      </c>
      <c r="K204" s="99" t="str">
        <f>IF(Tabla19[[#This Row],[Comp2]]="","",COUNTIFS(TablaMaq1[Componente],Tabla19[[#This Row],[Comp2]],TablaMaq1[ID_Pedido],'2.C_Datos'!A204)+
COUNTIFS(TablaMaq2[Componente],Tabla19[[#This Row],[Comp2]],TablaMaq2[ID_Pedido],'2.C_Datos'!A204)+
COUNTIFS(TablaMaq3[Componente],Tabla19[[#This Row],[Comp2]],TablaMaq3[ID_Pedido],'2.C_Datos'!A204)+
COUNTIFS(TablaMaq4[Componente],Tabla19[[#This Row],[Comp2]],TablaMaq4[ID_Pedido],'2.C_Datos'!A204))</f>
        <v/>
      </c>
      <c r="L204" s="99" t="str">
        <f>IF(Tabla19[[#This Row],[Comp3]]="","",COUNTIFS(TablaMaq1[Componente],Tabla19[[#This Row],[Comp3]],TablaMaq1[ID_Pedido],'2.C_Datos'!A204)+
COUNTIFS(TablaMaq2[Componente],Tabla19[[#This Row],[Comp3]],TablaMaq2[ID_Pedido],'2.C_Datos'!A204)+
COUNTIFS(TablaMaq3[Componente],Tabla19[[#This Row],[Comp3]],TablaMaq3[ID_Pedido],'2.C_Datos'!A204)+
COUNTIFS(TablaMaq4[Componente],Tabla19[[#This Row],[Comp3]],TablaMaq4[ID_Pedido],'2.C_Datos'!A204))</f>
        <v/>
      </c>
      <c r="M204" s="99" t="str">
        <f>IF(Tabla19[[#This Row],[Comp4]]="","",COUNTIFS(TablaMaq1[Componente],Tabla19[[#This Row],[Comp4]],TablaMaq1[ID_Pedido],'2.C_Datos'!A204)+
COUNTIFS(TablaMaq2[Componente],Tabla19[[#This Row],[Comp4]],TablaMaq2[ID_Pedido],'2.C_Datos'!A204)+
COUNTIFS(TablaMaq3[Componente],Tabla19[[#This Row],[Comp4]],TablaMaq3[ID_Pedido],'2.C_Datos'!A204)+
COUNTIFS(TablaMaq4[Componente],Tabla19[[#This Row],[Comp4]],TablaMaq4[ID_Pedido],'2.C_Datos'!A204))</f>
        <v/>
      </c>
      <c r="N204" s="99" t="str">
        <f>IF(Tabla19[[#This Row],[Comp5]]="","",COUNTIFS(TablaMaq1[Componente],Tabla19[[#This Row],[Comp5]],TablaMaq1[ID_Pedido],'2.C_Datos'!A204)+
COUNTIFS(TablaMaq1[Componente],Tabla19[[#This Row],[Comp5]],TablaMaq2[ID_Pedido],'2.C_Datos'!A204)+
COUNTIFS(TablaMaq1[Componente],Tabla19[[#This Row],[Comp5]],TablaMaq3[ID_Pedido],'2.C_Datos'!A204)+
COUNTIFS(TablaMaq1[Componente],Tabla19[[#This Row],[Comp5]],TablaMaq4[ID_Pedido],'2.C_Datos'!A204))</f>
        <v/>
      </c>
      <c r="O204" s="85" t="str">
        <f>IF(Tabla19[[#This Row],[Comp1]]="","",
IF(IF(Tabla19[[#This Row],[Comp1]]=0,0,1)*$D204-Tabla19[[#This Row],[Asign1]]=0,0,Tabla19[[#This Row],[Comp1]]))</f>
        <v/>
      </c>
      <c r="P204" s="85" t="str">
        <f>IF(Tabla19[[#This Row],[Comp2]]="","",
IF(IF(Tabla19[[#This Row],[Comp2]]=0,0,1)*$D204-Tabla19[[#This Row],[Asign2]]=0,0,Tabla19[[#This Row],[Comp2]]))</f>
        <v/>
      </c>
      <c r="Q204" s="85" t="str">
        <f>IF(Tabla19[[#This Row],[Comp3]]="","",
IF(IF(Tabla19[[#This Row],[Comp3]]=0,0,1)*$D204-Tabla19[[#This Row],[Asign3]]=0,0,Tabla19[[#This Row],[Comp3]]))</f>
        <v/>
      </c>
      <c r="R204" s="85" t="str">
        <f>IF(Tabla19[[#This Row],[Comp4]]="","",
IF(IF(Tabla19[[#This Row],[Comp4]]=0,0,1)*$D204-Tabla19[[#This Row],[Asign4]]=0,0,Tabla19[[#This Row],[Comp4]]))</f>
        <v/>
      </c>
      <c r="S204" s="85" t="str">
        <f>IF(Tabla19[[#This Row],[Comp5]]="","",
IF(IF(Tabla19[[#This Row],[Comp5]]=0,0,1)*$D204-Tabla19[[#This Row],[Asign5]]=0,0,Tabla19[[#This Row],[Comp5]]))</f>
        <v/>
      </c>
    </row>
    <row r="205" spans="5:19" x14ac:dyDescent="0.3">
      <c r="E205" s="99" t="str">
        <f>IF($A205="","",INDEX(ListadoProductos[],MATCH('2.C_Datos'!$C205,ListadoProductos[Productos],0),MATCH('2.C_Datos'!E$3,ListadoProductos[#Headers],0)))</f>
        <v/>
      </c>
      <c r="F205" s="99" t="str">
        <f>IF($A205="","",INDEX(ListadoProductos[],MATCH('2.C_Datos'!$C205,ListadoProductos[Productos],0),MATCH('2.C_Datos'!F$3,ListadoProductos[#Headers],0)))</f>
        <v/>
      </c>
      <c r="G205" s="99" t="str">
        <f>IF($A205="","",INDEX(ListadoProductos[],MATCH('2.C_Datos'!$C205,ListadoProductos[Productos],0),MATCH('2.C_Datos'!G$3,ListadoProductos[#Headers],0)))</f>
        <v/>
      </c>
      <c r="H205" s="99" t="str">
        <f>IF($A205="","",INDEX(ListadoProductos[],MATCH('2.C_Datos'!$C205,ListadoProductos[Productos],0),MATCH('2.C_Datos'!H$3,ListadoProductos[#Headers],0)))</f>
        <v/>
      </c>
      <c r="I205" s="99" t="str">
        <f>IF($A205="","",INDEX(ListadoProductos[],MATCH('2.C_Datos'!$C205,ListadoProductos[Productos],0),MATCH('2.C_Datos'!I$3,ListadoProductos[#Headers],0)))</f>
        <v/>
      </c>
      <c r="J205" s="99" t="str">
        <f>IF(Tabla19[[#This Row],[Comp1]]="","",COUNTIFS(TablaMaq1[Componente],Tabla19[[#This Row],[Comp1]],TablaMaq1[ID_Pedido],'2.C_Datos'!A205)+
COUNTIFS(TablaMaq2[Componente],Tabla19[[#This Row],[Comp1]],TablaMaq2[ID_Pedido],'2.C_Datos'!A205)+
COUNTIFS(TablaMaq3[Componente],Tabla19[[#This Row],[Comp1]],TablaMaq3[ID_Pedido],'2.C_Datos'!A205)+
COUNTIFS(TablaMaq4[Componente],Tabla19[[#This Row],[Comp1]],TablaMaq4[ID_Pedido],'2.C_Datos'!A205))</f>
        <v/>
      </c>
      <c r="K205" s="99" t="str">
        <f>IF(Tabla19[[#This Row],[Comp2]]="","",COUNTIFS(TablaMaq1[Componente],Tabla19[[#This Row],[Comp2]],TablaMaq1[ID_Pedido],'2.C_Datos'!A205)+
COUNTIFS(TablaMaq2[Componente],Tabla19[[#This Row],[Comp2]],TablaMaq2[ID_Pedido],'2.C_Datos'!A205)+
COUNTIFS(TablaMaq3[Componente],Tabla19[[#This Row],[Comp2]],TablaMaq3[ID_Pedido],'2.C_Datos'!A205)+
COUNTIFS(TablaMaq4[Componente],Tabla19[[#This Row],[Comp2]],TablaMaq4[ID_Pedido],'2.C_Datos'!A205))</f>
        <v/>
      </c>
      <c r="L205" s="99" t="str">
        <f>IF(Tabla19[[#This Row],[Comp3]]="","",COUNTIFS(TablaMaq1[Componente],Tabla19[[#This Row],[Comp3]],TablaMaq1[ID_Pedido],'2.C_Datos'!A205)+
COUNTIFS(TablaMaq2[Componente],Tabla19[[#This Row],[Comp3]],TablaMaq2[ID_Pedido],'2.C_Datos'!A205)+
COUNTIFS(TablaMaq3[Componente],Tabla19[[#This Row],[Comp3]],TablaMaq3[ID_Pedido],'2.C_Datos'!A205)+
COUNTIFS(TablaMaq4[Componente],Tabla19[[#This Row],[Comp3]],TablaMaq4[ID_Pedido],'2.C_Datos'!A205))</f>
        <v/>
      </c>
      <c r="M205" s="99" t="str">
        <f>IF(Tabla19[[#This Row],[Comp4]]="","",COUNTIFS(TablaMaq1[Componente],Tabla19[[#This Row],[Comp4]],TablaMaq1[ID_Pedido],'2.C_Datos'!A205)+
COUNTIFS(TablaMaq2[Componente],Tabla19[[#This Row],[Comp4]],TablaMaq2[ID_Pedido],'2.C_Datos'!A205)+
COUNTIFS(TablaMaq3[Componente],Tabla19[[#This Row],[Comp4]],TablaMaq3[ID_Pedido],'2.C_Datos'!A205)+
COUNTIFS(TablaMaq4[Componente],Tabla19[[#This Row],[Comp4]],TablaMaq4[ID_Pedido],'2.C_Datos'!A205))</f>
        <v/>
      </c>
      <c r="N205" s="99" t="str">
        <f>IF(Tabla19[[#This Row],[Comp5]]="","",COUNTIFS(TablaMaq1[Componente],Tabla19[[#This Row],[Comp5]],TablaMaq1[ID_Pedido],'2.C_Datos'!A205)+
COUNTIFS(TablaMaq1[Componente],Tabla19[[#This Row],[Comp5]],TablaMaq2[ID_Pedido],'2.C_Datos'!A205)+
COUNTIFS(TablaMaq1[Componente],Tabla19[[#This Row],[Comp5]],TablaMaq3[ID_Pedido],'2.C_Datos'!A205)+
COUNTIFS(TablaMaq1[Componente],Tabla19[[#This Row],[Comp5]],TablaMaq4[ID_Pedido],'2.C_Datos'!A205))</f>
        <v/>
      </c>
      <c r="O205" s="85" t="str">
        <f>IF(Tabla19[[#This Row],[Comp1]]="","",
IF(IF(Tabla19[[#This Row],[Comp1]]=0,0,1)*$D205-Tabla19[[#This Row],[Asign1]]=0,0,Tabla19[[#This Row],[Comp1]]))</f>
        <v/>
      </c>
      <c r="P205" s="85" t="str">
        <f>IF(Tabla19[[#This Row],[Comp2]]="","",
IF(IF(Tabla19[[#This Row],[Comp2]]=0,0,1)*$D205-Tabla19[[#This Row],[Asign2]]=0,0,Tabla19[[#This Row],[Comp2]]))</f>
        <v/>
      </c>
      <c r="Q205" s="85" t="str">
        <f>IF(Tabla19[[#This Row],[Comp3]]="","",
IF(IF(Tabla19[[#This Row],[Comp3]]=0,0,1)*$D205-Tabla19[[#This Row],[Asign3]]=0,0,Tabla19[[#This Row],[Comp3]]))</f>
        <v/>
      </c>
      <c r="R205" s="85" t="str">
        <f>IF(Tabla19[[#This Row],[Comp4]]="","",
IF(IF(Tabla19[[#This Row],[Comp4]]=0,0,1)*$D205-Tabla19[[#This Row],[Asign4]]=0,0,Tabla19[[#This Row],[Comp4]]))</f>
        <v/>
      </c>
      <c r="S205" s="85" t="str">
        <f>IF(Tabla19[[#This Row],[Comp5]]="","",
IF(IF(Tabla19[[#This Row],[Comp5]]=0,0,1)*$D205-Tabla19[[#This Row],[Asign5]]=0,0,Tabla19[[#This Row],[Comp5]]))</f>
        <v/>
      </c>
    </row>
    <row r="206" spans="5:19" x14ac:dyDescent="0.3">
      <c r="E206" s="99" t="str">
        <f>IF($A206="","",INDEX(ListadoProductos[],MATCH('2.C_Datos'!$C206,ListadoProductos[Productos],0),MATCH('2.C_Datos'!E$3,ListadoProductos[#Headers],0)))</f>
        <v/>
      </c>
      <c r="F206" s="99" t="str">
        <f>IF($A206="","",INDEX(ListadoProductos[],MATCH('2.C_Datos'!$C206,ListadoProductos[Productos],0),MATCH('2.C_Datos'!F$3,ListadoProductos[#Headers],0)))</f>
        <v/>
      </c>
      <c r="G206" s="99" t="str">
        <f>IF($A206="","",INDEX(ListadoProductos[],MATCH('2.C_Datos'!$C206,ListadoProductos[Productos],0),MATCH('2.C_Datos'!G$3,ListadoProductos[#Headers],0)))</f>
        <v/>
      </c>
      <c r="H206" s="99" t="str">
        <f>IF($A206="","",INDEX(ListadoProductos[],MATCH('2.C_Datos'!$C206,ListadoProductos[Productos],0),MATCH('2.C_Datos'!H$3,ListadoProductos[#Headers],0)))</f>
        <v/>
      </c>
      <c r="I206" s="99" t="str">
        <f>IF($A206="","",INDEX(ListadoProductos[],MATCH('2.C_Datos'!$C206,ListadoProductos[Productos],0),MATCH('2.C_Datos'!I$3,ListadoProductos[#Headers],0)))</f>
        <v/>
      </c>
      <c r="J206" s="99" t="str">
        <f>IF(Tabla19[[#This Row],[Comp1]]="","",COUNTIFS(TablaMaq1[Componente],Tabla19[[#This Row],[Comp1]],TablaMaq1[ID_Pedido],'2.C_Datos'!A206)+
COUNTIFS(TablaMaq2[Componente],Tabla19[[#This Row],[Comp1]],TablaMaq2[ID_Pedido],'2.C_Datos'!A206)+
COUNTIFS(TablaMaq3[Componente],Tabla19[[#This Row],[Comp1]],TablaMaq3[ID_Pedido],'2.C_Datos'!A206)+
COUNTIFS(TablaMaq4[Componente],Tabla19[[#This Row],[Comp1]],TablaMaq4[ID_Pedido],'2.C_Datos'!A206))</f>
        <v/>
      </c>
      <c r="K206" s="99" t="str">
        <f>IF(Tabla19[[#This Row],[Comp2]]="","",COUNTIFS(TablaMaq1[Componente],Tabla19[[#This Row],[Comp2]],TablaMaq1[ID_Pedido],'2.C_Datos'!A206)+
COUNTIFS(TablaMaq2[Componente],Tabla19[[#This Row],[Comp2]],TablaMaq2[ID_Pedido],'2.C_Datos'!A206)+
COUNTIFS(TablaMaq3[Componente],Tabla19[[#This Row],[Comp2]],TablaMaq3[ID_Pedido],'2.C_Datos'!A206)+
COUNTIFS(TablaMaq4[Componente],Tabla19[[#This Row],[Comp2]],TablaMaq4[ID_Pedido],'2.C_Datos'!A206))</f>
        <v/>
      </c>
      <c r="L206" s="99" t="str">
        <f>IF(Tabla19[[#This Row],[Comp3]]="","",COUNTIFS(TablaMaq1[Componente],Tabla19[[#This Row],[Comp3]],TablaMaq1[ID_Pedido],'2.C_Datos'!A206)+
COUNTIFS(TablaMaq2[Componente],Tabla19[[#This Row],[Comp3]],TablaMaq2[ID_Pedido],'2.C_Datos'!A206)+
COUNTIFS(TablaMaq3[Componente],Tabla19[[#This Row],[Comp3]],TablaMaq3[ID_Pedido],'2.C_Datos'!A206)+
COUNTIFS(TablaMaq4[Componente],Tabla19[[#This Row],[Comp3]],TablaMaq4[ID_Pedido],'2.C_Datos'!A206))</f>
        <v/>
      </c>
      <c r="M206" s="99" t="str">
        <f>IF(Tabla19[[#This Row],[Comp4]]="","",COUNTIFS(TablaMaq1[Componente],Tabla19[[#This Row],[Comp4]],TablaMaq1[ID_Pedido],'2.C_Datos'!A206)+
COUNTIFS(TablaMaq2[Componente],Tabla19[[#This Row],[Comp4]],TablaMaq2[ID_Pedido],'2.C_Datos'!A206)+
COUNTIFS(TablaMaq3[Componente],Tabla19[[#This Row],[Comp4]],TablaMaq3[ID_Pedido],'2.C_Datos'!A206)+
COUNTIFS(TablaMaq4[Componente],Tabla19[[#This Row],[Comp4]],TablaMaq4[ID_Pedido],'2.C_Datos'!A206))</f>
        <v/>
      </c>
      <c r="N206" s="99" t="str">
        <f>IF(Tabla19[[#This Row],[Comp5]]="","",COUNTIFS(TablaMaq1[Componente],Tabla19[[#This Row],[Comp5]],TablaMaq1[ID_Pedido],'2.C_Datos'!A206)+
COUNTIFS(TablaMaq1[Componente],Tabla19[[#This Row],[Comp5]],TablaMaq2[ID_Pedido],'2.C_Datos'!A206)+
COUNTIFS(TablaMaq1[Componente],Tabla19[[#This Row],[Comp5]],TablaMaq3[ID_Pedido],'2.C_Datos'!A206)+
COUNTIFS(TablaMaq1[Componente],Tabla19[[#This Row],[Comp5]],TablaMaq4[ID_Pedido],'2.C_Datos'!A206))</f>
        <v/>
      </c>
      <c r="O206" s="85" t="str">
        <f>IF(Tabla19[[#This Row],[Comp1]]="","",
IF(IF(Tabla19[[#This Row],[Comp1]]=0,0,1)*$D206-Tabla19[[#This Row],[Asign1]]=0,0,Tabla19[[#This Row],[Comp1]]))</f>
        <v/>
      </c>
      <c r="P206" s="85" t="str">
        <f>IF(Tabla19[[#This Row],[Comp2]]="","",
IF(IF(Tabla19[[#This Row],[Comp2]]=0,0,1)*$D206-Tabla19[[#This Row],[Asign2]]=0,0,Tabla19[[#This Row],[Comp2]]))</f>
        <v/>
      </c>
      <c r="Q206" s="85" t="str">
        <f>IF(Tabla19[[#This Row],[Comp3]]="","",
IF(IF(Tabla19[[#This Row],[Comp3]]=0,0,1)*$D206-Tabla19[[#This Row],[Asign3]]=0,0,Tabla19[[#This Row],[Comp3]]))</f>
        <v/>
      </c>
      <c r="R206" s="85" t="str">
        <f>IF(Tabla19[[#This Row],[Comp4]]="","",
IF(IF(Tabla19[[#This Row],[Comp4]]=0,0,1)*$D206-Tabla19[[#This Row],[Asign4]]=0,0,Tabla19[[#This Row],[Comp4]]))</f>
        <v/>
      </c>
      <c r="S206" s="85" t="str">
        <f>IF(Tabla19[[#This Row],[Comp5]]="","",
IF(IF(Tabla19[[#This Row],[Comp5]]=0,0,1)*$D206-Tabla19[[#This Row],[Asign5]]=0,0,Tabla19[[#This Row],[Comp5]]))</f>
        <v/>
      </c>
    </row>
    <row r="207" spans="5:19" x14ac:dyDescent="0.3">
      <c r="E207" s="99" t="str">
        <f>IF($A207="","",INDEX(ListadoProductos[],MATCH('2.C_Datos'!$C207,ListadoProductos[Productos],0),MATCH('2.C_Datos'!E$3,ListadoProductos[#Headers],0)))</f>
        <v/>
      </c>
      <c r="F207" s="99" t="str">
        <f>IF($A207="","",INDEX(ListadoProductos[],MATCH('2.C_Datos'!$C207,ListadoProductos[Productos],0),MATCH('2.C_Datos'!F$3,ListadoProductos[#Headers],0)))</f>
        <v/>
      </c>
      <c r="G207" s="99" t="str">
        <f>IF($A207="","",INDEX(ListadoProductos[],MATCH('2.C_Datos'!$C207,ListadoProductos[Productos],0),MATCH('2.C_Datos'!G$3,ListadoProductos[#Headers],0)))</f>
        <v/>
      </c>
      <c r="H207" s="99" t="str">
        <f>IF($A207="","",INDEX(ListadoProductos[],MATCH('2.C_Datos'!$C207,ListadoProductos[Productos],0),MATCH('2.C_Datos'!H$3,ListadoProductos[#Headers],0)))</f>
        <v/>
      </c>
      <c r="I207" s="99" t="str">
        <f>IF($A207="","",INDEX(ListadoProductos[],MATCH('2.C_Datos'!$C207,ListadoProductos[Productos],0),MATCH('2.C_Datos'!I$3,ListadoProductos[#Headers],0)))</f>
        <v/>
      </c>
      <c r="J207" s="99" t="str">
        <f>IF(Tabla19[[#This Row],[Comp1]]="","",COUNTIFS(TablaMaq1[Componente],Tabla19[[#This Row],[Comp1]],TablaMaq1[ID_Pedido],'2.C_Datos'!A207)+
COUNTIFS(TablaMaq2[Componente],Tabla19[[#This Row],[Comp1]],TablaMaq2[ID_Pedido],'2.C_Datos'!A207)+
COUNTIFS(TablaMaq3[Componente],Tabla19[[#This Row],[Comp1]],TablaMaq3[ID_Pedido],'2.C_Datos'!A207)+
COUNTIFS(TablaMaq4[Componente],Tabla19[[#This Row],[Comp1]],TablaMaq4[ID_Pedido],'2.C_Datos'!A207))</f>
        <v/>
      </c>
      <c r="K207" s="99" t="str">
        <f>IF(Tabla19[[#This Row],[Comp2]]="","",COUNTIFS(TablaMaq1[Componente],Tabla19[[#This Row],[Comp2]],TablaMaq1[ID_Pedido],'2.C_Datos'!A207)+
COUNTIFS(TablaMaq2[Componente],Tabla19[[#This Row],[Comp2]],TablaMaq2[ID_Pedido],'2.C_Datos'!A207)+
COUNTIFS(TablaMaq3[Componente],Tabla19[[#This Row],[Comp2]],TablaMaq3[ID_Pedido],'2.C_Datos'!A207)+
COUNTIFS(TablaMaq4[Componente],Tabla19[[#This Row],[Comp2]],TablaMaq4[ID_Pedido],'2.C_Datos'!A207))</f>
        <v/>
      </c>
      <c r="L207" s="99" t="str">
        <f>IF(Tabla19[[#This Row],[Comp3]]="","",COUNTIFS(TablaMaq1[Componente],Tabla19[[#This Row],[Comp3]],TablaMaq1[ID_Pedido],'2.C_Datos'!A207)+
COUNTIFS(TablaMaq2[Componente],Tabla19[[#This Row],[Comp3]],TablaMaq2[ID_Pedido],'2.C_Datos'!A207)+
COUNTIFS(TablaMaq3[Componente],Tabla19[[#This Row],[Comp3]],TablaMaq3[ID_Pedido],'2.C_Datos'!A207)+
COUNTIFS(TablaMaq4[Componente],Tabla19[[#This Row],[Comp3]],TablaMaq4[ID_Pedido],'2.C_Datos'!A207))</f>
        <v/>
      </c>
      <c r="M207" s="99" t="str">
        <f>IF(Tabla19[[#This Row],[Comp4]]="","",COUNTIFS(TablaMaq1[Componente],Tabla19[[#This Row],[Comp4]],TablaMaq1[ID_Pedido],'2.C_Datos'!A207)+
COUNTIFS(TablaMaq2[Componente],Tabla19[[#This Row],[Comp4]],TablaMaq2[ID_Pedido],'2.C_Datos'!A207)+
COUNTIFS(TablaMaq3[Componente],Tabla19[[#This Row],[Comp4]],TablaMaq3[ID_Pedido],'2.C_Datos'!A207)+
COUNTIFS(TablaMaq4[Componente],Tabla19[[#This Row],[Comp4]],TablaMaq4[ID_Pedido],'2.C_Datos'!A207))</f>
        <v/>
      </c>
      <c r="N207" s="99" t="str">
        <f>IF(Tabla19[[#This Row],[Comp5]]="","",COUNTIFS(TablaMaq1[Componente],Tabla19[[#This Row],[Comp5]],TablaMaq1[ID_Pedido],'2.C_Datos'!A207)+
COUNTIFS(TablaMaq1[Componente],Tabla19[[#This Row],[Comp5]],TablaMaq2[ID_Pedido],'2.C_Datos'!A207)+
COUNTIFS(TablaMaq1[Componente],Tabla19[[#This Row],[Comp5]],TablaMaq3[ID_Pedido],'2.C_Datos'!A207)+
COUNTIFS(TablaMaq1[Componente],Tabla19[[#This Row],[Comp5]],TablaMaq4[ID_Pedido],'2.C_Datos'!A207))</f>
        <v/>
      </c>
      <c r="O207" s="85" t="str">
        <f>IF(Tabla19[[#This Row],[Comp1]]="","",
IF(IF(Tabla19[[#This Row],[Comp1]]=0,0,1)*$D207-Tabla19[[#This Row],[Asign1]]=0,0,Tabla19[[#This Row],[Comp1]]))</f>
        <v/>
      </c>
      <c r="P207" s="85" t="str">
        <f>IF(Tabla19[[#This Row],[Comp2]]="","",
IF(IF(Tabla19[[#This Row],[Comp2]]=0,0,1)*$D207-Tabla19[[#This Row],[Asign2]]=0,0,Tabla19[[#This Row],[Comp2]]))</f>
        <v/>
      </c>
      <c r="Q207" s="85" t="str">
        <f>IF(Tabla19[[#This Row],[Comp3]]="","",
IF(IF(Tabla19[[#This Row],[Comp3]]=0,0,1)*$D207-Tabla19[[#This Row],[Asign3]]=0,0,Tabla19[[#This Row],[Comp3]]))</f>
        <v/>
      </c>
      <c r="R207" s="85" t="str">
        <f>IF(Tabla19[[#This Row],[Comp4]]="","",
IF(IF(Tabla19[[#This Row],[Comp4]]=0,0,1)*$D207-Tabla19[[#This Row],[Asign4]]=0,0,Tabla19[[#This Row],[Comp4]]))</f>
        <v/>
      </c>
      <c r="S207" s="85" t="str">
        <f>IF(Tabla19[[#This Row],[Comp5]]="","",
IF(IF(Tabla19[[#This Row],[Comp5]]=0,0,1)*$D207-Tabla19[[#This Row],[Asign5]]=0,0,Tabla19[[#This Row],[Comp5]]))</f>
        <v/>
      </c>
    </row>
    <row r="208" spans="5:19" x14ac:dyDescent="0.3">
      <c r="E208" s="99" t="str">
        <f>IF($A208="","",INDEX(ListadoProductos[],MATCH('2.C_Datos'!$C208,ListadoProductos[Productos],0),MATCH('2.C_Datos'!E$3,ListadoProductos[#Headers],0)))</f>
        <v/>
      </c>
      <c r="F208" s="99" t="str">
        <f>IF($A208="","",INDEX(ListadoProductos[],MATCH('2.C_Datos'!$C208,ListadoProductos[Productos],0),MATCH('2.C_Datos'!F$3,ListadoProductos[#Headers],0)))</f>
        <v/>
      </c>
      <c r="G208" s="99" t="str">
        <f>IF($A208="","",INDEX(ListadoProductos[],MATCH('2.C_Datos'!$C208,ListadoProductos[Productos],0),MATCH('2.C_Datos'!G$3,ListadoProductos[#Headers],0)))</f>
        <v/>
      </c>
      <c r="H208" s="99" t="str">
        <f>IF($A208="","",INDEX(ListadoProductos[],MATCH('2.C_Datos'!$C208,ListadoProductos[Productos],0),MATCH('2.C_Datos'!H$3,ListadoProductos[#Headers],0)))</f>
        <v/>
      </c>
      <c r="I208" s="99" t="str">
        <f>IF($A208="","",INDEX(ListadoProductos[],MATCH('2.C_Datos'!$C208,ListadoProductos[Productos],0),MATCH('2.C_Datos'!I$3,ListadoProductos[#Headers],0)))</f>
        <v/>
      </c>
      <c r="J208" s="99" t="str">
        <f>IF(Tabla19[[#This Row],[Comp1]]="","",COUNTIFS(TablaMaq1[Componente],Tabla19[[#This Row],[Comp1]],TablaMaq1[ID_Pedido],'2.C_Datos'!A208)+
COUNTIFS(TablaMaq2[Componente],Tabla19[[#This Row],[Comp1]],TablaMaq2[ID_Pedido],'2.C_Datos'!A208)+
COUNTIFS(TablaMaq3[Componente],Tabla19[[#This Row],[Comp1]],TablaMaq3[ID_Pedido],'2.C_Datos'!A208)+
COUNTIFS(TablaMaq4[Componente],Tabla19[[#This Row],[Comp1]],TablaMaq4[ID_Pedido],'2.C_Datos'!A208))</f>
        <v/>
      </c>
      <c r="K208" s="99" t="str">
        <f>IF(Tabla19[[#This Row],[Comp2]]="","",COUNTIFS(TablaMaq1[Componente],Tabla19[[#This Row],[Comp2]],TablaMaq1[ID_Pedido],'2.C_Datos'!A208)+
COUNTIFS(TablaMaq2[Componente],Tabla19[[#This Row],[Comp2]],TablaMaq2[ID_Pedido],'2.C_Datos'!A208)+
COUNTIFS(TablaMaq3[Componente],Tabla19[[#This Row],[Comp2]],TablaMaq3[ID_Pedido],'2.C_Datos'!A208)+
COUNTIFS(TablaMaq4[Componente],Tabla19[[#This Row],[Comp2]],TablaMaq4[ID_Pedido],'2.C_Datos'!A208))</f>
        <v/>
      </c>
      <c r="L208" s="99" t="str">
        <f>IF(Tabla19[[#This Row],[Comp3]]="","",COUNTIFS(TablaMaq1[Componente],Tabla19[[#This Row],[Comp3]],TablaMaq1[ID_Pedido],'2.C_Datos'!A208)+
COUNTIFS(TablaMaq2[Componente],Tabla19[[#This Row],[Comp3]],TablaMaq2[ID_Pedido],'2.C_Datos'!A208)+
COUNTIFS(TablaMaq3[Componente],Tabla19[[#This Row],[Comp3]],TablaMaq3[ID_Pedido],'2.C_Datos'!A208)+
COUNTIFS(TablaMaq4[Componente],Tabla19[[#This Row],[Comp3]],TablaMaq4[ID_Pedido],'2.C_Datos'!A208))</f>
        <v/>
      </c>
      <c r="M208" s="99" t="str">
        <f>IF(Tabla19[[#This Row],[Comp4]]="","",COUNTIFS(TablaMaq1[Componente],Tabla19[[#This Row],[Comp4]],TablaMaq1[ID_Pedido],'2.C_Datos'!A208)+
COUNTIFS(TablaMaq2[Componente],Tabla19[[#This Row],[Comp4]],TablaMaq2[ID_Pedido],'2.C_Datos'!A208)+
COUNTIFS(TablaMaq3[Componente],Tabla19[[#This Row],[Comp4]],TablaMaq3[ID_Pedido],'2.C_Datos'!A208)+
COUNTIFS(TablaMaq4[Componente],Tabla19[[#This Row],[Comp4]],TablaMaq4[ID_Pedido],'2.C_Datos'!A208))</f>
        <v/>
      </c>
      <c r="N208" s="99" t="str">
        <f>IF(Tabla19[[#This Row],[Comp5]]="","",COUNTIFS(TablaMaq1[Componente],Tabla19[[#This Row],[Comp5]],TablaMaq1[ID_Pedido],'2.C_Datos'!A208)+
COUNTIFS(TablaMaq1[Componente],Tabla19[[#This Row],[Comp5]],TablaMaq2[ID_Pedido],'2.C_Datos'!A208)+
COUNTIFS(TablaMaq1[Componente],Tabla19[[#This Row],[Comp5]],TablaMaq3[ID_Pedido],'2.C_Datos'!A208)+
COUNTIFS(TablaMaq1[Componente],Tabla19[[#This Row],[Comp5]],TablaMaq4[ID_Pedido],'2.C_Datos'!A208))</f>
        <v/>
      </c>
      <c r="O208" s="85" t="str">
        <f>IF(Tabla19[[#This Row],[Comp1]]="","",
IF(IF(Tabla19[[#This Row],[Comp1]]=0,0,1)*$D208-Tabla19[[#This Row],[Asign1]]=0,0,Tabla19[[#This Row],[Comp1]]))</f>
        <v/>
      </c>
      <c r="P208" s="85" t="str">
        <f>IF(Tabla19[[#This Row],[Comp2]]="","",
IF(IF(Tabla19[[#This Row],[Comp2]]=0,0,1)*$D208-Tabla19[[#This Row],[Asign2]]=0,0,Tabla19[[#This Row],[Comp2]]))</f>
        <v/>
      </c>
      <c r="Q208" s="85" t="str">
        <f>IF(Tabla19[[#This Row],[Comp3]]="","",
IF(IF(Tabla19[[#This Row],[Comp3]]=0,0,1)*$D208-Tabla19[[#This Row],[Asign3]]=0,0,Tabla19[[#This Row],[Comp3]]))</f>
        <v/>
      </c>
      <c r="R208" s="85" t="str">
        <f>IF(Tabla19[[#This Row],[Comp4]]="","",
IF(IF(Tabla19[[#This Row],[Comp4]]=0,0,1)*$D208-Tabla19[[#This Row],[Asign4]]=0,0,Tabla19[[#This Row],[Comp4]]))</f>
        <v/>
      </c>
      <c r="S208" s="85" t="str">
        <f>IF(Tabla19[[#This Row],[Comp5]]="","",
IF(IF(Tabla19[[#This Row],[Comp5]]=0,0,1)*$D208-Tabla19[[#This Row],[Asign5]]=0,0,Tabla19[[#This Row],[Comp5]]))</f>
        <v/>
      </c>
    </row>
    <row r="209" spans="5:19" x14ac:dyDescent="0.3">
      <c r="E209" s="99" t="str">
        <f>IF($A209="","",INDEX(ListadoProductos[],MATCH('2.C_Datos'!$C209,ListadoProductos[Productos],0),MATCH('2.C_Datos'!E$3,ListadoProductos[#Headers],0)))</f>
        <v/>
      </c>
      <c r="F209" s="99" t="str">
        <f>IF($A209="","",INDEX(ListadoProductos[],MATCH('2.C_Datos'!$C209,ListadoProductos[Productos],0),MATCH('2.C_Datos'!F$3,ListadoProductos[#Headers],0)))</f>
        <v/>
      </c>
      <c r="G209" s="99" t="str">
        <f>IF($A209="","",INDEX(ListadoProductos[],MATCH('2.C_Datos'!$C209,ListadoProductos[Productos],0),MATCH('2.C_Datos'!G$3,ListadoProductos[#Headers],0)))</f>
        <v/>
      </c>
      <c r="H209" s="99" t="str">
        <f>IF($A209="","",INDEX(ListadoProductos[],MATCH('2.C_Datos'!$C209,ListadoProductos[Productos],0),MATCH('2.C_Datos'!H$3,ListadoProductos[#Headers],0)))</f>
        <v/>
      </c>
      <c r="I209" s="99" t="str">
        <f>IF($A209="","",INDEX(ListadoProductos[],MATCH('2.C_Datos'!$C209,ListadoProductos[Productos],0),MATCH('2.C_Datos'!I$3,ListadoProductos[#Headers],0)))</f>
        <v/>
      </c>
      <c r="J209" s="99" t="str">
        <f>IF(Tabla19[[#This Row],[Comp1]]="","",COUNTIFS(TablaMaq1[Componente],Tabla19[[#This Row],[Comp1]],TablaMaq1[ID_Pedido],'2.C_Datos'!A209)+
COUNTIFS(TablaMaq2[Componente],Tabla19[[#This Row],[Comp1]],TablaMaq2[ID_Pedido],'2.C_Datos'!A209)+
COUNTIFS(TablaMaq3[Componente],Tabla19[[#This Row],[Comp1]],TablaMaq3[ID_Pedido],'2.C_Datos'!A209)+
COUNTIFS(TablaMaq4[Componente],Tabla19[[#This Row],[Comp1]],TablaMaq4[ID_Pedido],'2.C_Datos'!A209))</f>
        <v/>
      </c>
      <c r="K209" s="99" t="str">
        <f>IF(Tabla19[[#This Row],[Comp2]]="","",COUNTIFS(TablaMaq1[Componente],Tabla19[[#This Row],[Comp2]],TablaMaq1[ID_Pedido],'2.C_Datos'!A209)+
COUNTIFS(TablaMaq2[Componente],Tabla19[[#This Row],[Comp2]],TablaMaq2[ID_Pedido],'2.C_Datos'!A209)+
COUNTIFS(TablaMaq3[Componente],Tabla19[[#This Row],[Comp2]],TablaMaq3[ID_Pedido],'2.C_Datos'!A209)+
COUNTIFS(TablaMaq4[Componente],Tabla19[[#This Row],[Comp2]],TablaMaq4[ID_Pedido],'2.C_Datos'!A209))</f>
        <v/>
      </c>
      <c r="L209" s="99" t="str">
        <f>IF(Tabla19[[#This Row],[Comp3]]="","",COUNTIFS(TablaMaq1[Componente],Tabla19[[#This Row],[Comp3]],TablaMaq1[ID_Pedido],'2.C_Datos'!A209)+
COUNTIFS(TablaMaq2[Componente],Tabla19[[#This Row],[Comp3]],TablaMaq2[ID_Pedido],'2.C_Datos'!A209)+
COUNTIFS(TablaMaq3[Componente],Tabla19[[#This Row],[Comp3]],TablaMaq3[ID_Pedido],'2.C_Datos'!A209)+
COUNTIFS(TablaMaq4[Componente],Tabla19[[#This Row],[Comp3]],TablaMaq4[ID_Pedido],'2.C_Datos'!A209))</f>
        <v/>
      </c>
      <c r="M209" s="99" t="str">
        <f>IF(Tabla19[[#This Row],[Comp4]]="","",COUNTIFS(TablaMaq1[Componente],Tabla19[[#This Row],[Comp4]],TablaMaq1[ID_Pedido],'2.C_Datos'!A209)+
COUNTIFS(TablaMaq2[Componente],Tabla19[[#This Row],[Comp4]],TablaMaq2[ID_Pedido],'2.C_Datos'!A209)+
COUNTIFS(TablaMaq3[Componente],Tabla19[[#This Row],[Comp4]],TablaMaq3[ID_Pedido],'2.C_Datos'!A209)+
COUNTIFS(TablaMaq4[Componente],Tabla19[[#This Row],[Comp4]],TablaMaq4[ID_Pedido],'2.C_Datos'!A209))</f>
        <v/>
      </c>
      <c r="N209" s="99" t="str">
        <f>IF(Tabla19[[#This Row],[Comp5]]="","",COUNTIFS(TablaMaq1[Componente],Tabla19[[#This Row],[Comp5]],TablaMaq1[ID_Pedido],'2.C_Datos'!A209)+
COUNTIFS(TablaMaq1[Componente],Tabla19[[#This Row],[Comp5]],TablaMaq2[ID_Pedido],'2.C_Datos'!A209)+
COUNTIFS(TablaMaq1[Componente],Tabla19[[#This Row],[Comp5]],TablaMaq3[ID_Pedido],'2.C_Datos'!A209)+
COUNTIFS(TablaMaq1[Componente],Tabla19[[#This Row],[Comp5]],TablaMaq4[ID_Pedido],'2.C_Datos'!A209))</f>
        <v/>
      </c>
      <c r="O209" s="85" t="str">
        <f>IF(Tabla19[[#This Row],[Comp1]]="","",
IF(IF(Tabla19[[#This Row],[Comp1]]=0,0,1)*$D209-Tabla19[[#This Row],[Asign1]]=0,0,Tabla19[[#This Row],[Comp1]]))</f>
        <v/>
      </c>
      <c r="P209" s="85" t="str">
        <f>IF(Tabla19[[#This Row],[Comp2]]="","",
IF(IF(Tabla19[[#This Row],[Comp2]]=0,0,1)*$D209-Tabla19[[#This Row],[Asign2]]=0,0,Tabla19[[#This Row],[Comp2]]))</f>
        <v/>
      </c>
      <c r="Q209" s="85" t="str">
        <f>IF(Tabla19[[#This Row],[Comp3]]="","",
IF(IF(Tabla19[[#This Row],[Comp3]]=0,0,1)*$D209-Tabla19[[#This Row],[Asign3]]=0,0,Tabla19[[#This Row],[Comp3]]))</f>
        <v/>
      </c>
      <c r="R209" s="85" t="str">
        <f>IF(Tabla19[[#This Row],[Comp4]]="","",
IF(IF(Tabla19[[#This Row],[Comp4]]=0,0,1)*$D209-Tabla19[[#This Row],[Asign4]]=0,0,Tabla19[[#This Row],[Comp4]]))</f>
        <v/>
      </c>
      <c r="S209" s="85" t="str">
        <f>IF(Tabla19[[#This Row],[Comp5]]="","",
IF(IF(Tabla19[[#This Row],[Comp5]]=0,0,1)*$D209-Tabla19[[#This Row],[Asign5]]=0,0,Tabla19[[#This Row],[Comp5]]))</f>
        <v/>
      </c>
    </row>
    <row r="210" spans="5:19" x14ac:dyDescent="0.3">
      <c r="E210" s="99" t="str">
        <f>IF($A210="","",INDEX(ListadoProductos[],MATCH('2.C_Datos'!$C210,ListadoProductos[Productos],0),MATCH('2.C_Datos'!E$3,ListadoProductos[#Headers],0)))</f>
        <v/>
      </c>
      <c r="F210" s="99" t="str">
        <f>IF($A210="","",INDEX(ListadoProductos[],MATCH('2.C_Datos'!$C210,ListadoProductos[Productos],0),MATCH('2.C_Datos'!F$3,ListadoProductos[#Headers],0)))</f>
        <v/>
      </c>
      <c r="G210" s="99" t="str">
        <f>IF($A210="","",INDEX(ListadoProductos[],MATCH('2.C_Datos'!$C210,ListadoProductos[Productos],0),MATCH('2.C_Datos'!G$3,ListadoProductos[#Headers],0)))</f>
        <v/>
      </c>
      <c r="H210" s="99" t="str">
        <f>IF($A210="","",INDEX(ListadoProductos[],MATCH('2.C_Datos'!$C210,ListadoProductos[Productos],0),MATCH('2.C_Datos'!H$3,ListadoProductos[#Headers],0)))</f>
        <v/>
      </c>
      <c r="I210" s="99" t="str">
        <f>IF($A210="","",INDEX(ListadoProductos[],MATCH('2.C_Datos'!$C210,ListadoProductos[Productos],0),MATCH('2.C_Datos'!I$3,ListadoProductos[#Headers],0)))</f>
        <v/>
      </c>
      <c r="J210" s="99" t="str">
        <f>IF(Tabla19[[#This Row],[Comp1]]="","",COUNTIFS(TablaMaq1[Componente],Tabla19[[#This Row],[Comp1]],TablaMaq1[ID_Pedido],'2.C_Datos'!A210)+
COUNTIFS(TablaMaq2[Componente],Tabla19[[#This Row],[Comp1]],TablaMaq2[ID_Pedido],'2.C_Datos'!A210)+
COUNTIFS(TablaMaq3[Componente],Tabla19[[#This Row],[Comp1]],TablaMaq3[ID_Pedido],'2.C_Datos'!A210)+
COUNTIFS(TablaMaq4[Componente],Tabla19[[#This Row],[Comp1]],TablaMaq4[ID_Pedido],'2.C_Datos'!A210))</f>
        <v/>
      </c>
      <c r="K210" s="99" t="str">
        <f>IF(Tabla19[[#This Row],[Comp2]]="","",COUNTIFS(TablaMaq1[Componente],Tabla19[[#This Row],[Comp2]],TablaMaq1[ID_Pedido],'2.C_Datos'!A210)+
COUNTIFS(TablaMaq2[Componente],Tabla19[[#This Row],[Comp2]],TablaMaq2[ID_Pedido],'2.C_Datos'!A210)+
COUNTIFS(TablaMaq3[Componente],Tabla19[[#This Row],[Comp2]],TablaMaq3[ID_Pedido],'2.C_Datos'!A210)+
COUNTIFS(TablaMaq4[Componente],Tabla19[[#This Row],[Comp2]],TablaMaq4[ID_Pedido],'2.C_Datos'!A210))</f>
        <v/>
      </c>
      <c r="L210" s="99" t="str">
        <f>IF(Tabla19[[#This Row],[Comp3]]="","",COUNTIFS(TablaMaq1[Componente],Tabla19[[#This Row],[Comp3]],TablaMaq1[ID_Pedido],'2.C_Datos'!A210)+
COUNTIFS(TablaMaq2[Componente],Tabla19[[#This Row],[Comp3]],TablaMaq2[ID_Pedido],'2.C_Datos'!A210)+
COUNTIFS(TablaMaq3[Componente],Tabla19[[#This Row],[Comp3]],TablaMaq3[ID_Pedido],'2.C_Datos'!A210)+
COUNTIFS(TablaMaq4[Componente],Tabla19[[#This Row],[Comp3]],TablaMaq4[ID_Pedido],'2.C_Datos'!A210))</f>
        <v/>
      </c>
      <c r="M210" s="99" t="str">
        <f>IF(Tabla19[[#This Row],[Comp4]]="","",COUNTIFS(TablaMaq1[Componente],Tabla19[[#This Row],[Comp4]],TablaMaq1[ID_Pedido],'2.C_Datos'!A210)+
COUNTIFS(TablaMaq2[Componente],Tabla19[[#This Row],[Comp4]],TablaMaq2[ID_Pedido],'2.C_Datos'!A210)+
COUNTIFS(TablaMaq3[Componente],Tabla19[[#This Row],[Comp4]],TablaMaq3[ID_Pedido],'2.C_Datos'!A210)+
COUNTIFS(TablaMaq4[Componente],Tabla19[[#This Row],[Comp4]],TablaMaq4[ID_Pedido],'2.C_Datos'!A210))</f>
        <v/>
      </c>
      <c r="N210" s="99" t="str">
        <f>IF(Tabla19[[#This Row],[Comp5]]="","",COUNTIFS(TablaMaq1[Componente],Tabla19[[#This Row],[Comp5]],TablaMaq1[ID_Pedido],'2.C_Datos'!A210)+
COUNTIFS(TablaMaq1[Componente],Tabla19[[#This Row],[Comp5]],TablaMaq2[ID_Pedido],'2.C_Datos'!A210)+
COUNTIFS(TablaMaq1[Componente],Tabla19[[#This Row],[Comp5]],TablaMaq3[ID_Pedido],'2.C_Datos'!A210)+
COUNTIFS(TablaMaq1[Componente],Tabla19[[#This Row],[Comp5]],TablaMaq4[ID_Pedido],'2.C_Datos'!A210))</f>
        <v/>
      </c>
      <c r="O210" s="85" t="str">
        <f>IF(Tabla19[[#This Row],[Comp1]]="","",
IF(IF(Tabla19[[#This Row],[Comp1]]=0,0,1)*$D210-Tabla19[[#This Row],[Asign1]]=0,0,Tabla19[[#This Row],[Comp1]]))</f>
        <v/>
      </c>
      <c r="P210" s="85" t="str">
        <f>IF(Tabla19[[#This Row],[Comp2]]="","",
IF(IF(Tabla19[[#This Row],[Comp2]]=0,0,1)*$D210-Tabla19[[#This Row],[Asign2]]=0,0,Tabla19[[#This Row],[Comp2]]))</f>
        <v/>
      </c>
      <c r="Q210" s="85" t="str">
        <f>IF(Tabla19[[#This Row],[Comp3]]="","",
IF(IF(Tabla19[[#This Row],[Comp3]]=0,0,1)*$D210-Tabla19[[#This Row],[Asign3]]=0,0,Tabla19[[#This Row],[Comp3]]))</f>
        <v/>
      </c>
      <c r="R210" s="85" t="str">
        <f>IF(Tabla19[[#This Row],[Comp4]]="","",
IF(IF(Tabla19[[#This Row],[Comp4]]=0,0,1)*$D210-Tabla19[[#This Row],[Asign4]]=0,0,Tabla19[[#This Row],[Comp4]]))</f>
        <v/>
      </c>
      <c r="S210" s="85" t="str">
        <f>IF(Tabla19[[#This Row],[Comp5]]="","",
IF(IF(Tabla19[[#This Row],[Comp5]]=0,0,1)*$D210-Tabla19[[#This Row],[Asign5]]=0,0,Tabla19[[#This Row],[Comp5]]))</f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M208"/>
  <sheetViews>
    <sheetView workbookViewId="0">
      <pane xSplit="10" topLeftCell="K1" activePane="topRight" state="frozen"/>
      <selection pane="topRight" activeCell="V29" sqref="V29"/>
    </sheetView>
  </sheetViews>
  <sheetFormatPr baseColWidth="10" defaultRowHeight="18.75" customHeight="1" x14ac:dyDescent="0.3"/>
  <cols>
    <col min="1" max="1" width="2.5546875" style="17" customWidth="1"/>
    <col min="2" max="2" width="7.44140625" style="17" customWidth="1"/>
    <col min="3" max="3" width="2.88671875" style="17" customWidth="1"/>
    <col min="4" max="8" width="7.44140625" style="17" customWidth="1"/>
    <col min="9" max="9" width="2.5546875" style="17" customWidth="1"/>
    <col min="10" max="10" width="66.33203125" style="17" customWidth="1"/>
    <col min="11" max="11" width="3.44140625" customWidth="1"/>
    <col min="12" max="14" width="13.44140625" customWidth="1"/>
    <col min="15" max="15" width="3.88671875" customWidth="1"/>
    <col min="16" max="16" width="3.44140625" customWidth="1"/>
    <col min="20" max="20" width="3.88671875" customWidth="1"/>
    <col min="21" max="21" width="3.44140625" customWidth="1"/>
    <col min="25" max="25" width="3.88671875" customWidth="1"/>
    <col min="26" max="26" width="3.44140625" customWidth="1"/>
    <col min="30" max="30" width="3.88671875" customWidth="1"/>
  </cols>
  <sheetData>
    <row r="1" spans="1:39" s="62" customFormat="1" ht="34.5" customHeight="1" x14ac:dyDescent="0.3">
      <c r="A1" s="103"/>
      <c r="B1" s="105" t="s">
        <v>139</v>
      </c>
      <c r="C1" s="17"/>
      <c r="D1" s="17"/>
      <c r="E1" s="17"/>
      <c r="F1" s="17"/>
      <c r="G1" s="17"/>
      <c r="H1" s="17"/>
      <c r="I1" s="103"/>
      <c r="J1" s="104"/>
      <c r="Q1" s="61"/>
      <c r="X1" s="61"/>
      <c r="AM1" s="61"/>
    </row>
    <row r="2" spans="1:39" ht="21" x14ac:dyDescent="0.4">
      <c r="B2" s="17" t="str" cm="1">
        <f t="array" ref="B2:B8">Registro_Pedidos[ID_Pedido]</f>
        <v>PD_1</v>
      </c>
      <c r="C2" s="107" cm="1">
        <f t="array" ref="C2:C8">Registro_Pedidos[Cantidad]</f>
        <v>1</v>
      </c>
      <c r="D2" s="106" cm="1">
        <f t="array" ref="D2:D208">Tabla19[Pend1]</f>
        <v>0</v>
      </c>
      <c r="E2" s="106" cm="1">
        <f t="array" ref="E2:E208">Tabla19[Pend2]</f>
        <v>0</v>
      </c>
      <c r="F2" s="106" cm="1">
        <f t="array" ref="F2:F208">Tabla19[Pend3]</f>
        <v>0</v>
      </c>
      <c r="G2" s="106" cm="1">
        <f t="array" ref="G2:G208">Tabla19[Pend4]</f>
        <v>0</v>
      </c>
      <c r="H2" s="106" cm="1">
        <f t="array" ref="H2:H208">Tabla19[Pend5]</f>
        <v>0</v>
      </c>
      <c r="L2" s="59" t="s">
        <v>58</v>
      </c>
      <c r="M2" s="59"/>
      <c r="N2" s="59"/>
      <c r="O2" s="59"/>
      <c r="Q2" s="59" t="s">
        <v>54</v>
      </c>
      <c r="R2" s="59"/>
      <c r="S2" s="59"/>
      <c r="T2" s="59"/>
      <c r="V2" s="59" t="s">
        <v>51</v>
      </c>
      <c r="W2" s="59"/>
      <c r="X2" s="59"/>
      <c r="Y2" s="59"/>
      <c r="AA2" s="59" t="s">
        <v>48</v>
      </c>
      <c r="AB2" s="59"/>
      <c r="AC2" s="59"/>
      <c r="AD2" s="59"/>
    </row>
    <row r="3" spans="1:39" ht="18.75" customHeight="1" x14ac:dyDescent="0.3">
      <c r="B3" s="17" t="str">
        <v>PD_2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L3" t="s">
        <v>76</v>
      </c>
      <c r="M3" t="s">
        <v>74</v>
      </c>
      <c r="N3" t="s">
        <v>104</v>
      </c>
      <c r="O3" t="s">
        <v>108</v>
      </c>
      <c r="Q3" t="s">
        <v>76</v>
      </c>
      <c r="R3" t="s">
        <v>74</v>
      </c>
      <c r="S3" t="s">
        <v>104</v>
      </c>
      <c r="T3" t="s">
        <v>108</v>
      </c>
      <c r="V3" t="s">
        <v>76</v>
      </c>
      <c r="W3" t="s">
        <v>74</v>
      </c>
      <c r="X3" t="s">
        <v>104</v>
      </c>
      <c r="Y3" t="s">
        <v>108</v>
      </c>
      <c r="AA3" t="s">
        <v>76</v>
      </c>
      <c r="AB3" t="s">
        <v>74</v>
      </c>
      <c r="AC3" t="s">
        <v>104</v>
      </c>
      <c r="AD3" t="s">
        <v>108</v>
      </c>
    </row>
    <row r="4" spans="1:39" ht="18.75" customHeight="1" x14ac:dyDescent="0.3">
      <c r="B4" s="17" t="str">
        <v>PD_3</v>
      </c>
      <c r="C4" s="17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L4" s="20" t="s">
        <v>59</v>
      </c>
      <c r="M4" s="21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>55</v>
      </c>
      <c r="N4" s="30" t="s">
        <v>123</v>
      </c>
      <c r="O4" s="77"/>
      <c r="Q4" s="20" t="s">
        <v>55</v>
      </c>
      <c r="R4" s="21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>40</v>
      </c>
      <c r="S4" s="30" t="s">
        <v>125</v>
      </c>
      <c r="T4" s="77"/>
      <c r="V4" s="20" t="s">
        <v>59</v>
      </c>
      <c r="W4" s="21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>55</v>
      </c>
      <c r="X4" s="30" t="s">
        <v>141</v>
      </c>
      <c r="Y4" s="77"/>
      <c r="AA4" s="20" t="s">
        <v>55</v>
      </c>
      <c r="AB4" s="21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40</v>
      </c>
      <c r="AC4" s="30" t="s">
        <v>141</v>
      </c>
      <c r="AD4" s="77"/>
    </row>
    <row r="5" spans="1:39" ht="18.75" customHeight="1" x14ac:dyDescent="0.3">
      <c r="B5" s="17" t="str">
        <v>PD_4</v>
      </c>
      <c r="C5" s="17">
        <v>1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L5" s="20" t="s">
        <v>55</v>
      </c>
      <c r="M5" s="21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>40</v>
      </c>
      <c r="N5" s="30" t="s">
        <v>123</v>
      </c>
      <c r="O5" s="77"/>
      <c r="Q5" s="20" t="s">
        <v>55</v>
      </c>
      <c r="R5" s="21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>40</v>
      </c>
      <c r="S5" s="30" t="s">
        <v>125</v>
      </c>
      <c r="T5" s="77"/>
      <c r="V5" s="20" t="s">
        <v>59</v>
      </c>
      <c r="W5" s="21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>55</v>
      </c>
      <c r="X5" s="30" t="s">
        <v>141</v>
      </c>
      <c r="Y5" s="77"/>
      <c r="AA5" s="20" t="s">
        <v>55</v>
      </c>
      <c r="AB5" s="21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40</v>
      </c>
      <c r="AC5" s="30" t="s">
        <v>141</v>
      </c>
      <c r="AD5" s="77"/>
    </row>
    <row r="6" spans="1:39" ht="18.75" customHeight="1" x14ac:dyDescent="0.3">
      <c r="B6" s="17" t="str">
        <v>PD_5</v>
      </c>
      <c r="C6" s="17">
        <v>1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L6" s="20" t="s">
        <v>53</v>
      </c>
      <c r="M6" s="21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>45</v>
      </c>
      <c r="N6" s="30" t="s">
        <v>123</v>
      </c>
      <c r="O6" s="77"/>
      <c r="Q6" s="20" t="s">
        <v>50</v>
      </c>
      <c r="R6" s="21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>60</v>
      </c>
      <c r="S6" s="30" t="s">
        <v>125</v>
      </c>
      <c r="T6" s="77"/>
      <c r="V6" s="20" t="s">
        <v>59</v>
      </c>
      <c r="W6" s="21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>55</v>
      </c>
      <c r="X6" s="30" t="s">
        <v>141</v>
      </c>
      <c r="Y6" s="77"/>
      <c r="AA6" s="20" t="s">
        <v>55</v>
      </c>
      <c r="AB6" s="21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40</v>
      </c>
      <c r="AC6" s="30" t="s">
        <v>141</v>
      </c>
      <c r="AD6" s="77"/>
    </row>
    <row r="7" spans="1:39" ht="18.75" customHeight="1" x14ac:dyDescent="0.3">
      <c r="B7" s="17" t="str">
        <v>PD_6</v>
      </c>
      <c r="C7" s="17">
        <v>5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L7" s="20" t="s">
        <v>53</v>
      </c>
      <c r="M7" s="21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>45</v>
      </c>
      <c r="N7" s="30" t="s">
        <v>141</v>
      </c>
      <c r="O7" s="77"/>
      <c r="Q7" s="20" t="s">
        <v>50</v>
      </c>
      <c r="R7" s="21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>60</v>
      </c>
      <c r="S7" s="30" t="s">
        <v>125</v>
      </c>
      <c r="T7" s="77"/>
      <c r="V7" s="20" t="s">
        <v>59</v>
      </c>
      <c r="W7" s="21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>55</v>
      </c>
      <c r="X7" s="30" t="s">
        <v>141</v>
      </c>
      <c r="Y7" s="77"/>
      <c r="AA7" s="20" t="s">
        <v>55</v>
      </c>
      <c r="AB7" s="21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40</v>
      </c>
      <c r="AC7" s="30" t="s">
        <v>141</v>
      </c>
      <c r="AD7" s="77"/>
    </row>
    <row r="8" spans="1:39" ht="18.75" customHeight="1" x14ac:dyDescent="0.3">
      <c r="B8" s="17" t="str">
        <v>PD_7</v>
      </c>
      <c r="C8" s="17">
        <v>5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L8" s="20" t="s">
        <v>53</v>
      </c>
      <c r="M8" s="57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>45</v>
      </c>
      <c r="N8" s="30" t="s">
        <v>141</v>
      </c>
      <c r="O8" s="77"/>
      <c r="Q8" s="20" t="s">
        <v>59</v>
      </c>
      <c r="R8" s="57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>55</v>
      </c>
      <c r="S8" s="30" t="s">
        <v>124</v>
      </c>
      <c r="T8" s="77"/>
      <c r="V8" s="20" t="s">
        <v>59</v>
      </c>
      <c r="W8" s="57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>55</v>
      </c>
      <c r="X8" s="30" t="s">
        <v>141</v>
      </c>
      <c r="Y8" s="77"/>
      <c r="AA8" s="20" t="s">
        <v>55</v>
      </c>
      <c r="AB8" s="57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40</v>
      </c>
      <c r="AC8" s="30" t="s">
        <v>141</v>
      </c>
      <c r="AD8" s="77"/>
    </row>
    <row r="9" spans="1:39" s="26" customFormat="1" ht="18.75" customHeight="1" x14ac:dyDescent="0.3">
      <c r="A9" s="17"/>
      <c r="B9" s="17"/>
      <c r="C9" s="17"/>
      <c r="D9" s="17" t="str">
        <v/>
      </c>
      <c r="E9" s="17" t="str">
        <v/>
      </c>
      <c r="F9" s="17" t="str">
        <v/>
      </c>
      <c r="G9" s="17" t="str">
        <v/>
      </c>
      <c r="H9" s="17" t="str">
        <v/>
      </c>
      <c r="I9" s="17"/>
      <c r="J9" s="17"/>
      <c r="L9" s="20" t="s">
        <v>53</v>
      </c>
      <c r="M9" s="57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>45</v>
      </c>
      <c r="N9" s="30" t="s">
        <v>141</v>
      </c>
      <c r="O9" s="77"/>
      <c r="Q9" s="58" t="s">
        <v>55</v>
      </c>
      <c r="R9" s="57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>40</v>
      </c>
      <c r="S9" s="30" t="s">
        <v>124</v>
      </c>
      <c r="T9" s="77"/>
      <c r="V9" s="58" t="s">
        <v>55</v>
      </c>
      <c r="W9" s="57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>40</v>
      </c>
      <c r="X9" s="30" t="s">
        <v>140</v>
      </c>
      <c r="Y9" s="77"/>
      <c r="AA9" s="58" t="s">
        <v>59</v>
      </c>
      <c r="AB9" s="57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55</v>
      </c>
      <c r="AC9" s="30" t="s">
        <v>143</v>
      </c>
      <c r="AD9" s="77"/>
    </row>
    <row r="10" spans="1:39" s="26" customFormat="1" ht="18.75" customHeight="1" x14ac:dyDescent="0.3">
      <c r="A10" s="17"/>
      <c r="B10" s="17"/>
      <c r="C10" s="17"/>
      <c r="D10" s="17" t="str">
        <v/>
      </c>
      <c r="E10" s="17" t="str">
        <v/>
      </c>
      <c r="F10" s="17" t="str">
        <v/>
      </c>
      <c r="G10" s="17" t="str">
        <v/>
      </c>
      <c r="H10" s="17" t="str">
        <v/>
      </c>
      <c r="I10" s="17"/>
      <c r="J10" s="17"/>
      <c r="L10" s="20" t="s">
        <v>53</v>
      </c>
      <c r="M10" s="57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>45</v>
      </c>
      <c r="N10" s="30" t="s">
        <v>141</v>
      </c>
      <c r="O10" s="77"/>
      <c r="Q10" s="58" t="s">
        <v>53</v>
      </c>
      <c r="R10" s="57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>45</v>
      </c>
      <c r="S10" s="30" t="s">
        <v>124</v>
      </c>
      <c r="T10" s="77"/>
      <c r="V10" s="58" t="s">
        <v>50</v>
      </c>
      <c r="W10" s="57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>60</v>
      </c>
      <c r="X10" s="30" t="s">
        <v>140</v>
      </c>
      <c r="Y10" s="77"/>
      <c r="AA10" s="58" t="s">
        <v>55</v>
      </c>
      <c r="AB10" s="57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40</v>
      </c>
      <c r="AC10" s="30" t="s">
        <v>143</v>
      </c>
      <c r="AD10" s="77"/>
    </row>
    <row r="11" spans="1:39" s="26" customFormat="1" ht="18.75" customHeight="1" x14ac:dyDescent="0.3">
      <c r="A11" s="17"/>
      <c r="B11" s="17"/>
      <c r="C11" s="17"/>
      <c r="D11" s="17" t="str">
        <v/>
      </c>
      <c r="E11" s="17" t="str">
        <v/>
      </c>
      <c r="F11" s="17" t="str">
        <v/>
      </c>
      <c r="G11" s="17" t="str">
        <v/>
      </c>
      <c r="H11" s="17" t="str">
        <v/>
      </c>
      <c r="I11" s="17"/>
      <c r="J11" s="17"/>
      <c r="L11" s="20" t="s">
        <v>53</v>
      </c>
      <c r="M11" s="57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>45</v>
      </c>
      <c r="N11" s="30" t="s">
        <v>141</v>
      </c>
      <c r="O11" s="77"/>
      <c r="Q11" s="58" t="s">
        <v>55</v>
      </c>
      <c r="R11" s="57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>40</v>
      </c>
      <c r="S11" s="30" t="s">
        <v>142</v>
      </c>
      <c r="T11" s="77"/>
      <c r="V11" s="58" t="s">
        <v>55</v>
      </c>
      <c r="W11" s="57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>40</v>
      </c>
      <c r="X11" s="30" t="s">
        <v>142</v>
      </c>
      <c r="Y11" s="77"/>
      <c r="AA11" s="58" t="s">
        <v>53</v>
      </c>
      <c r="AB11" s="57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45</v>
      </c>
      <c r="AC11" s="30" t="s">
        <v>143</v>
      </c>
      <c r="AD11" s="77"/>
    </row>
    <row r="12" spans="1:39" s="26" customFormat="1" ht="18.75" customHeight="1" x14ac:dyDescent="0.3">
      <c r="A12" s="17"/>
      <c r="B12" s="17"/>
      <c r="C12" s="17"/>
      <c r="D12" s="17" t="str">
        <v/>
      </c>
      <c r="E12" s="17" t="str">
        <v/>
      </c>
      <c r="F12" s="17" t="str">
        <v/>
      </c>
      <c r="G12" s="17" t="str">
        <v/>
      </c>
      <c r="H12" s="17" t="str">
        <v/>
      </c>
      <c r="I12" s="17"/>
      <c r="J12" s="17"/>
      <c r="L12" s="56" t="s">
        <v>50</v>
      </c>
      <c r="M12" s="57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>60</v>
      </c>
      <c r="N12" s="30" t="s">
        <v>142</v>
      </c>
      <c r="O12" s="77"/>
      <c r="Q12" s="58" t="s">
        <v>55</v>
      </c>
      <c r="R12" s="57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>40</v>
      </c>
      <c r="S12" s="30" t="s">
        <v>142</v>
      </c>
      <c r="T12" s="77"/>
      <c r="V12" s="58" t="s">
        <v>55</v>
      </c>
      <c r="W12" s="57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>40</v>
      </c>
      <c r="X12" s="30" t="s">
        <v>142</v>
      </c>
      <c r="Y12" s="77"/>
      <c r="AA12" s="58" t="s">
        <v>50</v>
      </c>
      <c r="AB12" s="57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60</v>
      </c>
      <c r="AC12" s="30" t="s">
        <v>142</v>
      </c>
      <c r="AD12" s="77"/>
    </row>
    <row r="13" spans="1:39" s="26" customFormat="1" ht="18.75" customHeight="1" x14ac:dyDescent="0.3">
      <c r="A13" s="17"/>
      <c r="B13" s="17"/>
      <c r="C13" s="17"/>
      <c r="D13" s="17" t="str">
        <v/>
      </c>
      <c r="E13" s="17" t="str">
        <v/>
      </c>
      <c r="F13" s="17" t="str">
        <v/>
      </c>
      <c r="G13" s="17" t="str">
        <v/>
      </c>
      <c r="H13" s="17" t="str">
        <v/>
      </c>
      <c r="I13" s="17"/>
      <c r="J13" s="17"/>
      <c r="L13" s="56" t="s">
        <v>50</v>
      </c>
      <c r="M13" s="57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>60</v>
      </c>
      <c r="N13" s="30" t="s">
        <v>142</v>
      </c>
      <c r="O13" s="77"/>
      <c r="Q13" s="58" t="s">
        <v>55</v>
      </c>
      <c r="R13" s="57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>40</v>
      </c>
      <c r="S13" s="30" t="s">
        <v>142</v>
      </c>
      <c r="T13" s="77"/>
      <c r="V13" s="58"/>
      <c r="W13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13" s="30"/>
      <c r="Y13" s="77"/>
      <c r="AA13" s="58" t="s">
        <v>50</v>
      </c>
      <c r="AB13" s="57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60</v>
      </c>
      <c r="AC13" s="30" t="s">
        <v>142</v>
      </c>
      <c r="AD13" s="77"/>
    </row>
    <row r="14" spans="1:39" s="26" customFormat="1" ht="18.75" customHeight="1" x14ac:dyDescent="0.3">
      <c r="A14" s="17"/>
      <c r="B14" s="17"/>
      <c r="C14" s="17"/>
      <c r="D14" s="17" t="str">
        <v/>
      </c>
      <c r="E14" s="17" t="str">
        <v/>
      </c>
      <c r="F14" s="17" t="str">
        <v/>
      </c>
      <c r="G14" s="17" t="str">
        <v/>
      </c>
      <c r="H14" s="17" t="str">
        <v/>
      </c>
      <c r="I14" s="17"/>
      <c r="J14" s="17"/>
      <c r="L14" s="56"/>
      <c r="M14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14" s="30"/>
      <c r="O14" s="77"/>
      <c r="Q14" s="58"/>
      <c r="R14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14" s="30"/>
      <c r="T14" s="77"/>
      <c r="V14" s="58"/>
      <c r="W14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14" s="30"/>
      <c r="Y14" s="77"/>
      <c r="AA14" s="58" t="s">
        <v>50</v>
      </c>
      <c r="AB14" s="57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>60</v>
      </c>
      <c r="AC14" s="30" t="s">
        <v>142</v>
      </c>
      <c r="AD14" s="77"/>
    </row>
    <row r="15" spans="1:39" s="26" customFormat="1" ht="18.75" customHeight="1" x14ac:dyDescent="0.3">
      <c r="A15" s="17"/>
      <c r="B15" s="17"/>
      <c r="C15" s="17"/>
      <c r="D15" s="17" t="str">
        <v/>
      </c>
      <c r="E15" s="17" t="str">
        <v/>
      </c>
      <c r="F15" s="17" t="str">
        <v/>
      </c>
      <c r="G15" s="17" t="str">
        <v/>
      </c>
      <c r="H15" s="17" t="str">
        <v/>
      </c>
      <c r="I15" s="17"/>
      <c r="J15" s="17"/>
      <c r="L15" s="56"/>
      <c r="M15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15" s="30"/>
      <c r="O15" s="77"/>
      <c r="Q15" s="58"/>
      <c r="R15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15" s="30"/>
      <c r="T15" s="77"/>
      <c r="V15" s="58"/>
      <c r="W15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15" s="30"/>
      <c r="Y15" s="77"/>
      <c r="AA15" s="58"/>
      <c r="AB15" s="57" t="str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/>
      </c>
      <c r="AC15" s="30"/>
      <c r="AD15" s="77"/>
    </row>
    <row r="16" spans="1:39" s="26" customFormat="1" ht="18.75" customHeight="1" x14ac:dyDescent="0.3">
      <c r="A16" s="17"/>
      <c r="B16" s="17"/>
      <c r="C16" s="17"/>
      <c r="D16" s="17" t="str">
        <v/>
      </c>
      <c r="E16" s="17" t="str">
        <v/>
      </c>
      <c r="F16" s="17" t="str">
        <v/>
      </c>
      <c r="G16" s="17" t="str">
        <v/>
      </c>
      <c r="H16" s="17" t="str">
        <v/>
      </c>
      <c r="I16" s="17"/>
      <c r="J16" s="17"/>
      <c r="L16" s="56"/>
      <c r="M16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16" s="30"/>
      <c r="O16" s="77"/>
      <c r="Q16" s="58"/>
      <c r="R16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16" s="30"/>
      <c r="T16" s="77"/>
      <c r="V16" s="58"/>
      <c r="W16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16" s="30"/>
      <c r="Y16" s="77"/>
      <c r="AA16" s="58"/>
      <c r="AB16" s="57" t="str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/>
      </c>
      <c r="AC16" s="30"/>
      <c r="AD16" s="77"/>
    </row>
    <row r="17" spans="1:30" s="26" customFormat="1" ht="18.75" customHeight="1" x14ac:dyDescent="0.3">
      <c r="A17" s="17"/>
      <c r="B17" s="17"/>
      <c r="C17" s="17"/>
      <c r="D17" s="17" t="str">
        <v/>
      </c>
      <c r="E17" s="17" t="str">
        <v/>
      </c>
      <c r="F17" s="17" t="str">
        <v/>
      </c>
      <c r="G17" s="17" t="str">
        <v/>
      </c>
      <c r="H17" s="17" t="str">
        <v/>
      </c>
      <c r="I17" s="17"/>
      <c r="J17" s="17"/>
      <c r="L17" s="56"/>
      <c r="M17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17" s="30"/>
      <c r="O17" s="77"/>
      <c r="Q17" s="58"/>
      <c r="R17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17" s="30"/>
      <c r="T17" s="77"/>
      <c r="V17" s="58"/>
      <c r="W17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17" s="30"/>
      <c r="Y17" s="77"/>
      <c r="AA17" s="58"/>
      <c r="AB17" s="57" t="str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/>
      </c>
      <c r="AC17" s="30"/>
      <c r="AD17" s="77"/>
    </row>
    <row r="18" spans="1:30" s="26" customFormat="1" ht="18.75" customHeight="1" x14ac:dyDescent="0.3">
      <c r="A18" s="17"/>
      <c r="B18" s="17"/>
      <c r="C18" s="17"/>
      <c r="D18" s="17" t="str">
        <v/>
      </c>
      <c r="E18" s="17" t="str">
        <v/>
      </c>
      <c r="F18" s="17" t="str">
        <v/>
      </c>
      <c r="G18" s="17" t="str">
        <v/>
      </c>
      <c r="H18" s="17" t="str">
        <v/>
      </c>
      <c r="I18" s="17"/>
      <c r="J18" s="17"/>
      <c r="L18" s="56"/>
      <c r="M18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18" s="30"/>
      <c r="O18" s="77"/>
      <c r="Q18" s="58"/>
      <c r="R18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18" s="30"/>
      <c r="T18" s="77"/>
      <c r="V18" s="58"/>
      <c r="W18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18" s="30"/>
      <c r="Y18" s="77"/>
      <c r="AA18" s="58"/>
      <c r="AB18" s="57" t="str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/>
      </c>
      <c r="AC18" s="30"/>
      <c r="AD18" s="77"/>
    </row>
    <row r="19" spans="1:30" s="26" customFormat="1" ht="18.75" customHeight="1" x14ac:dyDescent="0.3">
      <c r="A19" s="17"/>
      <c r="B19" s="17"/>
      <c r="C19" s="17"/>
      <c r="D19" s="17" t="str">
        <v/>
      </c>
      <c r="E19" s="17" t="str">
        <v/>
      </c>
      <c r="F19" s="17" t="str">
        <v/>
      </c>
      <c r="G19" s="17" t="str">
        <v/>
      </c>
      <c r="H19" s="17" t="str">
        <v/>
      </c>
      <c r="I19" s="17"/>
      <c r="J19" s="17"/>
      <c r="L19" s="56"/>
      <c r="M19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19" s="30"/>
      <c r="O19" s="77"/>
      <c r="Q19" s="58"/>
      <c r="R19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19" s="30"/>
      <c r="T19" s="77"/>
      <c r="V19" s="58"/>
      <c r="W19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19" s="30"/>
      <c r="Y19" s="77"/>
      <c r="AA19" s="58"/>
      <c r="AB19" s="57" t="str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/>
      </c>
      <c r="AC19" s="30"/>
      <c r="AD19" s="77"/>
    </row>
    <row r="20" spans="1:30" s="26" customFormat="1" ht="18.75" customHeight="1" x14ac:dyDescent="0.3">
      <c r="A20" s="17"/>
      <c r="B20" s="17"/>
      <c r="C20" s="17"/>
      <c r="D20" s="17" t="str">
        <v/>
      </c>
      <c r="E20" s="17" t="str">
        <v/>
      </c>
      <c r="F20" s="17" t="str">
        <v/>
      </c>
      <c r="G20" s="17" t="str">
        <v/>
      </c>
      <c r="H20" s="17" t="str">
        <v/>
      </c>
      <c r="I20" s="17"/>
      <c r="J20" s="17"/>
      <c r="L20" s="56"/>
      <c r="M20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20" s="30"/>
      <c r="O20" s="77"/>
      <c r="Q20" s="58"/>
      <c r="R20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20" s="30"/>
      <c r="T20" s="77"/>
      <c r="V20" s="58"/>
      <c r="W20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20" s="30"/>
      <c r="Y20" s="77"/>
      <c r="AA20" s="58"/>
      <c r="AB20" s="57" t="str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/>
      </c>
      <c r="AC20" s="30"/>
      <c r="AD20" s="77"/>
    </row>
    <row r="21" spans="1:30" s="26" customFormat="1" ht="18.75" customHeight="1" x14ac:dyDescent="0.3">
      <c r="A21" s="17"/>
      <c r="B21" s="17"/>
      <c r="C21" s="17"/>
      <c r="D21" s="17" t="str">
        <v/>
      </c>
      <c r="E21" s="17" t="str">
        <v/>
      </c>
      <c r="F21" s="17" t="str">
        <v/>
      </c>
      <c r="G21" s="17" t="str">
        <v/>
      </c>
      <c r="H21" s="17" t="str">
        <v/>
      </c>
      <c r="I21" s="17"/>
      <c r="J21" s="17"/>
      <c r="L21" s="56"/>
      <c r="M21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21" s="30"/>
      <c r="O21" s="77"/>
      <c r="Q21" s="58"/>
      <c r="R21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21" s="30"/>
      <c r="T21" s="77"/>
      <c r="V21" s="58"/>
      <c r="W21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21" s="30"/>
      <c r="Y21" s="77"/>
      <c r="AA21" s="58"/>
      <c r="AB21" s="57" t="str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/>
      </c>
      <c r="AC21" s="30"/>
      <c r="AD21" s="77"/>
    </row>
    <row r="22" spans="1:30" s="26" customFormat="1" ht="18.75" customHeight="1" x14ac:dyDescent="0.3">
      <c r="A22" s="17"/>
      <c r="B22" s="17"/>
      <c r="C22" s="17"/>
      <c r="D22" s="17" t="str">
        <v/>
      </c>
      <c r="E22" s="17" t="str">
        <v/>
      </c>
      <c r="F22" s="17" t="str">
        <v/>
      </c>
      <c r="G22" s="17" t="str">
        <v/>
      </c>
      <c r="H22" s="17" t="str">
        <v/>
      </c>
      <c r="I22" s="17"/>
      <c r="J22" s="17"/>
      <c r="L22" s="56"/>
      <c r="M22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22" s="30"/>
      <c r="O22" s="77"/>
      <c r="Q22" s="58"/>
      <c r="R22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22" s="30"/>
      <c r="T22" s="77"/>
      <c r="V22" s="58"/>
      <c r="W22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22" s="30"/>
      <c r="Y22" s="77"/>
      <c r="AA22" s="58"/>
      <c r="AB22" s="57" t="str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/>
      </c>
      <c r="AC22" s="30"/>
      <c r="AD22" s="77"/>
    </row>
    <row r="23" spans="1:30" s="26" customFormat="1" ht="18.75" customHeight="1" x14ac:dyDescent="0.3">
      <c r="A23" s="17"/>
      <c r="B23" s="106"/>
      <c r="C23" s="106"/>
      <c r="D23" s="106" t="str">
        <v/>
      </c>
      <c r="E23" s="106" t="str">
        <v/>
      </c>
      <c r="F23" s="106" t="str">
        <v/>
      </c>
      <c r="G23" s="106" t="str">
        <v/>
      </c>
      <c r="H23" s="106" t="str">
        <v/>
      </c>
      <c r="I23" s="17"/>
      <c r="J23" s="17"/>
      <c r="L23" s="56"/>
      <c r="M23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23" s="30"/>
      <c r="O23" s="77"/>
      <c r="Q23" s="58"/>
      <c r="R23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23" s="30"/>
      <c r="T23" s="77"/>
      <c r="V23" s="58"/>
      <c r="W23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23" s="30"/>
      <c r="Y23" s="77"/>
      <c r="AA23" s="58"/>
      <c r="AB23" s="57" t="str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/>
      </c>
      <c r="AC23" s="30"/>
      <c r="AD23" s="77"/>
    </row>
    <row r="24" spans="1:30" s="26" customFormat="1" ht="18.75" customHeight="1" x14ac:dyDescent="0.3">
      <c r="A24" s="17"/>
      <c r="B24" s="106"/>
      <c r="C24" s="106"/>
      <c r="D24" s="106" t="str">
        <v/>
      </c>
      <c r="E24" s="106" t="str">
        <v/>
      </c>
      <c r="F24" s="106" t="str">
        <v/>
      </c>
      <c r="G24" s="106" t="str">
        <v/>
      </c>
      <c r="H24" s="106" t="str">
        <v/>
      </c>
      <c r="I24" s="17"/>
      <c r="J24" s="17"/>
      <c r="L24" s="56"/>
      <c r="M24" s="57" t="str">
        <f>IF(TablaMaq1[[#This Row],[Componente]]="","",
IF(TablaMaq1[[#This Row],[Hecho]]="",
INDEX(ListadoComponentes[],MATCH(TablaMaq1[[#This Row],[Componente]],ListadoComponentes[Componente],0),MATCH(TablaMaq1[[#Headers],[Tiempo prod]],ListadoComponentes[#Headers],
0)),0))</f>
        <v/>
      </c>
      <c r="N24" s="30"/>
      <c r="O24" s="77"/>
      <c r="Q24" s="58"/>
      <c r="R24" s="57" t="str">
        <f>IF(TablaMaq2[[#This Row],[Componente]]="","",
IF(TablaMaq2[[#This Row],[Hecho]]="",
INDEX(ListadoComponentes[],MATCH(TablaMaq2[[#This Row],[Componente]],ListadoComponentes[Componente],0),MATCH(TablaMaq2[[#Headers],[Tiempo prod]],ListadoComponentes[#Headers],
0)),0))</f>
        <v/>
      </c>
      <c r="S24" s="30"/>
      <c r="T24" s="77"/>
      <c r="V24" s="58"/>
      <c r="W24" s="57" t="str">
        <f>IF(TablaMaq3[[#This Row],[Componente]]="","",
IF(TablaMaq3[[#This Row],[Hecho]]="",
INDEX(ListadoComponentes[],MATCH(TablaMaq3[[#This Row],[Componente]],ListadoComponentes[Componente],0),MATCH(TablaMaq3[[#Headers],[Tiempo prod]],ListadoComponentes[#Headers],
0)),0))</f>
        <v/>
      </c>
      <c r="X24" s="30"/>
      <c r="Y24" s="77"/>
      <c r="AA24" s="58"/>
      <c r="AB24" s="57" t="str">
        <f>IF(TablaMaq4[[#This Row],[Componente]]="","",
IF(TablaMaq4[[#This Row],[Hecho]]="",
INDEX(ListadoComponentes[],MATCH(TablaMaq4[[#This Row],[Componente]],ListadoComponentes[Componente],0),MATCH(TablaMaq4[[#Headers],[Tiempo prod]],ListadoComponentes[#Headers],
0)),0))</f>
        <v/>
      </c>
      <c r="AC24" s="30"/>
      <c r="AD24" s="77"/>
    </row>
    <row r="25" spans="1:30" s="26" customFormat="1" ht="18.75" customHeight="1" x14ac:dyDescent="0.3">
      <c r="A25" s="17"/>
      <c r="B25" s="106"/>
      <c r="C25" s="106"/>
      <c r="D25" s="106" t="str">
        <v/>
      </c>
      <c r="E25" s="106" t="str">
        <v/>
      </c>
      <c r="F25" s="106" t="str">
        <v/>
      </c>
      <c r="G25" s="106" t="str">
        <v/>
      </c>
      <c r="H25" s="106" t="str">
        <v/>
      </c>
      <c r="I25" s="17"/>
      <c r="J25" s="17"/>
    </row>
    <row r="26" spans="1:30" s="26" customFormat="1" ht="18.75" customHeight="1" x14ac:dyDescent="0.3">
      <c r="A26" s="17"/>
      <c r="B26" s="106"/>
      <c r="C26" s="106"/>
      <c r="D26" s="106" t="str">
        <v/>
      </c>
      <c r="E26" s="106" t="str">
        <v/>
      </c>
      <c r="F26" s="106" t="str">
        <v/>
      </c>
      <c r="G26" s="106" t="str">
        <v/>
      </c>
      <c r="H26" s="106" t="str">
        <v/>
      </c>
      <c r="I26" s="17"/>
      <c r="J26" s="17"/>
    </row>
    <row r="27" spans="1:30" s="26" customFormat="1" ht="18.75" customHeight="1" x14ac:dyDescent="0.3">
      <c r="A27" s="17"/>
      <c r="B27" s="106"/>
      <c r="C27" s="106"/>
      <c r="D27" s="106" t="str">
        <v/>
      </c>
      <c r="E27" s="106" t="str">
        <v/>
      </c>
      <c r="F27" s="106" t="str">
        <v/>
      </c>
      <c r="G27" s="106" t="str">
        <v/>
      </c>
      <c r="H27" s="106" t="str">
        <v/>
      </c>
      <c r="I27" s="17"/>
      <c r="J27" s="17"/>
    </row>
    <row r="28" spans="1:30" s="26" customFormat="1" ht="18.75" customHeight="1" x14ac:dyDescent="0.3">
      <c r="A28" s="17"/>
      <c r="B28" s="106"/>
      <c r="C28" s="106"/>
      <c r="D28" s="106" t="str">
        <v/>
      </c>
      <c r="E28" s="106" t="str">
        <v/>
      </c>
      <c r="F28" s="106" t="str">
        <v/>
      </c>
      <c r="G28" s="106" t="str">
        <v/>
      </c>
      <c r="H28" s="106" t="str">
        <v/>
      </c>
      <c r="I28" s="17"/>
      <c r="J28" s="17"/>
    </row>
    <row r="29" spans="1:30" s="26" customFormat="1" ht="18.75" customHeight="1" x14ac:dyDescent="0.3">
      <c r="A29" s="17"/>
      <c r="B29" s="17"/>
      <c r="C29" s="17"/>
      <c r="D29" s="17" t="str">
        <v/>
      </c>
      <c r="E29" s="17" t="str">
        <v/>
      </c>
      <c r="F29" s="17" t="str">
        <v/>
      </c>
      <c r="G29" s="17" t="str">
        <v/>
      </c>
      <c r="H29" s="17" t="str">
        <v/>
      </c>
      <c r="I29" s="17"/>
      <c r="J29" s="17"/>
    </row>
    <row r="30" spans="1:30" s="26" customFormat="1" ht="18.75" customHeight="1" x14ac:dyDescent="0.3">
      <c r="A30" s="17"/>
      <c r="B30" s="17"/>
      <c r="C30" s="17"/>
      <c r="D30" s="17" t="str">
        <v/>
      </c>
      <c r="E30" s="17" t="str">
        <v/>
      </c>
      <c r="F30" s="17" t="str">
        <v/>
      </c>
      <c r="G30" s="17" t="str">
        <v/>
      </c>
      <c r="H30" s="17" t="str">
        <v/>
      </c>
      <c r="I30" s="17"/>
      <c r="J30" s="17"/>
    </row>
    <row r="31" spans="1:30" s="26" customFormat="1" ht="18.75" customHeight="1" x14ac:dyDescent="0.3">
      <c r="A31" s="17"/>
      <c r="B31" s="17"/>
      <c r="C31" s="17"/>
      <c r="D31" s="17" t="str">
        <v/>
      </c>
      <c r="E31" s="17" t="str">
        <v/>
      </c>
      <c r="F31" s="17" t="str">
        <v/>
      </c>
      <c r="G31" s="17" t="str">
        <v/>
      </c>
      <c r="H31" s="17" t="str">
        <v/>
      </c>
      <c r="I31" s="17"/>
      <c r="J31" s="17"/>
    </row>
    <row r="32" spans="1:30" s="26" customFormat="1" ht="18.75" customHeight="1" x14ac:dyDescent="0.3">
      <c r="A32" s="17"/>
      <c r="B32" s="17"/>
      <c r="C32" s="17"/>
      <c r="D32" s="17" t="str">
        <v/>
      </c>
      <c r="E32" s="17" t="str">
        <v/>
      </c>
      <c r="F32" s="17" t="str">
        <v/>
      </c>
      <c r="G32" s="17" t="str">
        <v/>
      </c>
      <c r="H32" s="17" t="str">
        <v/>
      </c>
      <c r="I32" s="17"/>
      <c r="J32" s="17"/>
    </row>
    <row r="33" spans="4:8" ht="18.75" customHeight="1" x14ac:dyDescent="0.3">
      <c r="D33" s="17" t="str">
        <v/>
      </c>
      <c r="E33" s="17" t="str">
        <v/>
      </c>
      <c r="F33" s="17" t="str">
        <v/>
      </c>
      <c r="G33" s="17" t="str">
        <v/>
      </c>
      <c r="H33" s="17" t="str">
        <v/>
      </c>
    </row>
    <row r="34" spans="4:8" ht="18.75" customHeight="1" x14ac:dyDescent="0.3">
      <c r="D34" s="17" t="str">
        <v/>
      </c>
      <c r="E34" s="17" t="str">
        <v/>
      </c>
      <c r="F34" s="17" t="str">
        <v/>
      </c>
      <c r="G34" s="17" t="str">
        <v/>
      </c>
      <c r="H34" s="17" t="str">
        <v/>
      </c>
    </row>
    <row r="35" spans="4:8" ht="18.75" customHeight="1" x14ac:dyDescent="0.3">
      <c r="D35" s="17" t="str">
        <v/>
      </c>
      <c r="E35" s="17" t="str">
        <v/>
      </c>
      <c r="F35" s="17" t="str">
        <v/>
      </c>
      <c r="G35" s="17" t="str">
        <v/>
      </c>
      <c r="H35" s="17" t="str">
        <v/>
      </c>
    </row>
    <row r="36" spans="4:8" ht="18.75" customHeight="1" x14ac:dyDescent="0.3">
      <c r="D36" s="17" t="str">
        <v/>
      </c>
      <c r="E36" s="17" t="str">
        <v/>
      </c>
      <c r="F36" s="17" t="str">
        <v/>
      </c>
      <c r="G36" s="17" t="str">
        <v/>
      </c>
      <c r="H36" s="17" t="str">
        <v/>
      </c>
    </row>
    <row r="37" spans="4:8" ht="18.75" customHeight="1" x14ac:dyDescent="0.3">
      <c r="D37" s="17" t="str">
        <v/>
      </c>
      <c r="E37" s="17" t="str">
        <v/>
      </c>
      <c r="F37" s="17" t="str">
        <v/>
      </c>
      <c r="G37" s="17" t="str">
        <v/>
      </c>
      <c r="H37" s="17" t="str">
        <v/>
      </c>
    </row>
    <row r="38" spans="4:8" ht="18.75" customHeight="1" x14ac:dyDescent="0.3">
      <c r="D38" s="17" t="str">
        <v/>
      </c>
      <c r="E38" s="17" t="str">
        <v/>
      </c>
      <c r="F38" s="17" t="str">
        <v/>
      </c>
      <c r="G38" s="17" t="str">
        <v/>
      </c>
      <c r="H38" s="17" t="str">
        <v/>
      </c>
    </row>
    <row r="39" spans="4:8" ht="18.75" customHeight="1" x14ac:dyDescent="0.3">
      <c r="D39" s="17" t="str">
        <v/>
      </c>
      <c r="E39" s="17" t="str">
        <v/>
      </c>
      <c r="F39" s="17" t="str">
        <v/>
      </c>
      <c r="G39" s="17" t="str">
        <v/>
      </c>
      <c r="H39" s="17" t="str">
        <v/>
      </c>
    </row>
    <row r="40" spans="4:8" ht="18.75" customHeight="1" x14ac:dyDescent="0.3">
      <c r="D40" s="17" t="str">
        <v/>
      </c>
      <c r="E40" s="17" t="str">
        <v/>
      </c>
      <c r="F40" s="17" t="str">
        <v/>
      </c>
      <c r="G40" s="17" t="str">
        <v/>
      </c>
      <c r="H40" s="17" t="str">
        <v/>
      </c>
    </row>
    <row r="41" spans="4:8" ht="18.75" customHeight="1" x14ac:dyDescent="0.3">
      <c r="D41" s="17" t="str">
        <v/>
      </c>
      <c r="E41" s="17" t="str">
        <v/>
      </c>
      <c r="F41" s="17" t="str">
        <v/>
      </c>
      <c r="G41" s="17" t="str">
        <v/>
      </c>
      <c r="H41" s="17" t="str">
        <v/>
      </c>
    </row>
    <row r="42" spans="4:8" ht="18.75" customHeight="1" x14ac:dyDescent="0.3">
      <c r="D42" s="17" t="str">
        <v/>
      </c>
      <c r="E42" s="17" t="str">
        <v/>
      </c>
      <c r="F42" s="17" t="str">
        <v/>
      </c>
      <c r="G42" s="17" t="str">
        <v/>
      </c>
      <c r="H42" s="17" t="str">
        <v/>
      </c>
    </row>
    <row r="43" spans="4:8" ht="18.75" customHeight="1" x14ac:dyDescent="0.3">
      <c r="D43" s="17" t="str">
        <v/>
      </c>
      <c r="E43" s="17" t="str">
        <v/>
      </c>
      <c r="F43" s="17" t="str">
        <v/>
      </c>
      <c r="G43" s="17" t="str">
        <v/>
      </c>
      <c r="H43" s="17" t="str">
        <v/>
      </c>
    </row>
    <row r="44" spans="4:8" ht="18.75" customHeight="1" x14ac:dyDescent="0.3">
      <c r="D44" s="17" t="str">
        <v/>
      </c>
      <c r="E44" s="17" t="str">
        <v/>
      </c>
      <c r="F44" s="17" t="str">
        <v/>
      </c>
      <c r="G44" s="17" t="str">
        <v/>
      </c>
      <c r="H44" s="17" t="str">
        <v/>
      </c>
    </row>
    <row r="45" spans="4:8" ht="18.75" customHeight="1" x14ac:dyDescent="0.3">
      <c r="D45" s="17" t="str">
        <v/>
      </c>
      <c r="E45" s="17" t="str">
        <v/>
      </c>
      <c r="F45" s="17" t="str">
        <v/>
      </c>
      <c r="G45" s="17" t="str">
        <v/>
      </c>
      <c r="H45" s="17" t="str">
        <v/>
      </c>
    </row>
    <row r="46" spans="4:8" ht="18.75" customHeight="1" x14ac:dyDescent="0.3">
      <c r="D46" s="17" t="str">
        <v/>
      </c>
      <c r="E46" s="17" t="str">
        <v/>
      </c>
      <c r="F46" s="17" t="str">
        <v/>
      </c>
      <c r="G46" s="17" t="str">
        <v/>
      </c>
      <c r="H46" s="17" t="str">
        <v/>
      </c>
    </row>
    <row r="47" spans="4:8" ht="18.75" customHeight="1" x14ac:dyDescent="0.3">
      <c r="D47" s="17" t="str">
        <v/>
      </c>
      <c r="E47" s="17" t="str">
        <v/>
      </c>
      <c r="F47" s="17" t="str">
        <v/>
      </c>
      <c r="G47" s="17" t="str">
        <v/>
      </c>
      <c r="H47" s="17" t="str">
        <v/>
      </c>
    </row>
    <row r="48" spans="4:8" ht="18.75" customHeight="1" x14ac:dyDescent="0.3">
      <c r="D48" s="17" t="str">
        <v/>
      </c>
      <c r="E48" s="17" t="str">
        <v/>
      </c>
      <c r="F48" s="17" t="str">
        <v/>
      </c>
      <c r="G48" s="17" t="str">
        <v/>
      </c>
      <c r="H48" s="17" t="str">
        <v/>
      </c>
    </row>
    <row r="49" spans="4:8" ht="18.75" customHeight="1" x14ac:dyDescent="0.3">
      <c r="D49" s="17" t="str">
        <v/>
      </c>
      <c r="E49" s="17" t="str">
        <v/>
      </c>
      <c r="F49" s="17" t="str">
        <v/>
      </c>
      <c r="G49" s="17" t="str">
        <v/>
      </c>
      <c r="H49" s="17" t="str">
        <v/>
      </c>
    </row>
    <row r="50" spans="4:8" ht="18.75" customHeight="1" x14ac:dyDescent="0.3">
      <c r="D50" s="17" t="str">
        <v/>
      </c>
      <c r="E50" s="17" t="str">
        <v/>
      </c>
      <c r="F50" s="17" t="str">
        <v/>
      </c>
      <c r="G50" s="17" t="str">
        <v/>
      </c>
      <c r="H50" s="17" t="str">
        <v/>
      </c>
    </row>
    <row r="51" spans="4:8" ht="18.75" customHeight="1" x14ac:dyDescent="0.3">
      <c r="D51" s="17" t="str">
        <v/>
      </c>
      <c r="E51" s="17" t="str">
        <v/>
      </c>
      <c r="F51" s="17" t="str">
        <v/>
      </c>
      <c r="G51" s="17" t="str">
        <v/>
      </c>
      <c r="H51" s="17" t="str">
        <v/>
      </c>
    </row>
    <row r="52" spans="4:8" ht="18.75" customHeight="1" x14ac:dyDescent="0.3">
      <c r="D52" s="17" t="str">
        <v/>
      </c>
      <c r="E52" s="17" t="str">
        <v/>
      </c>
      <c r="F52" s="17" t="str">
        <v/>
      </c>
      <c r="G52" s="17" t="str">
        <v/>
      </c>
      <c r="H52" s="17" t="str">
        <v/>
      </c>
    </row>
    <row r="53" spans="4:8" ht="18.75" customHeight="1" x14ac:dyDescent="0.3">
      <c r="D53" s="17" t="str">
        <v/>
      </c>
      <c r="E53" s="17" t="str">
        <v/>
      </c>
      <c r="F53" s="17" t="str">
        <v/>
      </c>
      <c r="G53" s="17" t="str">
        <v/>
      </c>
      <c r="H53" s="17" t="str">
        <v/>
      </c>
    </row>
    <row r="54" spans="4:8" ht="18.75" customHeight="1" x14ac:dyDescent="0.3">
      <c r="D54" s="17" t="str">
        <v/>
      </c>
      <c r="E54" s="17" t="str">
        <v/>
      </c>
      <c r="F54" s="17" t="str">
        <v/>
      </c>
      <c r="G54" s="17" t="str">
        <v/>
      </c>
      <c r="H54" s="17" t="str">
        <v/>
      </c>
    </row>
    <row r="55" spans="4:8" ht="18.75" customHeight="1" x14ac:dyDescent="0.3">
      <c r="D55" s="17" t="str">
        <v/>
      </c>
      <c r="E55" s="17" t="str">
        <v/>
      </c>
      <c r="F55" s="17" t="str">
        <v/>
      </c>
      <c r="G55" s="17" t="str">
        <v/>
      </c>
      <c r="H55" s="17" t="str">
        <v/>
      </c>
    </row>
    <row r="56" spans="4:8" ht="18.75" customHeight="1" x14ac:dyDescent="0.3">
      <c r="D56" s="17" t="str">
        <v/>
      </c>
      <c r="E56" s="17" t="str">
        <v/>
      </c>
      <c r="F56" s="17" t="str">
        <v/>
      </c>
      <c r="G56" s="17" t="str">
        <v/>
      </c>
      <c r="H56" s="17" t="str">
        <v/>
      </c>
    </row>
    <row r="57" spans="4:8" ht="18.75" customHeight="1" x14ac:dyDescent="0.3">
      <c r="D57" s="17" t="str">
        <v/>
      </c>
      <c r="E57" s="17" t="str">
        <v/>
      </c>
      <c r="F57" s="17" t="str">
        <v/>
      </c>
      <c r="G57" s="17" t="str">
        <v/>
      </c>
      <c r="H57" s="17" t="str">
        <v/>
      </c>
    </row>
    <row r="58" spans="4:8" ht="18.75" customHeight="1" x14ac:dyDescent="0.3">
      <c r="D58" s="17" t="str">
        <v/>
      </c>
      <c r="E58" s="17" t="str">
        <v/>
      </c>
      <c r="F58" s="17" t="str">
        <v/>
      </c>
      <c r="G58" s="17" t="str">
        <v/>
      </c>
      <c r="H58" s="17" t="str">
        <v/>
      </c>
    </row>
    <row r="59" spans="4:8" ht="18.75" customHeight="1" x14ac:dyDescent="0.3">
      <c r="D59" s="17" t="str">
        <v/>
      </c>
      <c r="E59" s="17" t="str">
        <v/>
      </c>
      <c r="F59" s="17" t="str">
        <v/>
      </c>
      <c r="G59" s="17" t="str">
        <v/>
      </c>
      <c r="H59" s="17" t="str">
        <v/>
      </c>
    </row>
    <row r="60" spans="4:8" ht="18.75" customHeight="1" x14ac:dyDescent="0.3">
      <c r="D60" s="17" t="str">
        <v/>
      </c>
      <c r="E60" s="17" t="str">
        <v/>
      </c>
      <c r="F60" s="17" t="str">
        <v/>
      </c>
      <c r="G60" s="17" t="str">
        <v/>
      </c>
      <c r="H60" s="17" t="str">
        <v/>
      </c>
    </row>
    <row r="61" spans="4:8" ht="18.75" customHeight="1" x14ac:dyDescent="0.3">
      <c r="D61" s="17" t="str">
        <v/>
      </c>
      <c r="E61" s="17" t="str">
        <v/>
      </c>
      <c r="F61" s="17" t="str">
        <v/>
      </c>
      <c r="G61" s="17" t="str">
        <v/>
      </c>
      <c r="H61" s="17" t="str">
        <v/>
      </c>
    </row>
    <row r="62" spans="4:8" ht="18.75" customHeight="1" x14ac:dyDescent="0.3">
      <c r="D62" s="17" t="str">
        <v/>
      </c>
      <c r="E62" s="17" t="str">
        <v/>
      </c>
      <c r="F62" s="17" t="str">
        <v/>
      </c>
      <c r="G62" s="17" t="str">
        <v/>
      </c>
      <c r="H62" s="17" t="str">
        <v/>
      </c>
    </row>
    <row r="63" spans="4:8" ht="18.75" customHeight="1" x14ac:dyDescent="0.3">
      <c r="D63" s="17" t="str">
        <v/>
      </c>
      <c r="E63" s="17" t="str">
        <v/>
      </c>
      <c r="F63" s="17" t="str">
        <v/>
      </c>
      <c r="G63" s="17" t="str">
        <v/>
      </c>
      <c r="H63" s="17" t="str">
        <v/>
      </c>
    </row>
    <row r="64" spans="4:8" ht="18.75" customHeight="1" x14ac:dyDescent="0.3">
      <c r="D64" s="17" t="str">
        <v/>
      </c>
      <c r="E64" s="17" t="str">
        <v/>
      </c>
      <c r="F64" s="17" t="str">
        <v/>
      </c>
      <c r="G64" s="17" t="str">
        <v/>
      </c>
      <c r="H64" s="17" t="str">
        <v/>
      </c>
    </row>
    <row r="65" spans="4:8" ht="18.75" customHeight="1" x14ac:dyDescent="0.3">
      <c r="D65" s="17" t="str">
        <v/>
      </c>
      <c r="E65" s="17" t="str">
        <v/>
      </c>
      <c r="F65" s="17" t="str">
        <v/>
      </c>
      <c r="G65" s="17" t="str">
        <v/>
      </c>
      <c r="H65" s="17" t="str">
        <v/>
      </c>
    </row>
    <row r="66" spans="4:8" ht="18.75" customHeight="1" x14ac:dyDescent="0.3">
      <c r="D66" s="17" t="str">
        <v/>
      </c>
      <c r="E66" s="17" t="str">
        <v/>
      </c>
      <c r="F66" s="17" t="str">
        <v/>
      </c>
      <c r="G66" s="17" t="str">
        <v/>
      </c>
      <c r="H66" s="17" t="str">
        <v/>
      </c>
    </row>
    <row r="67" spans="4:8" ht="18.75" customHeight="1" x14ac:dyDescent="0.3">
      <c r="D67" s="17" t="str">
        <v/>
      </c>
      <c r="E67" s="17" t="str">
        <v/>
      </c>
      <c r="F67" s="17" t="str">
        <v/>
      </c>
      <c r="G67" s="17" t="str">
        <v/>
      </c>
      <c r="H67" s="17" t="str">
        <v/>
      </c>
    </row>
    <row r="68" spans="4:8" ht="18.75" customHeight="1" x14ac:dyDescent="0.3">
      <c r="D68" s="17" t="str">
        <v/>
      </c>
      <c r="E68" s="17" t="str">
        <v/>
      </c>
      <c r="F68" s="17" t="str">
        <v/>
      </c>
      <c r="G68" s="17" t="str">
        <v/>
      </c>
      <c r="H68" s="17" t="str">
        <v/>
      </c>
    </row>
    <row r="69" spans="4:8" ht="18.75" customHeight="1" x14ac:dyDescent="0.3">
      <c r="D69" s="17" t="str">
        <v/>
      </c>
      <c r="E69" s="17" t="str">
        <v/>
      </c>
      <c r="F69" s="17" t="str">
        <v/>
      </c>
      <c r="G69" s="17" t="str">
        <v/>
      </c>
      <c r="H69" s="17" t="str">
        <v/>
      </c>
    </row>
    <row r="70" spans="4:8" ht="18.75" customHeight="1" x14ac:dyDescent="0.3">
      <c r="D70" s="17" t="str">
        <v/>
      </c>
      <c r="E70" s="17" t="str">
        <v/>
      </c>
      <c r="F70" s="17" t="str">
        <v/>
      </c>
      <c r="G70" s="17" t="str">
        <v/>
      </c>
      <c r="H70" s="17" t="str">
        <v/>
      </c>
    </row>
    <row r="71" spans="4:8" ht="18.75" customHeight="1" x14ac:dyDescent="0.3">
      <c r="D71" s="17" t="str">
        <v/>
      </c>
      <c r="E71" s="17" t="str">
        <v/>
      </c>
      <c r="F71" s="17" t="str">
        <v/>
      </c>
      <c r="G71" s="17" t="str">
        <v/>
      </c>
      <c r="H71" s="17" t="str">
        <v/>
      </c>
    </row>
    <row r="72" spans="4:8" ht="18.75" customHeight="1" x14ac:dyDescent="0.3">
      <c r="D72" s="17" t="str">
        <v/>
      </c>
      <c r="E72" s="17" t="str">
        <v/>
      </c>
      <c r="F72" s="17" t="str">
        <v/>
      </c>
      <c r="G72" s="17" t="str">
        <v/>
      </c>
      <c r="H72" s="17" t="str">
        <v/>
      </c>
    </row>
    <row r="73" spans="4:8" ht="18.75" customHeight="1" x14ac:dyDescent="0.3">
      <c r="D73" s="17" t="str">
        <v/>
      </c>
      <c r="E73" s="17" t="str">
        <v/>
      </c>
      <c r="F73" s="17" t="str">
        <v/>
      </c>
      <c r="G73" s="17" t="str">
        <v/>
      </c>
      <c r="H73" s="17" t="str">
        <v/>
      </c>
    </row>
    <row r="74" spans="4:8" ht="18.75" customHeight="1" x14ac:dyDescent="0.3">
      <c r="D74" s="17" t="str">
        <v/>
      </c>
      <c r="E74" s="17" t="str">
        <v/>
      </c>
      <c r="F74" s="17" t="str">
        <v/>
      </c>
      <c r="G74" s="17" t="str">
        <v/>
      </c>
      <c r="H74" s="17" t="str">
        <v/>
      </c>
    </row>
    <row r="75" spans="4:8" ht="18.75" customHeight="1" x14ac:dyDescent="0.3">
      <c r="D75" s="17" t="str">
        <v/>
      </c>
      <c r="E75" s="17" t="str">
        <v/>
      </c>
      <c r="F75" s="17" t="str">
        <v/>
      </c>
      <c r="G75" s="17" t="str">
        <v/>
      </c>
      <c r="H75" s="17" t="str">
        <v/>
      </c>
    </row>
    <row r="76" spans="4:8" ht="18.75" customHeight="1" x14ac:dyDescent="0.3">
      <c r="D76" s="17" t="str">
        <v/>
      </c>
      <c r="E76" s="17" t="str">
        <v/>
      </c>
      <c r="F76" s="17" t="str">
        <v/>
      </c>
      <c r="G76" s="17" t="str">
        <v/>
      </c>
      <c r="H76" s="17" t="str">
        <v/>
      </c>
    </row>
    <row r="77" spans="4:8" ht="18.75" customHeight="1" x14ac:dyDescent="0.3">
      <c r="D77" s="17" t="str">
        <v/>
      </c>
      <c r="E77" s="17" t="str">
        <v/>
      </c>
      <c r="F77" s="17" t="str">
        <v/>
      </c>
      <c r="G77" s="17" t="str">
        <v/>
      </c>
      <c r="H77" s="17" t="str">
        <v/>
      </c>
    </row>
    <row r="78" spans="4:8" ht="18.75" customHeight="1" x14ac:dyDescent="0.3">
      <c r="D78" s="17" t="str">
        <v/>
      </c>
      <c r="E78" s="17" t="str">
        <v/>
      </c>
      <c r="F78" s="17" t="str">
        <v/>
      </c>
      <c r="G78" s="17" t="str">
        <v/>
      </c>
      <c r="H78" s="17" t="str">
        <v/>
      </c>
    </row>
    <row r="79" spans="4:8" ht="18.75" customHeight="1" x14ac:dyDescent="0.3">
      <c r="D79" s="17" t="str">
        <v/>
      </c>
      <c r="E79" s="17" t="str">
        <v/>
      </c>
      <c r="F79" s="17" t="str">
        <v/>
      </c>
      <c r="G79" s="17" t="str">
        <v/>
      </c>
      <c r="H79" s="17" t="str">
        <v/>
      </c>
    </row>
    <row r="80" spans="4:8" ht="18.75" customHeight="1" x14ac:dyDescent="0.3">
      <c r="D80" s="17" t="str">
        <v/>
      </c>
      <c r="E80" s="17" t="str">
        <v/>
      </c>
      <c r="F80" s="17" t="str">
        <v/>
      </c>
      <c r="G80" s="17" t="str">
        <v/>
      </c>
      <c r="H80" s="17" t="str">
        <v/>
      </c>
    </row>
    <row r="81" spans="4:8" ht="18.75" customHeight="1" x14ac:dyDescent="0.3">
      <c r="D81" s="17" t="str">
        <v/>
      </c>
      <c r="E81" s="17" t="str">
        <v/>
      </c>
      <c r="F81" s="17" t="str">
        <v/>
      </c>
      <c r="G81" s="17" t="str">
        <v/>
      </c>
      <c r="H81" s="17" t="str">
        <v/>
      </c>
    </row>
    <row r="82" spans="4:8" ht="18.75" customHeight="1" x14ac:dyDescent="0.3">
      <c r="D82" s="17" t="str">
        <v/>
      </c>
      <c r="E82" s="17" t="str">
        <v/>
      </c>
      <c r="F82" s="17" t="str">
        <v/>
      </c>
      <c r="G82" s="17" t="str">
        <v/>
      </c>
      <c r="H82" s="17" t="str">
        <v/>
      </c>
    </row>
    <row r="83" spans="4:8" ht="18.75" customHeight="1" x14ac:dyDescent="0.3">
      <c r="D83" s="17" t="str">
        <v/>
      </c>
      <c r="E83" s="17" t="str">
        <v/>
      </c>
      <c r="F83" s="17" t="str">
        <v/>
      </c>
      <c r="G83" s="17" t="str">
        <v/>
      </c>
      <c r="H83" s="17" t="str">
        <v/>
      </c>
    </row>
    <row r="84" spans="4:8" ht="18.75" customHeight="1" x14ac:dyDescent="0.3">
      <c r="D84" s="17" t="str">
        <v/>
      </c>
      <c r="E84" s="17" t="str">
        <v/>
      </c>
      <c r="F84" s="17" t="str">
        <v/>
      </c>
      <c r="G84" s="17" t="str">
        <v/>
      </c>
      <c r="H84" s="17" t="str">
        <v/>
      </c>
    </row>
    <row r="85" spans="4:8" ht="18.75" customHeight="1" x14ac:dyDescent="0.3">
      <c r="D85" s="17" t="str">
        <v/>
      </c>
      <c r="E85" s="17" t="str">
        <v/>
      </c>
      <c r="F85" s="17" t="str">
        <v/>
      </c>
      <c r="G85" s="17" t="str">
        <v/>
      </c>
      <c r="H85" s="17" t="str">
        <v/>
      </c>
    </row>
    <row r="86" spans="4:8" ht="18.75" customHeight="1" x14ac:dyDescent="0.3">
      <c r="D86" s="17" t="str">
        <v/>
      </c>
      <c r="E86" s="17" t="str">
        <v/>
      </c>
      <c r="F86" s="17" t="str">
        <v/>
      </c>
      <c r="G86" s="17" t="str">
        <v/>
      </c>
      <c r="H86" s="17" t="str">
        <v/>
      </c>
    </row>
    <row r="87" spans="4:8" ht="18.75" customHeight="1" x14ac:dyDescent="0.3">
      <c r="D87" s="17" t="str">
        <v/>
      </c>
      <c r="E87" s="17" t="str">
        <v/>
      </c>
      <c r="F87" s="17" t="str">
        <v/>
      </c>
      <c r="G87" s="17" t="str">
        <v/>
      </c>
      <c r="H87" s="17" t="str">
        <v/>
      </c>
    </row>
    <row r="88" spans="4:8" ht="18.75" customHeight="1" x14ac:dyDescent="0.3">
      <c r="D88" s="17" t="str">
        <v/>
      </c>
      <c r="E88" s="17" t="str">
        <v/>
      </c>
      <c r="F88" s="17" t="str">
        <v/>
      </c>
      <c r="G88" s="17" t="str">
        <v/>
      </c>
      <c r="H88" s="17" t="str">
        <v/>
      </c>
    </row>
    <row r="89" spans="4:8" ht="18.75" customHeight="1" x14ac:dyDescent="0.3">
      <c r="D89" s="17" t="str">
        <v/>
      </c>
      <c r="E89" s="17" t="str">
        <v/>
      </c>
      <c r="F89" s="17" t="str">
        <v/>
      </c>
      <c r="G89" s="17" t="str">
        <v/>
      </c>
      <c r="H89" s="17" t="str">
        <v/>
      </c>
    </row>
    <row r="90" spans="4:8" ht="18.75" customHeight="1" x14ac:dyDescent="0.3">
      <c r="D90" s="17" t="str">
        <v/>
      </c>
      <c r="E90" s="17" t="str">
        <v/>
      </c>
      <c r="F90" s="17" t="str">
        <v/>
      </c>
      <c r="G90" s="17" t="str">
        <v/>
      </c>
      <c r="H90" s="17" t="str">
        <v/>
      </c>
    </row>
    <row r="91" spans="4:8" ht="18.75" customHeight="1" x14ac:dyDescent="0.3">
      <c r="D91" s="17" t="str">
        <v/>
      </c>
      <c r="E91" s="17" t="str">
        <v/>
      </c>
      <c r="F91" s="17" t="str">
        <v/>
      </c>
      <c r="G91" s="17" t="str">
        <v/>
      </c>
      <c r="H91" s="17" t="str">
        <v/>
      </c>
    </row>
    <row r="92" spans="4:8" ht="18.75" customHeight="1" x14ac:dyDescent="0.3">
      <c r="D92" s="17" t="str">
        <v/>
      </c>
      <c r="E92" s="17" t="str">
        <v/>
      </c>
      <c r="F92" s="17" t="str">
        <v/>
      </c>
      <c r="G92" s="17" t="str">
        <v/>
      </c>
      <c r="H92" s="17" t="str">
        <v/>
      </c>
    </row>
    <row r="93" spans="4:8" ht="18.75" customHeight="1" x14ac:dyDescent="0.3">
      <c r="D93" s="17" t="str">
        <v/>
      </c>
      <c r="E93" s="17" t="str">
        <v/>
      </c>
      <c r="F93" s="17" t="str">
        <v/>
      </c>
      <c r="G93" s="17" t="str">
        <v/>
      </c>
      <c r="H93" s="17" t="str">
        <v/>
      </c>
    </row>
    <row r="94" spans="4:8" ht="18.75" customHeight="1" x14ac:dyDescent="0.3">
      <c r="D94" s="17" t="str">
        <v/>
      </c>
      <c r="E94" s="17" t="str">
        <v/>
      </c>
      <c r="F94" s="17" t="str">
        <v/>
      </c>
      <c r="G94" s="17" t="str">
        <v/>
      </c>
      <c r="H94" s="17" t="str">
        <v/>
      </c>
    </row>
    <row r="95" spans="4:8" ht="18.75" customHeight="1" x14ac:dyDescent="0.3">
      <c r="D95" s="17" t="str">
        <v/>
      </c>
      <c r="E95" s="17" t="str">
        <v/>
      </c>
      <c r="F95" s="17" t="str">
        <v/>
      </c>
      <c r="G95" s="17" t="str">
        <v/>
      </c>
      <c r="H95" s="17" t="str">
        <v/>
      </c>
    </row>
    <row r="96" spans="4:8" ht="18.75" customHeight="1" x14ac:dyDescent="0.3">
      <c r="D96" s="17" t="str">
        <v/>
      </c>
      <c r="E96" s="17" t="str">
        <v/>
      </c>
      <c r="F96" s="17" t="str">
        <v/>
      </c>
      <c r="G96" s="17" t="str">
        <v/>
      </c>
      <c r="H96" s="17" t="str">
        <v/>
      </c>
    </row>
    <row r="97" spans="4:8" ht="18.75" customHeight="1" x14ac:dyDescent="0.3">
      <c r="D97" s="17" t="str">
        <v/>
      </c>
      <c r="E97" s="17" t="str">
        <v/>
      </c>
      <c r="F97" s="17" t="str">
        <v/>
      </c>
      <c r="G97" s="17" t="str">
        <v/>
      </c>
      <c r="H97" s="17" t="str">
        <v/>
      </c>
    </row>
    <row r="98" spans="4:8" ht="18.75" customHeight="1" x14ac:dyDescent="0.3">
      <c r="D98" s="17" t="str">
        <v/>
      </c>
      <c r="E98" s="17" t="str">
        <v/>
      </c>
      <c r="F98" s="17" t="str">
        <v/>
      </c>
      <c r="G98" s="17" t="str">
        <v/>
      </c>
      <c r="H98" s="17" t="str">
        <v/>
      </c>
    </row>
    <row r="99" spans="4:8" ht="18.75" customHeight="1" x14ac:dyDescent="0.3">
      <c r="D99" s="17" t="str">
        <v/>
      </c>
      <c r="E99" s="17" t="str">
        <v/>
      </c>
      <c r="F99" s="17" t="str">
        <v/>
      </c>
      <c r="G99" s="17" t="str">
        <v/>
      </c>
      <c r="H99" s="17" t="str">
        <v/>
      </c>
    </row>
    <row r="100" spans="4:8" ht="18.75" customHeight="1" x14ac:dyDescent="0.3">
      <c r="D100" s="17" t="str">
        <v/>
      </c>
      <c r="E100" s="17" t="str">
        <v/>
      </c>
      <c r="F100" s="17" t="str">
        <v/>
      </c>
      <c r="G100" s="17" t="str">
        <v/>
      </c>
      <c r="H100" s="17" t="str">
        <v/>
      </c>
    </row>
    <row r="101" spans="4:8" ht="18.75" customHeight="1" x14ac:dyDescent="0.3">
      <c r="D101" s="17" t="str">
        <v/>
      </c>
      <c r="E101" s="17" t="str">
        <v/>
      </c>
      <c r="F101" s="17" t="str">
        <v/>
      </c>
      <c r="G101" s="17" t="str">
        <v/>
      </c>
      <c r="H101" s="17" t="str">
        <v/>
      </c>
    </row>
    <row r="102" spans="4:8" ht="18.75" customHeight="1" x14ac:dyDescent="0.3">
      <c r="D102" s="17" t="str">
        <v/>
      </c>
      <c r="E102" s="17" t="str">
        <v/>
      </c>
      <c r="F102" s="17" t="str">
        <v/>
      </c>
      <c r="G102" s="17" t="str">
        <v/>
      </c>
      <c r="H102" s="17" t="str">
        <v/>
      </c>
    </row>
    <row r="103" spans="4:8" ht="18.75" customHeight="1" x14ac:dyDescent="0.3">
      <c r="D103" s="17" t="str">
        <v/>
      </c>
      <c r="E103" s="17" t="str">
        <v/>
      </c>
      <c r="F103" s="17" t="str">
        <v/>
      </c>
      <c r="G103" s="17" t="str">
        <v/>
      </c>
      <c r="H103" s="17" t="str">
        <v/>
      </c>
    </row>
    <row r="104" spans="4:8" ht="18.75" customHeight="1" x14ac:dyDescent="0.3">
      <c r="D104" s="17" t="str">
        <v/>
      </c>
      <c r="E104" s="17" t="str">
        <v/>
      </c>
      <c r="F104" s="17" t="str">
        <v/>
      </c>
      <c r="G104" s="17" t="str">
        <v/>
      </c>
      <c r="H104" s="17" t="str">
        <v/>
      </c>
    </row>
    <row r="105" spans="4:8" ht="18.75" customHeight="1" x14ac:dyDescent="0.3">
      <c r="D105" s="17" t="str">
        <v/>
      </c>
      <c r="E105" s="17" t="str">
        <v/>
      </c>
      <c r="F105" s="17" t="str">
        <v/>
      </c>
      <c r="G105" s="17" t="str">
        <v/>
      </c>
      <c r="H105" s="17" t="str">
        <v/>
      </c>
    </row>
    <row r="106" spans="4:8" ht="18.75" customHeight="1" x14ac:dyDescent="0.3">
      <c r="D106" s="17" t="str">
        <v/>
      </c>
      <c r="E106" s="17" t="str">
        <v/>
      </c>
      <c r="F106" s="17" t="str">
        <v/>
      </c>
      <c r="G106" s="17" t="str">
        <v/>
      </c>
      <c r="H106" s="17" t="str">
        <v/>
      </c>
    </row>
    <row r="107" spans="4:8" ht="18.75" customHeight="1" x14ac:dyDescent="0.3">
      <c r="D107" s="17" t="str">
        <v/>
      </c>
      <c r="E107" s="17" t="str">
        <v/>
      </c>
      <c r="F107" s="17" t="str">
        <v/>
      </c>
      <c r="G107" s="17" t="str">
        <v/>
      </c>
      <c r="H107" s="17" t="str">
        <v/>
      </c>
    </row>
    <row r="108" spans="4:8" ht="18.75" customHeight="1" x14ac:dyDescent="0.3">
      <c r="D108" s="17" t="str">
        <v/>
      </c>
      <c r="E108" s="17" t="str">
        <v/>
      </c>
      <c r="F108" s="17" t="str">
        <v/>
      </c>
      <c r="G108" s="17" t="str">
        <v/>
      </c>
      <c r="H108" s="17" t="str">
        <v/>
      </c>
    </row>
    <row r="109" spans="4:8" ht="18.75" customHeight="1" x14ac:dyDescent="0.3">
      <c r="D109" s="17" t="str">
        <v/>
      </c>
      <c r="E109" s="17" t="str">
        <v/>
      </c>
      <c r="F109" s="17" t="str">
        <v/>
      </c>
      <c r="G109" s="17" t="str">
        <v/>
      </c>
      <c r="H109" s="17" t="str">
        <v/>
      </c>
    </row>
    <row r="110" spans="4:8" ht="18.75" customHeight="1" x14ac:dyDescent="0.3">
      <c r="D110" s="17" t="str">
        <v/>
      </c>
      <c r="E110" s="17" t="str">
        <v/>
      </c>
      <c r="F110" s="17" t="str">
        <v/>
      </c>
      <c r="G110" s="17" t="str">
        <v/>
      </c>
      <c r="H110" s="17" t="str">
        <v/>
      </c>
    </row>
    <row r="111" spans="4:8" ht="18.75" customHeight="1" x14ac:dyDescent="0.3">
      <c r="D111" s="17" t="str">
        <v/>
      </c>
      <c r="E111" s="17" t="str">
        <v/>
      </c>
      <c r="F111" s="17" t="str">
        <v/>
      </c>
      <c r="G111" s="17" t="str">
        <v/>
      </c>
      <c r="H111" s="17" t="str">
        <v/>
      </c>
    </row>
    <row r="112" spans="4:8" ht="18.75" customHeight="1" x14ac:dyDescent="0.3">
      <c r="D112" s="17" t="str">
        <v/>
      </c>
      <c r="E112" s="17" t="str">
        <v/>
      </c>
      <c r="F112" s="17" t="str">
        <v/>
      </c>
      <c r="G112" s="17" t="str">
        <v/>
      </c>
      <c r="H112" s="17" t="str">
        <v/>
      </c>
    </row>
    <row r="113" spans="4:8" ht="18.75" customHeight="1" x14ac:dyDescent="0.3">
      <c r="D113" s="17" t="str">
        <v/>
      </c>
      <c r="E113" s="17" t="str">
        <v/>
      </c>
      <c r="F113" s="17" t="str">
        <v/>
      </c>
      <c r="G113" s="17" t="str">
        <v/>
      </c>
      <c r="H113" s="17" t="str">
        <v/>
      </c>
    </row>
    <row r="114" spans="4:8" ht="18.75" customHeight="1" x14ac:dyDescent="0.3">
      <c r="D114" s="17" t="str">
        <v/>
      </c>
      <c r="E114" s="17" t="str">
        <v/>
      </c>
      <c r="F114" s="17" t="str">
        <v/>
      </c>
      <c r="G114" s="17" t="str">
        <v/>
      </c>
      <c r="H114" s="17" t="str">
        <v/>
      </c>
    </row>
    <row r="115" spans="4:8" ht="18.75" customHeight="1" x14ac:dyDescent="0.3">
      <c r="D115" s="17" t="str">
        <v/>
      </c>
      <c r="E115" s="17" t="str">
        <v/>
      </c>
      <c r="F115" s="17" t="str">
        <v/>
      </c>
      <c r="G115" s="17" t="str">
        <v/>
      </c>
      <c r="H115" s="17" t="str">
        <v/>
      </c>
    </row>
    <row r="116" spans="4:8" ht="18.75" customHeight="1" x14ac:dyDescent="0.3">
      <c r="D116" s="17" t="str">
        <v/>
      </c>
      <c r="E116" s="17" t="str">
        <v/>
      </c>
      <c r="F116" s="17" t="str">
        <v/>
      </c>
      <c r="G116" s="17" t="str">
        <v/>
      </c>
      <c r="H116" s="17" t="str">
        <v/>
      </c>
    </row>
    <row r="117" spans="4:8" ht="18.75" customHeight="1" x14ac:dyDescent="0.3">
      <c r="D117" s="17" t="str">
        <v/>
      </c>
      <c r="E117" s="17" t="str">
        <v/>
      </c>
      <c r="F117" s="17" t="str">
        <v/>
      </c>
      <c r="G117" s="17" t="str">
        <v/>
      </c>
      <c r="H117" s="17" t="str">
        <v/>
      </c>
    </row>
    <row r="118" spans="4:8" ht="18.75" customHeight="1" x14ac:dyDescent="0.3">
      <c r="D118" s="17" t="str">
        <v/>
      </c>
      <c r="E118" s="17" t="str">
        <v/>
      </c>
      <c r="F118" s="17" t="str">
        <v/>
      </c>
      <c r="G118" s="17" t="str">
        <v/>
      </c>
      <c r="H118" s="17" t="str">
        <v/>
      </c>
    </row>
    <row r="119" spans="4:8" ht="18.75" customHeight="1" x14ac:dyDescent="0.3">
      <c r="D119" s="17" t="str">
        <v/>
      </c>
      <c r="E119" s="17" t="str">
        <v/>
      </c>
      <c r="F119" s="17" t="str">
        <v/>
      </c>
      <c r="G119" s="17" t="str">
        <v/>
      </c>
      <c r="H119" s="17" t="str">
        <v/>
      </c>
    </row>
    <row r="120" spans="4:8" ht="18.75" customHeight="1" x14ac:dyDescent="0.3">
      <c r="D120" s="17" t="str">
        <v/>
      </c>
      <c r="E120" s="17" t="str">
        <v/>
      </c>
      <c r="F120" s="17" t="str">
        <v/>
      </c>
      <c r="G120" s="17" t="str">
        <v/>
      </c>
      <c r="H120" s="17" t="str">
        <v/>
      </c>
    </row>
    <row r="121" spans="4:8" ht="18.75" customHeight="1" x14ac:dyDescent="0.3">
      <c r="D121" s="17" t="str">
        <v/>
      </c>
      <c r="E121" s="17" t="str">
        <v/>
      </c>
      <c r="F121" s="17" t="str">
        <v/>
      </c>
      <c r="G121" s="17" t="str">
        <v/>
      </c>
      <c r="H121" s="17" t="str">
        <v/>
      </c>
    </row>
    <row r="122" spans="4:8" ht="18.75" customHeight="1" x14ac:dyDescent="0.3">
      <c r="D122" s="17" t="str">
        <v/>
      </c>
      <c r="E122" s="17" t="str">
        <v/>
      </c>
      <c r="F122" s="17" t="str">
        <v/>
      </c>
      <c r="G122" s="17" t="str">
        <v/>
      </c>
      <c r="H122" s="17" t="str">
        <v/>
      </c>
    </row>
    <row r="123" spans="4:8" ht="18.75" customHeight="1" x14ac:dyDescent="0.3">
      <c r="D123" s="17" t="str">
        <v/>
      </c>
      <c r="E123" s="17" t="str">
        <v/>
      </c>
      <c r="F123" s="17" t="str">
        <v/>
      </c>
      <c r="G123" s="17" t="str">
        <v/>
      </c>
      <c r="H123" s="17" t="str">
        <v/>
      </c>
    </row>
    <row r="124" spans="4:8" ht="18.75" customHeight="1" x14ac:dyDescent="0.3">
      <c r="D124" s="17" t="str">
        <v/>
      </c>
      <c r="E124" s="17" t="str">
        <v/>
      </c>
      <c r="F124" s="17" t="str">
        <v/>
      </c>
      <c r="G124" s="17" t="str">
        <v/>
      </c>
      <c r="H124" s="17" t="str">
        <v/>
      </c>
    </row>
    <row r="125" spans="4:8" ht="18.75" customHeight="1" x14ac:dyDescent="0.3">
      <c r="D125" s="17" t="str">
        <v/>
      </c>
      <c r="E125" s="17" t="str">
        <v/>
      </c>
      <c r="F125" s="17" t="str">
        <v/>
      </c>
      <c r="G125" s="17" t="str">
        <v/>
      </c>
      <c r="H125" s="17" t="str">
        <v/>
      </c>
    </row>
    <row r="126" spans="4:8" ht="18.75" customHeight="1" x14ac:dyDescent="0.3">
      <c r="D126" s="17" t="str">
        <v/>
      </c>
      <c r="E126" s="17" t="str">
        <v/>
      </c>
      <c r="F126" s="17" t="str">
        <v/>
      </c>
      <c r="G126" s="17" t="str">
        <v/>
      </c>
      <c r="H126" s="17" t="str">
        <v/>
      </c>
    </row>
    <row r="127" spans="4:8" ht="18.75" customHeight="1" x14ac:dyDescent="0.3">
      <c r="D127" s="17" t="str">
        <v/>
      </c>
      <c r="E127" s="17" t="str">
        <v/>
      </c>
      <c r="F127" s="17" t="str">
        <v/>
      </c>
      <c r="G127" s="17" t="str">
        <v/>
      </c>
      <c r="H127" s="17" t="str">
        <v/>
      </c>
    </row>
    <row r="128" spans="4:8" ht="18.75" customHeight="1" x14ac:dyDescent="0.3">
      <c r="D128" s="17" t="str">
        <v/>
      </c>
      <c r="E128" s="17" t="str">
        <v/>
      </c>
      <c r="F128" s="17" t="str">
        <v/>
      </c>
      <c r="G128" s="17" t="str">
        <v/>
      </c>
      <c r="H128" s="17" t="str">
        <v/>
      </c>
    </row>
    <row r="129" spans="4:8" ht="18.75" customHeight="1" x14ac:dyDescent="0.3">
      <c r="D129" s="17" t="str">
        <v/>
      </c>
      <c r="E129" s="17" t="str">
        <v/>
      </c>
      <c r="F129" s="17" t="str">
        <v/>
      </c>
      <c r="G129" s="17" t="str">
        <v/>
      </c>
      <c r="H129" s="17" t="str">
        <v/>
      </c>
    </row>
    <row r="130" spans="4:8" ht="18.75" customHeight="1" x14ac:dyDescent="0.3">
      <c r="D130" s="17" t="str">
        <v/>
      </c>
      <c r="E130" s="17" t="str">
        <v/>
      </c>
      <c r="F130" s="17" t="str">
        <v/>
      </c>
      <c r="G130" s="17" t="str">
        <v/>
      </c>
      <c r="H130" s="17" t="str">
        <v/>
      </c>
    </row>
    <row r="131" spans="4:8" ht="18.75" customHeight="1" x14ac:dyDescent="0.3">
      <c r="D131" s="17" t="str">
        <v/>
      </c>
      <c r="E131" s="17" t="str">
        <v/>
      </c>
      <c r="F131" s="17" t="str">
        <v/>
      </c>
      <c r="G131" s="17" t="str">
        <v/>
      </c>
      <c r="H131" s="17" t="str">
        <v/>
      </c>
    </row>
    <row r="132" spans="4:8" ht="18.75" customHeight="1" x14ac:dyDescent="0.3">
      <c r="D132" s="17" t="str">
        <v/>
      </c>
      <c r="E132" s="17" t="str">
        <v/>
      </c>
      <c r="F132" s="17" t="str">
        <v/>
      </c>
      <c r="G132" s="17" t="str">
        <v/>
      </c>
      <c r="H132" s="17" t="str">
        <v/>
      </c>
    </row>
    <row r="133" spans="4:8" ht="18.75" customHeight="1" x14ac:dyDescent="0.3">
      <c r="D133" s="17" t="str">
        <v/>
      </c>
      <c r="E133" s="17" t="str">
        <v/>
      </c>
      <c r="F133" s="17" t="str">
        <v/>
      </c>
      <c r="G133" s="17" t="str">
        <v/>
      </c>
      <c r="H133" s="17" t="str">
        <v/>
      </c>
    </row>
    <row r="134" spans="4:8" ht="18.75" customHeight="1" x14ac:dyDescent="0.3">
      <c r="D134" s="17" t="str">
        <v/>
      </c>
      <c r="E134" s="17" t="str">
        <v/>
      </c>
      <c r="F134" s="17" t="str">
        <v/>
      </c>
      <c r="G134" s="17" t="str">
        <v/>
      </c>
      <c r="H134" s="17" t="str">
        <v/>
      </c>
    </row>
    <row r="135" spans="4:8" ht="18.75" customHeight="1" x14ac:dyDescent="0.3">
      <c r="D135" s="17" t="str">
        <v/>
      </c>
      <c r="E135" s="17" t="str">
        <v/>
      </c>
      <c r="F135" s="17" t="str">
        <v/>
      </c>
      <c r="G135" s="17" t="str">
        <v/>
      </c>
      <c r="H135" s="17" t="str">
        <v/>
      </c>
    </row>
    <row r="136" spans="4:8" ht="18.75" customHeight="1" x14ac:dyDescent="0.3">
      <c r="D136" s="17" t="str">
        <v/>
      </c>
      <c r="E136" s="17" t="str">
        <v/>
      </c>
      <c r="F136" s="17" t="str">
        <v/>
      </c>
      <c r="G136" s="17" t="str">
        <v/>
      </c>
      <c r="H136" s="17" t="str">
        <v/>
      </c>
    </row>
    <row r="137" spans="4:8" ht="18.75" customHeight="1" x14ac:dyDescent="0.3">
      <c r="D137" s="17" t="str">
        <v/>
      </c>
      <c r="E137" s="17" t="str">
        <v/>
      </c>
      <c r="F137" s="17" t="str">
        <v/>
      </c>
      <c r="G137" s="17" t="str">
        <v/>
      </c>
      <c r="H137" s="17" t="str">
        <v/>
      </c>
    </row>
    <row r="138" spans="4:8" ht="18.75" customHeight="1" x14ac:dyDescent="0.3">
      <c r="D138" s="17" t="str">
        <v/>
      </c>
      <c r="E138" s="17" t="str">
        <v/>
      </c>
      <c r="F138" s="17" t="str">
        <v/>
      </c>
      <c r="G138" s="17" t="str">
        <v/>
      </c>
      <c r="H138" s="17" t="str">
        <v/>
      </c>
    </row>
    <row r="139" spans="4:8" ht="18.75" customHeight="1" x14ac:dyDescent="0.3">
      <c r="D139" s="17" t="str">
        <v/>
      </c>
      <c r="E139" s="17" t="str">
        <v/>
      </c>
      <c r="F139" s="17" t="str">
        <v/>
      </c>
      <c r="G139" s="17" t="str">
        <v/>
      </c>
      <c r="H139" s="17" t="str">
        <v/>
      </c>
    </row>
    <row r="140" spans="4:8" ht="18.75" customHeight="1" x14ac:dyDescent="0.3">
      <c r="D140" s="17" t="str">
        <v/>
      </c>
      <c r="E140" s="17" t="str">
        <v/>
      </c>
      <c r="F140" s="17" t="str">
        <v/>
      </c>
      <c r="G140" s="17" t="str">
        <v/>
      </c>
      <c r="H140" s="17" t="str">
        <v/>
      </c>
    </row>
    <row r="141" spans="4:8" ht="18.75" customHeight="1" x14ac:dyDescent="0.3">
      <c r="D141" s="17" t="str">
        <v/>
      </c>
      <c r="E141" s="17" t="str">
        <v/>
      </c>
      <c r="F141" s="17" t="str">
        <v/>
      </c>
      <c r="G141" s="17" t="str">
        <v/>
      </c>
      <c r="H141" s="17" t="str">
        <v/>
      </c>
    </row>
    <row r="142" spans="4:8" ht="18.75" customHeight="1" x14ac:dyDescent="0.3">
      <c r="D142" s="17" t="str">
        <v/>
      </c>
      <c r="E142" s="17" t="str">
        <v/>
      </c>
      <c r="F142" s="17" t="str">
        <v/>
      </c>
      <c r="G142" s="17" t="str">
        <v/>
      </c>
      <c r="H142" s="17" t="str">
        <v/>
      </c>
    </row>
    <row r="143" spans="4:8" ht="18.75" customHeight="1" x14ac:dyDescent="0.3">
      <c r="D143" s="17" t="str">
        <v/>
      </c>
      <c r="E143" s="17" t="str">
        <v/>
      </c>
      <c r="F143" s="17" t="str">
        <v/>
      </c>
      <c r="G143" s="17" t="str">
        <v/>
      </c>
      <c r="H143" s="17" t="str">
        <v/>
      </c>
    </row>
    <row r="144" spans="4:8" ht="18.75" customHeight="1" x14ac:dyDescent="0.3">
      <c r="D144" s="17" t="str">
        <v/>
      </c>
      <c r="E144" s="17" t="str">
        <v/>
      </c>
      <c r="F144" s="17" t="str">
        <v/>
      </c>
      <c r="G144" s="17" t="str">
        <v/>
      </c>
      <c r="H144" s="17" t="str">
        <v/>
      </c>
    </row>
    <row r="145" spans="4:8" ht="18.75" customHeight="1" x14ac:dyDescent="0.3">
      <c r="D145" s="17" t="str">
        <v/>
      </c>
      <c r="E145" s="17" t="str">
        <v/>
      </c>
      <c r="F145" s="17" t="str">
        <v/>
      </c>
      <c r="G145" s="17" t="str">
        <v/>
      </c>
      <c r="H145" s="17" t="str">
        <v/>
      </c>
    </row>
    <row r="146" spans="4:8" ht="18.75" customHeight="1" x14ac:dyDescent="0.3">
      <c r="D146" s="17" t="str">
        <v/>
      </c>
      <c r="E146" s="17" t="str">
        <v/>
      </c>
      <c r="F146" s="17" t="str">
        <v/>
      </c>
      <c r="G146" s="17" t="str">
        <v/>
      </c>
      <c r="H146" s="17" t="str">
        <v/>
      </c>
    </row>
    <row r="147" spans="4:8" ht="18.75" customHeight="1" x14ac:dyDescent="0.3">
      <c r="D147" s="17" t="str">
        <v/>
      </c>
      <c r="E147" s="17" t="str">
        <v/>
      </c>
      <c r="F147" s="17" t="str">
        <v/>
      </c>
      <c r="G147" s="17" t="str">
        <v/>
      </c>
      <c r="H147" s="17" t="str">
        <v/>
      </c>
    </row>
    <row r="148" spans="4:8" ht="18.75" customHeight="1" x14ac:dyDescent="0.3">
      <c r="D148" s="17" t="str">
        <v/>
      </c>
      <c r="E148" s="17" t="str">
        <v/>
      </c>
      <c r="F148" s="17" t="str">
        <v/>
      </c>
      <c r="G148" s="17" t="str">
        <v/>
      </c>
      <c r="H148" s="17" t="str">
        <v/>
      </c>
    </row>
    <row r="149" spans="4:8" ht="18.75" customHeight="1" x14ac:dyDescent="0.3">
      <c r="D149" s="17" t="str">
        <v/>
      </c>
      <c r="E149" s="17" t="str">
        <v/>
      </c>
      <c r="F149" s="17" t="str">
        <v/>
      </c>
      <c r="G149" s="17" t="str">
        <v/>
      </c>
      <c r="H149" s="17" t="str">
        <v/>
      </c>
    </row>
    <row r="150" spans="4:8" ht="18.75" customHeight="1" x14ac:dyDescent="0.3">
      <c r="D150" s="17" t="str">
        <v/>
      </c>
      <c r="E150" s="17" t="str">
        <v/>
      </c>
      <c r="F150" s="17" t="str">
        <v/>
      </c>
      <c r="G150" s="17" t="str">
        <v/>
      </c>
      <c r="H150" s="17" t="str">
        <v/>
      </c>
    </row>
    <row r="151" spans="4:8" ht="18.75" customHeight="1" x14ac:dyDescent="0.3">
      <c r="D151" s="17" t="str">
        <v/>
      </c>
      <c r="E151" s="17" t="str">
        <v/>
      </c>
      <c r="F151" s="17" t="str">
        <v/>
      </c>
      <c r="G151" s="17" t="str">
        <v/>
      </c>
      <c r="H151" s="17" t="str">
        <v/>
      </c>
    </row>
    <row r="152" spans="4:8" ht="18.75" customHeight="1" x14ac:dyDescent="0.3">
      <c r="D152" s="17" t="str">
        <v/>
      </c>
      <c r="E152" s="17" t="str">
        <v/>
      </c>
      <c r="F152" s="17" t="str">
        <v/>
      </c>
      <c r="G152" s="17" t="str">
        <v/>
      </c>
      <c r="H152" s="17" t="str">
        <v/>
      </c>
    </row>
    <row r="153" spans="4:8" ht="18.75" customHeight="1" x14ac:dyDescent="0.3">
      <c r="D153" s="17" t="str">
        <v/>
      </c>
      <c r="E153" s="17" t="str">
        <v/>
      </c>
      <c r="F153" s="17" t="str">
        <v/>
      </c>
      <c r="G153" s="17" t="str">
        <v/>
      </c>
      <c r="H153" s="17" t="str">
        <v/>
      </c>
    </row>
    <row r="154" spans="4:8" ht="18.75" customHeight="1" x14ac:dyDescent="0.3">
      <c r="D154" s="17" t="str">
        <v/>
      </c>
      <c r="E154" s="17" t="str">
        <v/>
      </c>
      <c r="F154" s="17" t="str">
        <v/>
      </c>
      <c r="G154" s="17" t="str">
        <v/>
      </c>
      <c r="H154" s="17" t="str">
        <v/>
      </c>
    </row>
    <row r="155" spans="4:8" ht="18.75" customHeight="1" x14ac:dyDescent="0.3">
      <c r="D155" s="17" t="str">
        <v/>
      </c>
      <c r="E155" s="17" t="str">
        <v/>
      </c>
      <c r="F155" s="17" t="str">
        <v/>
      </c>
      <c r="G155" s="17" t="str">
        <v/>
      </c>
      <c r="H155" s="17" t="str">
        <v/>
      </c>
    </row>
    <row r="156" spans="4:8" ht="18.75" customHeight="1" x14ac:dyDescent="0.3">
      <c r="D156" s="17" t="str">
        <v/>
      </c>
      <c r="E156" s="17" t="str">
        <v/>
      </c>
      <c r="F156" s="17" t="str">
        <v/>
      </c>
      <c r="G156" s="17" t="str">
        <v/>
      </c>
      <c r="H156" s="17" t="str">
        <v/>
      </c>
    </row>
    <row r="157" spans="4:8" ht="18.75" customHeight="1" x14ac:dyDescent="0.3">
      <c r="D157" s="17" t="str">
        <v/>
      </c>
      <c r="E157" s="17" t="str">
        <v/>
      </c>
      <c r="F157" s="17" t="str">
        <v/>
      </c>
      <c r="G157" s="17" t="str">
        <v/>
      </c>
      <c r="H157" s="17" t="str">
        <v/>
      </c>
    </row>
    <row r="158" spans="4:8" ht="18.75" customHeight="1" x14ac:dyDescent="0.3">
      <c r="D158" s="17" t="str">
        <v/>
      </c>
      <c r="E158" s="17" t="str">
        <v/>
      </c>
      <c r="F158" s="17" t="str">
        <v/>
      </c>
      <c r="G158" s="17" t="str">
        <v/>
      </c>
      <c r="H158" s="17" t="str">
        <v/>
      </c>
    </row>
    <row r="159" spans="4:8" ht="18.75" customHeight="1" x14ac:dyDescent="0.3">
      <c r="D159" s="17" t="str">
        <v/>
      </c>
      <c r="E159" s="17" t="str">
        <v/>
      </c>
      <c r="F159" s="17" t="str">
        <v/>
      </c>
      <c r="G159" s="17" t="str">
        <v/>
      </c>
      <c r="H159" s="17" t="str">
        <v/>
      </c>
    </row>
    <row r="160" spans="4:8" ht="18.75" customHeight="1" x14ac:dyDescent="0.3">
      <c r="D160" s="17" t="str">
        <v/>
      </c>
      <c r="E160" s="17" t="str">
        <v/>
      </c>
      <c r="F160" s="17" t="str">
        <v/>
      </c>
      <c r="G160" s="17" t="str">
        <v/>
      </c>
      <c r="H160" s="17" t="str">
        <v/>
      </c>
    </row>
    <row r="161" spans="4:8" ht="18.75" customHeight="1" x14ac:dyDescent="0.3">
      <c r="D161" s="17" t="str">
        <v/>
      </c>
      <c r="E161" s="17" t="str">
        <v/>
      </c>
      <c r="F161" s="17" t="str">
        <v/>
      </c>
      <c r="G161" s="17" t="str">
        <v/>
      </c>
      <c r="H161" s="17" t="str">
        <v/>
      </c>
    </row>
    <row r="162" spans="4:8" ht="18.75" customHeight="1" x14ac:dyDescent="0.3">
      <c r="D162" s="17" t="str">
        <v/>
      </c>
      <c r="E162" s="17" t="str">
        <v/>
      </c>
      <c r="F162" s="17" t="str">
        <v/>
      </c>
      <c r="G162" s="17" t="str">
        <v/>
      </c>
      <c r="H162" s="17" t="str">
        <v/>
      </c>
    </row>
    <row r="163" spans="4:8" ht="18.75" customHeight="1" x14ac:dyDescent="0.3">
      <c r="D163" s="17" t="str">
        <v/>
      </c>
      <c r="E163" s="17" t="str">
        <v/>
      </c>
      <c r="F163" s="17" t="str">
        <v/>
      </c>
      <c r="G163" s="17" t="str">
        <v/>
      </c>
      <c r="H163" s="17" t="str">
        <v/>
      </c>
    </row>
    <row r="164" spans="4:8" ht="18.75" customHeight="1" x14ac:dyDescent="0.3">
      <c r="D164" s="17" t="str">
        <v/>
      </c>
      <c r="E164" s="17" t="str">
        <v/>
      </c>
      <c r="F164" s="17" t="str">
        <v/>
      </c>
      <c r="G164" s="17" t="str">
        <v/>
      </c>
      <c r="H164" s="17" t="str">
        <v/>
      </c>
    </row>
    <row r="165" spans="4:8" ht="18.75" customHeight="1" x14ac:dyDescent="0.3">
      <c r="D165" s="17" t="str">
        <v/>
      </c>
      <c r="E165" s="17" t="str">
        <v/>
      </c>
      <c r="F165" s="17" t="str">
        <v/>
      </c>
      <c r="G165" s="17" t="str">
        <v/>
      </c>
      <c r="H165" s="17" t="str">
        <v/>
      </c>
    </row>
    <row r="166" spans="4:8" ht="18.75" customHeight="1" x14ac:dyDescent="0.3">
      <c r="D166" s="17" t="str">
        <v/>
      </c>
      <c r="E166" s="17" t="str">
        <v/>
      </c>
      <c r="F166" s="17" t="str">
        <v/>
      </c>
      <c r="G166" s="17" t="str">
        <v/>
      </c>
      <c r="H166" s="17" t="str">
        <v/>
      </c>
    </row>
    <row r="167" spans="4:8" ht="18.75" customHeight="1" x14ac:dyDescent="0.3">
      <c r="D167" s="17" t="str">
        <v/>
      </c>
      <c r="E167" s="17" t="str">
        <v/>
      </c>
      <c r="F167" s="17" t="str">
        <v/>
      </c>
      <c r="G167" s="17" t="str">
        <v/>
      </c>
      <c r="H167" s="17" t="str">
        <v/>
      </c>
    </row>
    <row r="168" spans="4:8" ht="18.75" customHeight="1" x14ac:dyDescent="0.3">
      <c r="D168" s="17" t="str">
        <v/>
      </c>
      <c r="E168" s="17" t="str">
        <v/>
      </c>
      <c r="F168" s="17" t="str">
        <v/>
      </c>
      <c r="G168" s="17" t="str">
        <v/>
      </c>
      <c r="H168" s="17" t="str">
        <v/>
      </c>
    </row>
    <row r="169" spans="4:8" ht="18.75" customHeight="1" x14ac:dyDescent="0.3">
      <c r="D169" s="17" t="str">
        <v/>
      </c>
      <c r="E169" s="17" t="str">
        <v/>
      </c>
      <c r="F169" s="17" t="str">
        <v/>
      </c>
      <c r="G169" s="17" t="str">
        <v/>
      </c>
      <c r="H169" s="17" t="str">
        <v/>
      </c>
    </row>
    <row r="170" spans="4:8" ht="18.75" customHeight="1" x14ac:dyDescent="0.3">
      <c r="D170" s="17" t="str">
        <v/>
      </c>
      <c r="E170" s="17" t="str">
        <v/>
      </c>
      <c r="F170" s="17" t="str">
        <v/>
      </c>
      <c r="G170" s="17" t="str">
        <v/>
      </c>
      <c r="H170" s="17" t="str">
        <v/>
      </c>
    </row>
    <row r="171" spans="4:8" ht="18.75" customHeight="1" x14ac:dyDescent="0.3">
      <c r="D171" s="17" t="str">
        <v/>
      </c>
      <c r="E171" s="17" t="str">
        <v/>
      </c>
      <c r="F171" s="17" t="str">
        <v/>
      </c>
      <c r="G171" s="17" t="str">
        <v/>
      </c>
      <c r="H171" s="17" t="str">
        <v/>
      </c>
    </row>
    <row r="172" spans="4:8" ht="18.75" customHeight="1" x14ac:dyDescent="0.3">
      <c r="D172" s="17" t="str">
        <v/>
      </c>
      <c r="E172" s="17" t="str">
        <v/>
      </c>
      <c r="F172" s="17" t="str">
        <v/>
      </c>
      <c r="G172" s="17" t="str">
        <v/>
      </c>
      <c r="H172" s="17" t="str">
        <v/>
      </c>
    </row>
    <row r="173" spans="4:8" ht="18.75" customHeight="1" x14ac:dyDescent="0.3">
      <c r="D173" s="17" t="str">
        <v/>
      </c>
      <c r="E173" s="17" t="str">
        <v/>
      </c>
      <c r="F173" s="17" t="str">
        <v/>
      </c>
      <c r="G173" s="17" t="str">
        <v/>
      </c>
      <c r="H173" s="17" t="str">
        <v/>
      </c>
    </row>
    <row r="174" spans="4:8" ht="18.75" customHeight="1" x14ac:dyDescent="0.3">
      <c r="D174" s="17" t="str">
        <v/>
      </c>
      <c r="E174" s="17" t="str">
        <v/>
      </c>
      <c r="F174" s="17" t="str">
        <v/>
      </c>
      <c r="G174" s="17" t="str">
        <v/>
      </c>
      <c r="H174" s="17" t="str">
        <v/>
      </c>
    </row>
    <row r="175" spans="4:8" ht="18.75" customHeight="1" x14ac:dyDescent="0.3">
      <c r="D175" s="17" t="str">
        <v/>
      </c>
      <c r="E175" s="17" t="str">
        <v/>
      </c>
      <c r="F175" s="17" t="str">
        <v/>
      </c>
      <c r="G175" s="17" t="str">
        <v/>
      </c>
      <c r="H175" s="17" t="str">
        <v/>
      </c>
    </row>
    <row r="176" spans="4:8" ht="18.75" customHeight="1" x14ac:dyDescent="0.3">
      <c r="D176" s="17" t="str">
        <v/>
      </c>
      <c r="E176" s="17" t="str">
        <v/>
      </c>
      <c r="F176" s="17" t="str">
        <v/>
      </c>
      <c r="G176" s="17" t="str">
        <v/>
      </c>
      <c r="H176" s="17" t="str">
        <v/>
      </c>
    </row>
    <row r="177" spans="4:8" ht="18.75" customHeight="1" x14ac:dyDescent="0.3">
      <c r="D177" s="17" t="str">
        <v/>
      </c>
      <c r="E177" s="17" t="str">
        <v/>
      </c>
      <c r="F177" s="17" t="str">
        <v/>
      </c>
      <c r="G177" s="17" t="str">
        <v/>
      </c>
      <c r="H177" s="17" t="str">
        <v/>
      </c>
    </row>
    <row r="178" spans="4:8" ht="18.75" customHeight="1" x14ac:dyDescent="0.3">
      <c r="D178" s="17" t="str">
        <v/>
      </c>
      <c r="E178" s="17" t="str">
        <v/>
      </c>
      <c r="F178" s="17" t="str">
        <v/>
      </c>
      <c r="G178" s="17" t="str">
        <v/>
      </c>
      <c r="H178" s="17" t="str">
        <v/>
      </c>
    </row>
    <row r="179" spans="4:8" ht="18.75" customHeight="1" x14ac:dyDescent="0.3">
      <c r="D179" s="17" t="str">
        <v/>
      </c>
      <c r="E179" s="17" t="str">
        <v/>
      </c>
      <c r="F179" s="17" t="str">
        <v/>
      </c>
      <c r="G179" s="17" t="str">
        <v/>
      </c>
      <c r="H179" s="17" t="str">
        <v/>
      </c>
    </row>
    <row r="180" spans="4:8" ht="18.75" customHeight="1" x14ac:dyDescent="0.3">
      <c r="D180" s="17" t="str">
        <v/>
      </c>
      <c r="E180" s="17" t="str">
        <v/>
      </c>
      <c r="F180" s="17" t="str">
        <v/>
      </c>
      <c r="G180" s="17" t="str">
        <v/>
      </c>
      <c r="H180" s="17" t="str">
        <v/>
      </c>
    </row>
    <row r="181" spans="4:8" ht="18.75" customHeight="1" x14ac:dyDescent="0.3">
      <c r="D181" s="17" t="str">
        <v/>
      </c>
      <c r="E181" s="17" t="str">
        <v/>
      </c>
      <c r="F181" s="17" t="str">
        <v/>
      </c>
      <c r="G181" s="17" t="str">
        <v/>
      </c>
      <c r="H181" s="17" t="str">
        <v/>
      </c>
    </row>
    <row r="182" spans="4:8" ht="18.75" customHeight="1" x14ac:dyDescent="0.3">
      <c r="D182" s="17" t="str">
        <v/>
      </c>
      <c r="E182" s="17" t="str">
        <v/>
      </c>
      <c r="F182" s="17" t="str">
        <v/>
      </c>
      <c r="G182" s="17" t="str">
        <v/>
      </c>
      <c r="H182" s="17" t="str">
        <v/>
      </c>
    </row>
    <row r="183" spans="4:8" ht="18.75" customHeight="1" x14ac:dyDescent="0.3">
      <c r="D183" s="17" t="str">
        <v/>
      </c>
      <c r="E183" s="17" t="str">
        <v/>
      </c>
      <c r="F183" s="17" t="str">
        <v/>
      </c>
      <c r="G183" s="17" t="str">
        <v/>
      </c>
      <c r="H183" s="17" t="str">
        <v/>
      </c>
    </row>
    <row r="184" spans="4:8" ht="18.75" customHeight="1" x14ac:dyDescent="0.3">
      <c r="D184" s="17" t="str">
        <v/>
      </c>
      <c r="E184" s="17" t="str">
        <v/>
      </c>
      <c r="F184" s="17" t="str">
        <v/>
      </c>
      <c r="G184" s="17" t="str">
        <v/>
      </c>
      <c r="H184" s="17" t="str">
        <v/>
      </c>
    </row>
    <row r="185" spans="4:8" ht="18.75" customHeight="1" x14ac:dyDescent="0.3">
      <c r="D185" s="17" t="str">
        <v/>
      </c>
      <c r="E185" s="17" t="str">
        <v/>
      </c>
      <c r="F185" s="17" t="str">
        <v/>
      </c>
      <c r="G185" s="17" t="str">
        <v/>
      </c>
      <c r="H185" s="17" t="str">
        <v/>
      </c>
    </row>
    <row r="186" spans="4:8" ht="18.75" customHeight="1" x14ac:dyDescent="0.3">
      <c r="D186" s="17" t="str">
        <v/>
      </c>
      <c r="E186" s="17" t="str">
        <v/>
      </c>
      <c r="F186" s="17" t="str">
        <v/>
      </c>
      <c r="G186" s="17" t="str">
        <v/>
      </c>
      <c r="H186" s="17" t="str">
        <v/>
      </c>
    </row>
    <row r="187" spans="4:8" ht="18.75" customHeight="1" x14ac:dyDescent="0.3">
      <c r="D187" s="17" t="str">
        <v/>
      </c>
      <c r="E187" s="17" t="str">
        <v/>
      </c>
      <c r="F187" s="17" t="str">
        <v/>
      </c>
      <c r="G187" s="17" t="str">
        <v/>
      </c>
      <c r="H187" s="17" t="str">
        <v/>
      </c>
    </row>
    <row r="188" spans="4:8" ht="18.75" customHeight="1" x14ac:dyDescent="0.3">
      <c r="D188" s="17" t="str">
        <v/>
      </c>
      <c r="E188" s="17" t="str">
        <v/>
      </c>
      <c r="F188" s="17" t="str">
        <v/>
      </c>
      <c r="G188" s="17" t="str">
        <v/>
      </c>
      <c r="H188" s="17" t="str">
        <v/>
      </c>
    </row>
    <row r="189" spans="4:8" ht="18.75" customHeight="1" x14ac:dyDescent="0.3">
      <c r="D189" s="17" t="str">
        <v/>
      </c>
      <c r="E189" s="17" t="str">
        <v/>
      </c>
      <c r="F189" s="17" t="str">
        <v/>
      </c>
      <c r="G189" s="17" t="str">
        <v/>
      </c>
      <c r="H189" s="17" t="str">
        <v/>
      </c>
    </row>
    <row r="190" spans="4:8" ht="18.75" customHeight="1" x14ac:dyDescent="0.3">
      <c r="D190" s="17" t="str">
        <v/>
      </c>
      <c r="E190" s="17" t="str">
        <v/>
      </c>
      <c r="F190" s="17" t="str">
        <v/>
      </c>
      <c r="G190" s="17" t="str">
        <v/>
      </c>
      <c r="H190" s="17" t="str">
        <v/>
      </c>
    </row>
    <row r="191" spans="4:8" ht="18.75" customHeight="1" x14ac:dyDescent="0.3">
      <c r="D191" s="17" t="str">
        <v/>
      </c>
      <c r="E191" s="17" t="str">
        <v/>
      </c>
      <c r="F191" s="17" t="str">
        <v/>
      </c>
      <c r="G191" s="17" t="str">
        <v/>
      </c>
      <c r="H191" s="17" t="str">
        <v/>
      </c>
    </row>
    <row r="192" spans="4:8" ht="18.75" customHeight="1" x14ac:dyDescent="0.3">
      <c r="D192" s="17" t="str">
        <v/>
      </c>
      <c r="E192" s="17" t="str">
        <v/>
      </c>
      <c r="F192" s="17" t="str">
        <v/>
      </c>
      <c r="G192" s="17" t="str">
        <v/>
      </c>
      <c r="H192" s="17" t="str">
        <v/>
      </c>
    </row>
    <row r="193" spans="4:8" ht="18.75" customHeight="1" x14ac:dyDescent="0.3">
      <c r="D193" s="17" t="str">
        <v/>
      </c>
      <c r="E193" s="17" t="str">
        <v/>
      </c>
      <c r="F193" s="17" t="str">
        <v/>
      </c>
      <c r="G193" s="17" t="str">
        <v/>
      </c>
      <c r="H193" s="17" t="str">
        <v/>
      </c>
    </row>
    <row r="194" spans="4:8" ht="18.75" customHeight="1" x14ac:dyDescent="0.3">
      <c r="D194" s="17" t="str">
        <v/>
      </c>
      <c r="E194" s="17" t="str">
        <v/>
      </c>
      <c r="F194" s="17" t="str">
        <v/>
      </c>
      <c r="G194" s="17" t="str">
        <v/>
      </c>
      <c r="H194" s="17" t="str">
        <v/>
      </c>
    </row>
    <row r="195" spans="4:8" ht="18.75" customHeight="1" x14ac:dyDescent="0.3">
      <c r="D195" s="17" t="str">
        <v/>
      </c>
      <c r="E195" s="17" t="str">
        <v/>
      </c>
      <c r="F195" s="17" t="str">
        <v/>
      </c>
      <c r="G195" s="17" t="str">
        <v/>
      </c>
      <c r="H195" s="17" t="str">
        <v/>
      </c>
    </row>
    <row r="196" spans="4:8" ht="18.75" customHeight="1" x14ac:dyDescent="0.3">
      <c r="D196" s="17" t="str">
        <v/>
      </c>
      <c r="E196" s="17" t="str">
        <v/>
      </c>
      <c r="F196" s="17" t="str">
        <v/>
      </c>
      <c r="G196" s="17" t="str">
        <v/>
      </c>
      <c r="H196" s="17" t="str">
        <v/>
      </c>
    </row>
    <row r="197" spans="4:8" ht="18.75" customHeight="1" x14ac:dyDescent="0.3">
      <c r="D197" s="17" t="str">
        <v/>
      </c>
      <c r="E197" s="17" t="str">
        <v/>
      </c>
      <c r="F197" s="17" t="str">
        <v/>
      </c>
      <c r="G197" s="17" t="str">
        <v/>
      </c>
      <c r="H197" s="17" t="str">
        <v/>
      </c>
    </row>
    <row r="198" spans="4:8" ht="18.75" customHeight="1" x14ac:dyDescent="0.3">
      <c r="D198" s="17" t="str">
        <v/>
      </c>
      <c r="E198" s="17" t="str">
        <v/>
      </c>
      <c r="F198" s="17" t="str">
        <v/>
      </c>
      <c r="G198" s="17" t="str">
        <v/>
      </c>
      <c r="H198" s="17" t="str">
        <v/>
      </c>
    </row>
    <row r="199" spans="4:8" ht="18.75" customHeight="1" x14ac:dyDescent="0.3">
      <c r="D199" s="17" t="str">
        <v/>
      </c>
      <c r="E199" s="17" t="str">
        <v/>
      </c>
      <c r="F199" s="17" t="str">
        <v/>
      </c>
      <c r="G199" s="17" t="str">
        <v/>
      </c>
      <c r="H199" s="17" t="str">
        <v/>
      </c>
    </row>
    <row r="200" spans="4:8" ht="18.75" customHeight="1" x14ac:dyDescent="0.3">
      <c r="D200" s="17" t="str">
        <v/>
      </c>
      <c r="E200" s="17" t="str">
        <v/>
      </c>
      <c r="F200" s="17" t="str">
        <v/>
      </c>
      <c r="G200" s="17" t="str">
        <v/>
      </c>
      <c r="H200" s="17" t="str">
        <v/>
      </c>
    </row>
    <row r="201" spans="4:8" ht="18.75" customHeight="1" x14ac:dyDescent="0.3">
      <c r="D201" s="17" t="str">
        <v/>
      </c>
      <c r="E201" s="17" t="str">
        <v/>
      </c>
      <c r="F201" s="17" t="str">
        <v/>
      </c>
      <c r="G201" s="17" t="str">
        <v/>
      </c>
      <c r="H201" s="17" t="str">
        <v/>
      </c>
    </row>
    <row r="202" spans="4:8" ht="18.75" customHeight="1" x14ac:dyDescent="0.3">
      <c r="D202" s="17" t="str">
        <v/>
      </c>
      <c r="E202" s="17" t="str">
        <v/>
      </c>
      <c r="F202" s="17" t="str">
        <v/>
      </c>
      <c r="G202" s="17" t="str">
        <v/>
      </c>
      <c r="H202" s="17" t="str">
        <v/>
      </c>
    </row>
    <row r="203" spans="4:8" ht="18.75" customHeight="1" x14ac:dyDescent="0.3">
      <c r="D203" s="17" t="str">
        <v/>
      </c>
      <c r="E203" s="17" t="str">
        <v/>
      </c>
      <c r="F203" s="17" t="str">
        <v/>
      </c>
      <c r="G203" s="17" t="str">
        <v/>
      </c>
      <c r="H203" s="17" t="str">
        <v/>
      </c>
    </row>
    <row r="204" spans="4:8" ht="18.75" customHeight="1" x14ac:dyDescent="0.3">
      <c r="D204" s="17" t="str">
        <v/>
      </c>
      <c r="E204" s="17" t="str">
        <v/>
      </c>
      <c r="F204" s="17" t="str">
        <v/>
      </c>
      <c r="G204" s="17" t="str">
        <v/>
      </c>
      <c r="H204" s="17" t="str">
        <v/>
      </c>
    </row>
    <row r="205" spans="4:8" ht="18.75" customHeight="1" x14ac:dyDescent="0.3">
      <c r="D205" s="17" t="str">
        <v/>
      </c>
      <c r="E205" s="17" t="str">
        <v/>
      </c>
      <c r="F205" s="17" t="str">
        <v/>
      </c>
      <c r="G205" s="17" t="str">
        <v/>
      </c>
      <c r="H205" s="17" t="str">
        <v/>
      </c>
    </row>
    <row r="206" spans="4:8" ht="18.75" customHeight="1" x14ac:dyDescent="0.3">
      <c r="D206" s="17" t="str">
        <v/>
      </c>
      <c r="E206" s="17" t="str">
        <v/>
      </c>
      <c r="F206" s="17" t="str">
        <v/>
      </c>
      <c r="G206" s="17" t="str">
        <v/>
      </c>
      <c r="H206" s="17" t="str">
        <v/>
      </c>
    </row>
    <row r="207" spans="4:8" ht="18.75" customHeight="1" x14ac:dyDescent="0.3">
      <c r="D207" s="17" t="str">
        <v/>
      </c>
      <c r="E207" s="17" t="str">
        <v/>
      </c>
      <c r="F207" s="17" t="str">
        <v/>
      </c>
      <c r="G207" s="17" t="str">
        <v/>
      </c>
      <c r="H207" s="17" t="str">
        <v/>
      </c>
    </row>
    <row r="208" spans="4:8" ht="18.75" customHeight="1" x14ac:dyDescent="0.3">
      <c r="D208" s="17" t="str">
        <v/>
      </c>
      <c r="E208" s="17" t="str">
        <v/>
      </c>
      <c r="F208" s="17" t="str">
        <v/>
      </c>
      <c r="G208" s="17" t="str">
        <v/>
      </c>
      <c r="H208" s="17" t="str">
        <v/>
      </c>
    </row>
  </sheetData>
  <sheetProtection selectLockedCells="1"/>
  <phoneticPr fontId="3" type="noConversion"/>
  <conditionalFormatting sqref="D2:H9999">
    <cfRule type="top10" dxfId="25" priority="7" bottom="1" rank="10"/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'2.I_Catalogo'!$H$4:$H$7</xm:f>
          </x14:formula1>
          <xm:sqref>V4:V24 L4:L24 Q4:Q24 AA4:AA24</xm:sqref>
        </x14:dataValidation>
        <x14:dataValidation type="list" allowBlank="1" showDropDown="1" showInputMessage="1" showErrorMessage="1" errorTitle="Es una X" error="Marca con una X, no es tan difícil..." prompt="Si ya está hecho, marca una X">
          <x14:formula1>
            <xm:f>'2.C_Datos'!$AI$3</xm:f>
          </x14:formula1>
          <xm:sqref>O4:O24 T4:T24 Y4:Y24 AD4:AD24</xm:sqref>
        </x14:dataValidation>
        <x14:dataValidation type="list" allowBlank="1" showInputMessage="1" showErrorMessage="1">
          <x14:formula1>
            <xm:f>'4.I_Pedidos'!$E$3:$E$9998</xm:f>
          </x14:formula1>
          <xm:sqref>X4:X24 N4:N24 S4:S24 AC4:AC24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4" sqref="B4"/>
    </sheetView>
  </sheetViews>
  <sheetFormatPr baseColWidth="10" defaultRowHeight="14.4" x14ac:dyDescent="0.3"/>
  <cols>
    <col min="2" max="2" width="13.88671875" customWidth="1"/>
    <col min="3" max="3" width="15.5546875" customWidth="1"/>
  </cols>
  <sheetData>
    <row r="1" spans="1:6" s="42" customFormat="1" ht="34.5" customHeight="1" x14ac:dyDescent="0.3">
      <c r="A1" s="43" t="s">
        <v>40</v>
      </c>
      <c r="B1" s="44"/>
      <c r="C1" s="44"/>
      <c r="D1" s="44"/>
      <c r="E1" s="41" t="s">
        <v>39</v>
      </c>
    </row>
    <row r="2" spans="1:6" x14ac:dyDescent="0.3">
      <c r="A2" t="s">
        <v>34</v>
      </c>
      <c r="B2" t="s">
        <v>38</v>
      </c>
      <c r="C2" t="s">
        <v>37</v>
      </c>
      <c r="E2" t="s">
        <v>36</v>
      </c>
      <c r="F2" t="s">
        <v>35</v>
      </c>
    </row>
    <row r="3" spans="1:6" x14ac:dyDescent="0.3">
      <c r="A3" t="s">
        <v>1</v>
      </c>
      <c r="B3">
        <v>1</v>
      </c>
      <c r="C3" s="3">
        <v>44303</v>
      </c>
      <c r="E3" t="str" cm="1">
        <f t="array" ref="E3:E11">ListadoMateriales[Materiales]</f>
        <v>OBJ1</v>
      </c>
      <c r="F3" s="68">
        <f>SUMIF(Registro_Compras[Material],E3,Registro_Compras[Uds])-SUMIF(Registro_Consumos[Material],E3,Registro_Consumos[Uds consum])-SUMIF(Registro_DevolucionCompras[Material],'3.I_Registro'!E3,Registro_DevolucionCompras[Uds devueltas])</f>
        <v>3</v>
      </c>
    </row>
    <row r="4" spans="1:6" x14ac:dyDescent="0.3">
      <c r="A4" t="s">
        <v>2</v>
      </c>
      <c r="B4">
        <v>4</v>
      </c>
      <c r="C4" s="3">
        <v>44303</v>
      </c>
      <c r="E4" t="str">
        <v>OBJ2</v>
      </c>
      <c r="F4" s="68">
        <f>SUMIF(Registro_Compras[Material],E4,Registro_Compras[Uds])-SUMIF(Registro_Consumos[Material],E4,Registro_Consumos[Uds consum])</f>
        <v>6</v>
      </c>
    </row>
    <row r="5" spans="1:6" x14ac:dyDescent="0.3">
      <c r="A5" t="s">
        <v>4</v>
      </c>
      <c r="B5">
        <v>2</v>
      </c>
      <c r="C5" s="3">
        <v>44304</v>
      </c>
      <c r="E5" t="str">
        <v>OBJ3</v>
      </c>
      <c r="F5" s="68">
        <f>SUMIF(Registro_Compras[Material],E5,Registro_Compras[Uds])-SUMIF(Registro_Consumos[Material],E5,Registro_Consumos[Uds consum])</f>
        <v>4</v>
      </c>
    </row>
    <row r="6" spans="1:6" x14ac:dyDescent="0.3">
      <c r="C6" s="3"/>
      <c r="E6" t="str">
        <v>OBJ4</v>
      </c>
      <c r="F6" s="68">
        <f>SUMIF(Registro_Compras[Material],E6,Registro_Compras[Uds])-SUMIF(Registro_Consumos[Material],E6,Registro_Consumos[Uds consum])</f>
        <v>15</v>
      </c>
    </row>
    <row r="7" spans="1:6" x14ac:dyDescent="0.3">
      <c r="C7" s="3"/>
      <c r="E7" t="str">
        <v>OBJ5</v>
      </c>
      <c r="F7" s="68">
        <f>SUMIF(Registro_Compras[Material],E7,Registro_Compras[Uds])-SUMIF(Registro_Consumos[Material],E7,Registro_Consumos[Uds consum])</f>
        <v>2</v>
      </c>
    </row>
    <row r="8" spans="1:6" x14ac:dyDescent="0.3">
      <c r="C8" s="3"/>
      <c r="E8" t="str">
        <v>OBJ6</v>
      </c>
      <c r="F8" s="68">
        <f>SUMIF(Registro_Compras[Material],E8,Registro_Compras[Uds])-SUMIF(Registro_Consumos[Material],E8,Registro_Consumos[Uds consum])</f>
        <v>1</v>
      </c>
    </row>
    <row r="9" spans="1:6" x14ac:dyDescent="0.3">
      <c r="C9" s="3"/>
      <c r="E9" t="str">
        <v>OBJ7</v>
      </c>
      <c r="F9" s="68">
        <f>SUMIF(Registro_Compras[Material],E9,Registro_Compras[Uds])-SUMIF(Registro_Consumos[Material],E9,Registro_Consumos[Uds consum])</f>
        <v>9</v>
      </c>
    </row>
    <row r="10" spans="1:6" x14ac:dyDescent="0.3">
      <c r="C10" s="3"/>
      <c r="E10" t="str">
        <v>OBJ8</v>
      </c>
      <c r="F10" s="68">
        <f>SUMIF(Registro_Compras[Material],E10,Registro_Compras[Uds])-SUMIF(Registro_Consumos[Material],E10,Registro_Consumos[Uds consum])</f>
        <v>5</v>
      </c>
    </row>
    <row r="11" spans="1:6" x14ac:dyDescent="0.3">
      <c r="C11" s="3"/>
      <c r="E11" t="str">
        <v>OBJ9</v>
      </c>
      <c r="F11" s="68">
        <f>SUMIF(Registro_Compras[Material],E11,Registro_Compras[Uds])-SUMIF(Registro_Consumos[Material],E11,Registro_Consumos[Uds consum])</f>
        <v>4</v>
      </c>
    </row>
  </sheetData>
  <conditionalFormatting sqref="F3:F1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{5B0E03DC-A214-425E-BBDC-3AC0FA0949BA}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0E03DC-A214-425E-BBDC-3AC0FA0949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'1.C_Listas'!$D$4:$D$12</xm:f>
          </x14:formula1>
          <xm:sqref>A3:A11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4" sqref="A4"/>
    </sheetView>
  </sheetViews>
  <sheetFormatPr baseColWidth="10" defaultRowHeight="14.4" x14ac:dyDescent="0.3"/>
  <sheetData>
    <row r="1" spans="1:5" s="42" customFormat="1" ht="34.5" customHeight="1" x14ac:dyDescent="0.3">
      <c r="A1" s="43"/>
      <c r="B1" s="44"/>
      <c r="C1" s="44"/>
      <c r="D1" s="44"/>
      <c r="E1" s="41"/>
    </row>
    <row r="2" spans="1:5" x14ac:dyDescent="0.3">
      <c r="A2" s="2" t="s">
        <v>42</v>
      </c>
      <c r="E2" s="2" t="s">
        <v>100</v>
      </c>
    </row>
    <row r="3" spans="1:5" x14ac:dyDescent="0.3">
      <c r="A3" t="s">
        <v>34</v>
      </c>
      <c r="B3" t="s">
        <v>41</v>
      </c>
      <c r="E3" t="s">
        <v>101</v>
      </c>
    </row>
    <row r="4" spans="1:5" x14ac:dyDescent="0.3">
      <c r="A4" t="str" cm="1">
        <f t="array" ref="A4:A12">ListadoMateriales[Materiales]</f>
        <v>OBJ1</v>
      </c>
      <c r="B4">
        <f>SUMIF(Registro_Compras[Material],A4,Registro_Compras[Uds])-SUMIF(Registro_Consumos[Material],A4,Registro_Consumos[Uds consum])</f>
        <v>5</v>
      </c>
      <c r="E4" t="s">
        <v>102</v>
      </c>
    </row>
    <row r="5" spans="1:5" x14ac:dyDescent="0.3">
      <c r="A5" t="str">
        <v>OBJ2</v>
      </c>
      <c r="B5">
        <f>SUMIF(Registro_Compras[Material],A5,Registro_Compras[Uds])-SUMIF(Registro_Consumos[Material],A5,Registro_Consumos[Uds consum])</f>
        <v>6</v>
      </c>
    </row>
    <row r="6" spans="1:5" x14ac:dyDescent="0.3">
      <c r="A6" t="str">
        <v>OBJ3</v>
      </c>
      <c r="B6">
        <f>SUMIF(Registro_Compras[Material],A6,Registro_Compras[Uds])-SUMIF(Registro_Consumos[Material],A6,Registro_Consumos[Uds consum])</f>
        <v>4</v>
      </c>
    </row>
    <row r="7" spans="1:5" x14ac:dyDescent="0.3">
      <c r="A7" t="str">
        <v>OBJ4</v>
      </c>
      <c r="B7">
        <f>SUMIF(Registro_Compras[Material],A7,Registro_Compras[Uds])-SUMIF(Registro_Consumos[Material],A7,Registro_Consumos[Uds consum])</f>
        <v>15</v>
      </c>
    </row>
    <row r="8" spans="1:5" x14ac:dyDescent="0.3">
      <c r="A8" t="str">
        <v>OBJ5</v>
      </c>
      <c r="B8">
        <f>SUMIF(Registro_Compras[Material],A8,Registro_Compras[Uds])-SUMIF(Registro_Consumos[Material],A8,Registro_Consumos[Uds consum])</f>
        <v>2</v>
      </c>
    </row>
    <row r="9" spans="1:5" x14ac:dyDescent="0.3">
      <c r="A9" t="str">
        <v>OBJ6</v>
      </c>
      <c r="B9">
        <f>SUMIF(Registro_Compras[Material],A9,Registro_Compras[Uds])-SUMIF(Registro_Consumos[Material],A9,Registro_Consumos[Uds consum])</f>
        <v>1</v>
      </c>
    </row>
    <row r="10" spans="1:5" x14ac:dyDescent="0.3">
      <c r="A10" t="str">
        <v>OBJ7</v>
      </c>
      <c r="B10">
        <f>SUMIF(Registro_Compras[Material],A10,Registro_Compras[Uds])-SUMIF(Registro_Consumos[Material],A10,Registro_Consumos[Uds consum])</f>
        <v>9</v>
      </c>
    </row>
    <row r="11" spans="1:5" x14ac:dyDescent="0.3">
      <c r="A11" t="str">
        <v>OBJ8</v>
      </c>
      <c r="B11">
        <f>SUMIF(Registro_Compras[Material],A11,Registro_Compras[Uds])-SUMIF(Registro_Consumos[Material],A11,Registro_Consumos[Uds consum])</f>
        <v>5</v>
      </c>
    </row>
    <row r="12" spans="1:5" x14ac:dyDescent="0.3">
      <c r="A12" t="str">
        <v>OBJ9</v>
      </c>
      <c r="B12">
        <f>SUMIF(Registro_Compras[Material],A12,Registro_Compras[Uds])-SUMIF(Registro_Consumos[Material],A12,Registro_Consumos[Uds consum])</f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9"/>
  <sheetViews>
    <sheetView workbookViewId="0">
      <selection activeCell="H3" sqref="H3"/>
    </sheetView>
  </sheetViews>
  <sheetFormatPr baseColWidth="10" defaultRowHeight="14.4" x14ac:dyDescent="0.3"/>
  <cols>
    <col min="6" max="7" width="14.33203125" customWidth="1"/>
    <col min="8" max="8" width="19.44140625" customWidth="1"/>
  </cols>
  <sheetData>
    <row r="1" spans="1:11" s="64" customFormat="1" ht="34.5" customHeight="1" x14ac:dyDescent="0.3">
      <c r="A1" s="69" t="s">
        <v>92</v>
      </c>
      <c r="E1" s="63"/>
    </row>
    <row r="2" spans="1:11" s="78" customFormat="1" ht="30" customHeight="1" x14ac:dyDescent="0.3">
      <c r="A2" s="78" t="s">
        <v>10</v>
      </c>
      <c r="B2" s="78" t="s">
        <v>95</v>
      </c>
      <c r="C2" s="78" t="s">
        <v>96</v>
      </c>
      <c r="D2" s="78" t="s">
        <v>107</v>
      </c>
      <c r="E2" s="78" t="s">
        <v>104</v>
      </c>
      <c r="F2" s="78" t="s">
        <v>99</v>
      </c>
      <c r="G2" s="78" t="s">
        <v>147</v>
      </c>
      <c r="H2" s="78" t="s">
        <v>86</v>
      </c>
      <c r="I2" s="78" t="s">
        <v>14</v>
      </c>
      <c r="J2" s="78" t="s">
        <v>103</v>
      </c>
      <c r="K2" s="78" t="s">
        <v>97</v>
      </c>
    </row>
    <row r="3" spans="1:11" x14ac:dyDescent="0.3">
      <c r="A3" s="3">
        <v>44304</v>
      </c>
      <c r="B3" t="s">
        <v>98</v>
      </c>
      <c r="C3" t="s">
        <v>60</v>
      </c>
      <c r="D3" s="81">
        <v>1</v>
      </c>
      <c r="E3" s="21" t="str">
        <f>IF(Registro_Pedidos[[#This Row],[Producto]]="","",CONCATENATE("PD_",ROW(Registro_Pedidos[[#This Row],[Producto]])-2))</f>
        <v>PD_1</v>
      </c>
      <c r="F3" s="3">
        <v>44307</v>
      </c>
      <c r="G3" s="3">
        <v>44308</v>
      </c>
      <c r="H3" s="55">
        <f>IF(Registro_Pedidos[[#This Row],[Producto]]="","",INDEX(ListadoProductos[],MATCH(Registro_Pedidos[[#This Row],[Producto]],ListadoProductos[Productos],0),MATCH("Precio",ListadoProductos[#Headers],))*Registro_Pedidos[[#This Row],[Cantidad]])</f>
        <v>10</v>
      </c>
      <c r="I3" s="55">
        <f>IF(Registro_Pedidos[[#This Row],[Producto]]="","",Registro_Pedidos[[#This Row],[Precio]]*INDEX(ListadoProductos[],MATCH(Registro_Pedidos[[#This Row],[Producto]],ListadoProductos[Productos],0),MATCH("IVA",ListadoProductos[#Headers],0)))</f>
        <v>2.1</v>
      </c>
      <c r="J3" s="55">
        <f>IF(Registro_Pedidos[[#This Row],[Producto]]="","",Registro_Pedidos[[#This Row],[Precio]]+Registro_Pedidos[[#This Row],[IVA]])</f>
        <v>12.1</v>
      </c>
      <c r="K3" s="109" t="str">
        <f>IF(Registro_Pedidos[[#This Row],[Fecha cobro]]="","No","Si")</f>
        <v>Si</v>
      </c>
    </row>
    <row r="4" spans="1:11" x14ac:dyDescent="0.3">
      <c r="A4" s="3">
        <v>44304</v>
      </c>
      <c r="B4" t="s">
        <v>106</v>
      </c>
      <c r="C4" t="s">
        <v>56</v>
      </c>
      <c r="D4" s="81">
        <v>2</v>
      </c>
      <c r="E4" s="21" t="str">
        <f>IF(Registro_Pedidos[[#This Row],[Producto]]="","",CONCATENATE("PD_",ROW(Registro_Pedidos[[#This Row],[Producto]])-2))</f>
        <v>PD_2</v>
      </c>
      <c r="F4" s="3">
        <v>44314</v>
      </c>
      <c r="G4" s="3">
        <v>44314</v>
      </c>
      <c r="H4" s="55">
        <f>IF(Registro_Pedidos[[#This Row],[Producto]]="","",INDEX(ListadoProductos[],MATCH(Registro_Pedidos[[#This Row],[Producto]],ListadoProductos[Productos],0),MATCH("Precio",ListadoProductos[#Headers],))*Registro_Pedidos[[#This Row],[Cantidad]])</f>
        <v>12</v>
      </c>
      <c r="I4" s="55">
        <f>IF(Registro_Pedidos[[#This Row],[Producto]]="","",Registro_Pedidos[[#This Row],[Precio]]*INDEX(ListadoProductos[],MATCH(Registro_Pedidos[[#This Row],[Producto]],ListadoProductos[Productos],0),MATCH("IVA",ListadoProductos[#Headers],0)))</f>
        <v>2.52</v>
      </c>
      <c r="J4" s="55">
        <f>IF(Registro_Pedidos[[#This Row],[Producto]]="","",Registro_Pedidos[[#This Row],[Precio]]+Registro_Pedidos[[#This Row],[IVA]])</f>
        <v>14.52</v>
      </c>
      <c r="K4" s="109" t="str">
        <f>IF(Registro_Pedidos[[#This Row],[Fecha cobro]]="","No","Si")</f>
        <v>Si</v>
      </c>
    </row>
    <row r="5" spans="1:11" x14ac:dyDescent="0.3">
      <c r="A5" s="3">
        <v>44305</v>
      </c>
      <c r="B5" t="s">
        <v>106</v>
      </c>
      <c r="C5" t="s">
        <v>60</v>
      </c>
      <c r="D5" s="80">
        <v>1</v>
      </c>
      <c r="E5" s="21" t="str">
        <f>IF(Registro_Pedidos[[#This Row],[Producto]]="","",CONCATENATE("PD_",ROW(Registro_Pedidos[[#This Row],[Producto]])-2))</f>
        <v>PD_3</v>
      </c>
      <c r="F5" s="3">
        <v>44314</v>
      </c>
      <c r="G5" s="3">
        <v>44314</v>
      </c>
      <c r="H5" s="79">
        <f>IF(Registro_Pedidos[[#This Row],[Producto]]="","",INDEX(ListadoProductos[],MATCH(Registro_Pedidos[[#This Row],[Producto]],ListadoProductos[Productos],0),MATCH("Precio",ListadoProductos[#Headers],))*Registro_Pedidos[[#This Row],[Cantidad]])</f>
        <v>10</v>
      </c>
      <c r="I5" s="79">
        <f>IF(Registro_Pedidos[[#This Row],[Producto]]="","",Registro_Pedidos[[#This Row],[Precio]]*INDEX(ListadoProductos[],MATCH(Registro_Pedidos[[#This Row],[Producto]],ListadoProductos[Productos],0),MATCH("IVA",ListadoProductos[#Headers],0)))</f>
        <v>2.1</v>
      </c>
      <c r="J5" s="79">
        <f>IF(Registro_Pedidos[[#This Row],[Producto]]="","",Registro_Pedidos[[#This Row],[Precio]]+Registro_Pedidos[[#This Row],[IVA]])</f>
        <v>12.1</v>
      </c>
      <c r="K5" s="109" t="str">
        <f>IF(Registro_Pedidos[[#This Row],[Fecha cobro]]="","No","Si")</f>
        <v>Si</v>
      </c>
    </row>
    <row r="6" spans="1:11" x14ac:dyDescent="0.3">
      <c r="A6" s="3">
        <v>44305</v>
      </c>
      <c r="B6" t="s">
        <v>121</v>
      </c>
      <c r="C6" t="s">
        <v>60</v>
      </c>
      <c r="D6" s="80">
        <v>1</v>
      </c>
      <c r="E6" s="21" t="str">
        <f>IF(Registro_Pedidos[[#This Row],[Producto]]="","",CONCATENATE("PD_",ROW(Registro_Pedidos[[#This Row],[Producto]])-2))</f>
        <v>PD_4</v>
      </c>
      <c r="F6" s="3">
        <v>44311</v>
      </c>
      <c r="H6" s="79">
        <f>IF(Registro_Pedidos[[#This Row],[Producto]]="","",INDEX(ListadoProductos[],MATCH(Registro_Pedidos[[#This Row],[Producto]],ListadoProductos[Productos],0),MATCH("Precio",ListadoProductos[#Headers],))*Registro_Pedidos[[#This Row],[Cantidad]])</f>
        <v>10</v>
      </c>
      <c r="I6" s="79">
        <f>IF(Registro_Pedidos[[#This Row],[Producto]]="","",Registro_Pedidos[[#This Row],[Precio]]*INDEX(ListadoProductos[],MATCH(Registro_Pedidos[[#This Row],[Producto]],ListadoProductos[Productos],0),MATCH("IVA",ListadoProductos[#Headers],0)))</f>
        <v>2.1</v>
      </c>
      <c r="J6" s="79">
        <f>IF(Registro_Pedidos[[#This Row],[Producto]]="","",Registro_Pedidos[[#This Row],[Precio]]+Registro_Pedidos[[#This Row],[IVA]])</f>
        <v>12.1</v>
      </c>
      <c r="K6" s="109" t="str">
        <f>IF(Registro_Pedidos[[#This Row],[Fecha cobro]]="","No","Si")</f>
        <v>No</v>
      </c>
    </row>
    <row r="7" spans="1:11" x14ac:dyDescent="0.3">
      <c r="A7" s="3">
        <v>44308</v>
      </c>
      <c r="B7" t="s">
        <v>121</v>
      </c>
      <c r="C7" t="s">
        <v>56</v>
      </c>
      <c r="D7" s="80">
        <v>1</v>
      </c>
      <c r="E7" s="21" t="str">
        <f>IF(Registro_Pedidos[[#This Row],[Producto]]="","",CONCATENATE("PD_",ROW(Registro_Pedidos[[#This Row],[Producto]])-2))</f>
        <v>PD_5</v>
      </c>
      <c r="F7" s="3">
        <v>44314</v>
      </c>
      <c r="H7" s="79">
        <f>IF(Registro_Pedidos[[#This Row],[Producto]]="","",INDEX(ListadoProductos[],MATCH(Registro_Pedidos[[#This Row],[Producto]],ListadoProductos[Productos],0),MATCH("Precio",ListadoProductos[#Headers],))*Registro_Pedidos[[#This Row],[Cantidad]])</f>
        <v>6</v>
      </c>
      <c r="I7" s="79">
        <f>IF(Registro_Pedidos[[#This Row],[Producto]]="","",Registro_Pedidos[[#This Row],[Precio]]*INDEX(ListadoProductos[],MATCH(Registro_Pedidos[[#This Row],[Producto]],ListadoProductos[Productos],0),MATCH("IVA",ListadoProductos[#Headers],0)))</f>
        <v>1.26</v>
      </c>
      <c r="J7" s="79">
        <f>IF(Registro_Pedidos[[#This Row],[Producto]]="","",Registro_Pedidos[[#This Row],[Precio]]+Registro_Pedidos[[#This Row],[IVA]])</f>
        <v>7.26</v>
      </c>
      <c r="K7" s="109" t="str">
        <f>IF(Registro_Pedidos[[#This Row],[Fecha cobro]]="","No","Si")</f>
        <v>No</v>
      </c>
    </row>
    <row r="8" spans="1:11" x14ac:dyDescent="0.3">
      <c r="A8" s="3">
        <v>44311</v>
      </c>
      <c r="B8" t="s">
        <v>122</v>
      </c>
      <c r="C8" t="s">
        <v>60</v>
      </c>
      <c r="D8" s="80">
        <v>5</v>
      </c>
      <c r="E8" s="21" t="str">
        <f>IF(Registro_Pedidos[[#This Row],[Producto]]="","",CONCATENATE("PD_",ROW(Registro_Pedidos[[#This Row],[Producto]])-2))</f>
        <v>PD_6</v>
      </c>
      <c r="F8" s="3">
        <v>44316</v>
      </c>
      <c r="H8" s="79">
        <f>IF(Registro_Pedidos[[#This Row],[Producto]]="","",INDEX(ListadoProductos[],MATCH(Registro_Pedidos[[#This Row],[Producto]],ListadoProductos[Productos],0),MATCH("Precio",ListadoProductos[#Headers],))*Registro_Pedidos[[#This Row],[Cantidad]])</f>
        <v>50</v>
      </c>
      <c r="I8" s="79">
        <f>IF(Registro_Pedidos[[#This Row],[Producto]]="","",Registro_Pedidos[[#This Row],[Precio]]*INDEX(ListadoProductos[],MATCH(Registro_Pedidos[[#This Row],[Producto]],ListadoProductos[Productos],0),MATCH("IVA",ListadoProductos[#Headers],0)))</f>
        <v>10.5</v>
      </c>
      <c r="J8" s="79">
        <f>IF(Registro_Pedidos[[#This Row],[Producto]]="","",Registro_Pedidos[[#This Row],[Precio]]+Registro_Pedidos[[#This Row],[IVA]])</f>
        <v>60.5</v>
      </c>
      <c r="K8" s="109" t="str">
        <f>IF(Registro_Pedidos[[#This Row],[Fecha cobro]]="","No","Si")</f>
        <v>No</v>
      </c>
    </row>
    <row r="9" spans="1:11" x14ac:dyDescent="0.3">
      <c r="A9" s="3">
        <v>44312</v>
      </c>
      <c r="B9" t="s">
        <v>122</v>
      </c>
      <c r="C9" t="s">
        <v>56</v>
      </c>
      <c r="D9" s="80">
        <v>5</v>
      </c>
      <c r="E9" s="21" t="str">
        <f>IF(Registro_Pedidos[[#This Row],[Producto]]="","",CONCATENATE("PD_",ROW(Registro_Pedidos[[#This Row],[Producto]])-2))</f>
        <v>PD_7</v>
      </c>
      <c r="F9" s="3">
        <v>44316</v>
      </c>
      <c r="H9" s="79">
        <f>IF(Registro_Pedidos[[#This Row],[Producto]]="","",INDEX(ListadoProductos[],MATCH(Registro_Pedidos[[#This Row],[Producto]],ListadoProductos[Productos],0),MATCH("Precio",ListadoProductos[#Headers],))*Registro_Pedidos[[#This Row],[Cantidad]])</f>
        <v>30</v>
      </c>
      <c r="I9" s="79">
        <f>IF(Registro_Pedidos[[#This Row],[Producto]]="","",Registro_Pedidos[[#This Row],[Precio]]*INDEX(ListadoProductos[],MATCH(Registro_Pedidos[[#This Row],[Producto]],ListadoProductos[Productos],0),MATCH("IVA",ListadoProductos[#Headers],0)))</f>
        <v>6.3</v>
      </c>
      <c r="J9" s="79">
        <f>IF(Registro_Pedidos[[#This Row],[Producto]]="","",Registro_Pedidos[[#This Row],[Precio]]+Registro_Pedidos[[#This Row],[IVA]])</f>
        <v>36.299999999999997</v>
      </c>
      <c r="K9" s="109" t="str">
        <f>IF(Registro_Pedidos[[#This Row],[Fecha cobro]]="","No","Si")</f>
        <v>No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'2.I_Catalogo'!$O$4:$O$999</xm:f>
          </x14:formula1>
          <xm:sqref>C3:C9</xm:sqref>
        </x14:dataValidation>
        <x14:dataValidation type="list" allowBlank="1" showInputMessage="1" showErrorMessage="1">
          <x14:formula1>
            <xm:f>'3.C_Listas'!$E$3:$E$4</xm:f>
          </x14:formula1>
          <xm:sqref>K3:L3 K4:K9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6"/>
  <sheetViews>
    <sheetView workbookViewId="0">
      <selection activeCell="D29" sqref="D29"/>
    </sheetView>
  </sheetViews>
  <sheetFormatPr baseColWidth="10" defaultRowHeight="14.4" x14ac:dyDescent="0.3"/>
  <cols>
    <col min="1" max="1" width="17.5546875" bestFit="1" customWidth="1"/>
    <col min="2" max="2" width="14.5546875" bestFit="1" customWidth="1"/>
    <col min="3" max="3" width="12.109375" bestFit="1" customWidth="1"/>
    <col min="4" max="4" width="19.33203125" bestFit="1" customWidth="1"/>
    <col min="5" max="5" width="19.5546875" bestFit="1" customWidth="1"/>
    <col min="6" max="6" width="17.109375" bestFit="1" customWidth="1"/>
    <col min="7" max="7" width="24.33203125" bestFit="1" customWidth="1"/>
    <col min="8" max="8" width="12.5546875" bestFit="1" customWidth="1"/>
  </cols>
  <sheetData>
    <row r="1" spans="1:7" s="111" customFormat="1" ht="34.5" customHeight="1" x14ac:dyDescent="0.3">
      <c r="A1" s="110" t="s">
        <v>148</v>
      </c>
      <c r="G1" s="110"/>
    </row>
    <row r="2" spans="1:7" x14ac:dyDescent="0.3">
      <c r="A2" s="108" t="s">
        <v>97</v>
      </c>
      <c r="B2" t="s">
        <v>101</v>
      </c>
    </row>
    <row r="4" spans="1:7" x14ac:dyDescent="0.3">
      <c r="A4" s="108" t="s">
        <v>25</v>
      </c>
      <c r="B4" t="s">
        <v>146</v>
      </c>
      <c r="C4" t="s">
        <v>28</v>
      </c>
      <c r="D4" t="s">
        <v>145</v>
      </c>
    </row>
    <row r="5" spans="1:7" x14ac:dyDescent="0.3">
      <c r="A5" s="13" t="s">
        <v>123</v>
      </c>
      <c r="B5" s="15">
        <v>10</v>
      </c>
      <c r="C5" s="15">
        <v>2.1</v>
      </c>
      <c r="D5" s="15">
        <v>12.1</v>
      </c>
    </row>
    <row r="6" spans="1:7" x14ac:dyDescent="0.3">
      <c r="A6" s="13" t="s">
        <v>26</v>
      </c>
      <c r="B6" s="15">
        <v>10</v>
      </c>
      <c r="C6" s="15">
        <v>2.1</v>
      </c>
      <c r="D6" s="15">
        <v>12.1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075230-450E-44B4-BE0D-095B81CCC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1.I_Compras</vt:lpstr>
      <vt:lpstr>1.C_Listas</vt:lpstr>
      <vt:lpstr>1.O_IVAs</vt:lpstr>
      <vt:lpstr>2.I_Catalogo</vt:lpstr>
      <vt:lpstr>2.C_Datos</vt:lpstr>
      <vt:lpstr>2.O_Asignacion</vt:lpstr>
      <vt:lpstr>3.I_Registro</vt:lpstr>
      <vt:lpstr>3.C_Listas</vt:lpstr>
      <vt:lpstr>4.I_Pedidos</vt:lpstr>
      <vt:lpstr>4.O_IVAs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Ruben.cantos</dc:creator>
  <cp:lastModifiedBy>Tony Corbatas</cp:lastModifiedBy>
  <dcterms:created xsi:type="dcterms:W3CDTF">2021-04-16T19:51:43Z</dcterms:created>
  <dcterms:modified xsi:type="dcterms:W3CDTF">2021-05-03T18:30:12Z</dcterms:modified>
</cp:coreProperties>
</file>