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еба\Выполненное\Статистическая обработка информации\Лаб2\"/>
    </mc:Choice>
  </mc:AlternateContent>
  <xr:revisionPtr revIDLastSave="0" documentId="13_ncr:1_{C0C3F1C3-6CB6-4082-8E4B-DE2149C2C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2" i="1" l="1"/>
  <c r="S52" i="1"/>
  <c r="R52" i="1"/>
  <c r="U52" i="1"/>
  <c r="T52" i="1"/>
  <c r="P50" i="1"/>
  <c r="P48" i="1"/>
  <c r="P46" i="1"/>
  <c r="P44" i="1"/>
  <c r="P42" i="1"/>
  <c r="Q40" i="1"/>
  <c r="P40" i="1"/>
  <c r="Q38" i="1"/>
  <c r="Q36" i="1"/>
  <c r="Q34" i="1"/>
  <c r="P38" i="1"/>
  <c r="P18" i="1"/>
  <c r="P36" i="1"/>
  <c r="P34" i="1"/>
  <c r="R38" i="1"/>
  <c r="R36" i="1"/>
  <c r="R34" i="1"/>
  <c r="P31" i="1" l="1"/>
  <c r="Q31" i="1"/>
  <c r="P32" i="1"/>
  <c r="P29" i="1" a="1"/>
  <c r="P29" i="1" s="1"/>
  <c r="P28" i="1" a="1"/>
  <c r="P28" i="1" s="1"/>
  <c r="R6" i="1" l="1"/>
  <c r="R7" i="1"/>
  <c r="R8" i="1"/>
  <c r="R9" i="1"/>
  <c r="R10" i="1"/>
  <c r="R5" i="1"/>
  <c r="Q28" i="1"/>
  <c r="P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P24" i="1" a="1"/>
  <c r="P24" i="1"/>
  <c r="Q6" i="1"/>
  <c r="Q7" i="1"/>
  <c r="Q8" i="1"/>
  <c r="Q9" i="1"/>
  <c r="Q10" i="1"/>
  <c r="Q5" i="1"/>
  <c r="Q24" i="1"/>
  <c r="Q22" i="1"/>
  <c r="P22" i="1"/>
  <c r="Q20" i="1"/>
  <c r="Q16" i="1"/>
  <c r="C3" i="1" l="1"/>
  <c r="C6" i="1"/>
  <c r="C2" i="1"/>
  <c r="B21" i="1"/>
  <c r="B19" i="1"/>
  <c r="B3" i="1"/>
  <c r="M2" i="1" s="1"/>
  <c r="B18" i="1"/>
  <c r="B25" i="1"/>
  <c r="B26" i="1"/>
  <c r="B2" i="1"/>
  <c r="B12" i="1"/>
  <c r="B13" i="1"/>
  <c r="N2" i="1" l="1"/>
  <c r="L2" i="1"/>
  <c r="R18" i="1"/>
  <c r="Q18" i="1"/>
  <c r="Q14" i="1"/>
  <c r="P14" i="1"/>
  <c r="J5" i="1" l="1"/>
  <c r="O2" i="1"/>
  <c r="K5" i="1" s="1"/>
  <c r="K7" i="1" l="1"/>
  <c r="J8" i="1" s="1"/>
  <c r="J6" i="1"/>
  <c r="K8" i="1"/>
  <c r="J9" i="1" s="1"/>
  <c r="K9" i="1"/>
  <c r="J10" i="1" s="1"/>
  <c r="K10" i="1"/>
  <c r="K6" i="1"/>
  <c r="J7" i="1" s="1"/>
  <c r="P5" i="1"/>
  <c r="L5" i="1"/>
  <c r="M5" i="1" l="1"/>
  <c r="N5" i="1"/>
  <c r="O5" i="1" s="1"/>
  <c r="L7" i="1"/>
  <c r="N7" i="1" s="1"/>
  <c r="O7" i="1" s="1"/>
  <c r="P7" i="1"/>
  <c r="L10" i="1"/>
  <c r="N10" i="1" s="1"/>
  <c r="O10" i="1" s="1"/>
  <c r="P10" i="1"/>
  <c r="P9" i="1"/>
  <c r="L9" i="1"/>
  <c r="N9" i="1" s="1"/>
  <c r="O9" i="1" s="1"/>
  <c r="P6" i="1"/>
  <c r="L6" i="1"/>
  <c r="N6" i="1" s="1"/>
  <c r="O6" i="1" s="1"/>
  <c r="P8" i="1"/>
  <c r="L8" i="1"/>
  <c r="N8" i="1" s="1"/>
  <c r="O8" i="1" s="1"/>
  <c r="P16" i="1" l="1" a="1"/>
  <c r="P16" i="1" s="1"/>
  <c r="P20" i="1"/>
  <c r="R20" i="1"/>
  <c r="M6" i="1"/>
  <c r="M7" i="1" l="1"/>
  <c r="M8" i="1" s="1"/>
  <c r="M9" i="1" s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johnworker</author>
  </authors>
  <commentList>
    <comment ref="P34" authorId="0" shapeId="0" xr:uid="{497CF50D-DB41-4271-80E1-4BA2B56329EE}">
      <text>
        <r>
          <rPr>
            <b/>
            <sz val="9"/>
            <color indexed="81"/>
            <rFont val="Tahoma"/>
            <family val="2"/>
            <charset val="204"/>
          </rPr>
          <t>johnworker:</t>
        </r>
        <r>
          <rPr>
            <sz val="9"/>
            <color indexed="81"/>
            <rFont val="Tahoma"/>
            <family val="2"/>
            <charset val="204"/>
          </rPr>
          <t xml:space="preserve">
По какой-то причине квартили по формуле и квартили Excel не сходятся. Всё сделано по формуле из методички</t>
        </r>
      </text>
    </comment>
    <comment ref="P38" authorId="0" shapeId="0" xr:uid="{C0876230-61BB-4A88-92AF-AFC9BFB442F9}">
      <text>
        <r>
          <rPr>
            <b/>
            <sz val="9"/>
            <color indexed="81"/>
            <rFont val="Tahoma"/>
            <family val="2"/>
            <charset val="204"/>
          </rPr>
          <t>johnworker:</t>
        </r>
        <r>
          <rPr>
            <sz val="9"/>
            <color indexed="81"/>
            <rFont val="Tahoma"/>
            <family val="2"/>
            <charset val="204"/>
          </rPr>
          <t xml:space="preserve">
странно, что ни одно значение не сошлось</t>
        </r>
      </text>
    </comment>
    <comment ref="P46" authorId="0" shapeId="0" xr:uid="{0B692162-248D-4787-926E-CF65D3B3AFEA}">
      <text>
        <r>
          <rPr>
            <b/>
            <sz val="9"/>
            <color indexed="81"/>
            <rFont val="Tahoma"/>
            <family val="2"/>
            <charset val="204"/>
          </rPr>
          <t>johnworker:</t>
        </r>
        <r>
          <rPr>
            <sz val="9"/>
            <color indexed="81"/>
            <rFont val="Tahoma"/>
            <family val="2"/>
            <charset val="204"/>
          </rPr>
          <t xml:space="preserve">
совокупность является однородной, так как &lt;33%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<sst xmlns="http://schemas.openxmlformats.org/spreadsheetml/2006/main" count="63" uniqueCount="61">
  <si>
    <t>Прибыль</t>
  </si>
  <si>
    <t>№ предприятия</t>
  </si>
  <si>
    <t>Выпуск продукции</t>
  </si>
  <si>
    <t>n</t>
  </si>
  <si>
    <t>m</t>
  </si>
  <si>
    <t>Группа 4217</t>
  </si>
  <si>
    <t>Группировка по выпуску продукции</t>
  </si>
  <si>
    <t>k</t>
  </si>
  <si>
    <t>h</t>
  </si>
  <si>
    <t>Xmax</t>
  </si>
  <si>
    <t>Xmin</t>
  </si>
  <si>
    <t xml:space="preserve">Начало </t>
  </si>
  <si>
    <t>Конец</t>
  </si>
  <si>
    <t>Частота, fi</t>
  </si>
  <si>
    <t>Накопленная частота, Si</t>
  </si>
  <si>
    <t>Частости, Wi</t>
  </si>
  <si>
    <t>Плотность распределения mi</t>
  </si>
  <si>
    <t>Название</t>
  </si>
  <si>
    <t>24,0-36,8</t>
  </si>
  <si>
    <t>36,8-49,7</t>
  </si>
  <si>
    <t>49,7-62,5</t>
  </si>
  <si>
    <t>62,5-75,3</t>
  </si>
  <si>
    <t>75,3-88,2</t>
  </si>
  <si>
    <t>88,2-101,0</t>
  </si>
  <si>
    <t>По формуле</t>
  </si>
  <si>
    <t>Автоматически</t>
  </si>
  <si>
    <t>Интервальное среднее, x̅ (искомое)</t>
  </si>
  <si>
    <t>Среднее арифметическое, x̅</t>
  </si>
  <si>
    <t>Nме</t>
  </si>
  <si>
    <r>
      <rPr>
        <b/>
        <sz val="14"/>
        <color theme="1"/>
        <rFont val="Calibri"/>
        <family val="2"/>
        <charset val="204"/>
        <scheme val="minor"/>
      </rPr>
      <t>Разница x</t>
    </r>
    <r>
      <rPr>
        <b/>
        <sz val="10"/>
        <color theme="1"/>
        <rFont val="Calibri"/>
        <family val="2"/>
        <charset val="204"/>
        <scheme val="minor"/>
      </rPr>
      <t xml:space="preserve">`j </t>
    </r>
    <r>
      <rPr>
        <b/>
        <sz val="14"/>
        <color theme="1"/>
        <rFont val="Calibri"/>
        <family val="2"/>
        <charset val="204"/>
        <scheme val="minor"/>
      </rPr>
      <t>и x̅</t>
    </r>
  </si>
  <si>
    <t>Ср. линейное отклонение d1</t>
  </si>
  <si>
    <t>Ср. линейное отклонение d2</t>
  </si>
  <si>
    <t>Середина интервала, x`j</t>
  </si>
  <si>
    <t>Разница xj-x̅</t>
  </si>
  <si>
    <t>Дисперсия σ²</t>
  </si>
  <si>
    <r>
      <rPr>
        <b/>
        <sz val="14"/>
        <color theme="1"/>
        <rFont val="Calibri"/>
        <family val="2"/>
        <charset val="204"/>
        <scheme val="minor"/>
      </rPr>
      <t>(Разница x</t>
    </r>
    <r>
      <rPr>
        <b/>
        <sz val="10"/>
        <color theme="1"/>
        <rFont val="Calibri"/>
        <family val="2"/>
        <charset val="204"/>
        <scheme val="minor"/>
      </rPr>
      <t xml:space="preserve">`j </t>
    </r>
    <r>
      <rPr>
        <b/>
        <sz val="14"/>
        <color theme="1"/>
        <rFont val="Calibri"/>
        <family val="2"/>
        <charset val="204"/>
        <scheme val="minor"/>
      </rPr>
      <t>и x̅)^2</t>
    </r>
  </si>
  <si>
    <r>
      <t>f</t>
    </r>
    <r>
      <rPr>
        <b/>
        <sz val="10"/>
        <color theme="1"/>
        <rFont val="Calibri"/>
        <family val="2"/>
        <charset val="204"/>
        <scheme val="minor"/>
      </rPr>
      <t>мо</t>
    </r>
  </si>
  <si>
    <t>Среднеквадратическое отклонение σ</t>
  </si>
  <si>
    <t>Квартиль Q1</t>
  </si>
  <si>
    <t>Квартиль Q2</t>
  </si>
  <si>
    <t>Квартиль Q3</t>
  </si>
  <si>
    <t>n+1/4</t>
  </si>
  <si>
    <t>n+1/2</t>
  </si>
  <si>
    <t>3*(n+1/4)</t>
  </si>
  <si>
    <t>2/3σ</t>
  </si>
  <si>
    <t>Квартильное отклонение Q</t>
  </si>
  <si>
    <t>Сгруппированный</t>
  </si>
  <si>
    <t>Несгруппированный</t>
  </si>
  <si>
    <t>Размах R</t>
  </si>
  <si>
    <t>Мода Mo</t>
  </si>
  <si>
    <t>Медиана Me</t>
  </si>
  <si>
    <t>Коэффициент осцилляции KR</t>
  </si>
  <si>
    <t>Относительное линейное отклонение Kd</t>
  </si>
  <si>
    <t>Коэффициент вариации v</t>
  </si>
  <si>
    <t>Относ. показатель квартильн. вариац. KQ</t>
  </si>
  <si>
    <t>Показатель фондовой дифференциации Kф</t>
  </si>
  <si>
    <t>Коэффициент децильной дифференциации KD</t>
  </si>
  <si>
    <t>D1</t>
  </si>
  <si>
    <t>D9</t>
  </si>
  <si>
    <t>ND1</t>
  </si>
  <si>
    <t>ND9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</si>
</sst>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roadcast Matter"/>
      <family val="3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5" fillId="3" borderId="6" xfId="1" applyNumberFormat="1" applyFont="1" applyFill="1" applyBorder="1" applyAlignment="1">
      <alignment horizontal="center" vertical="center"/>
    </xf>
    <xf numFmtId="164" fontId="5" fillId="3" borderId="9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4" fontId="5" fillId="3" borderId="10" xfId="1" applyNumberFormat="1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/>
    <xf numFmtId="0" fontId="4" fillId="2" borderId="1" xfId="0" applyFont="1" applyFill="1" applyBorder="1"/>
    <xf numFmtId="164" fontId="4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2" borderId="1" xfId="0" applyFont="1" applyFill="1" applyBorder="1"/>
  </cellXfs>
  <cellStyles count="2">
    <cellStyle name="Обычный" xfId="0" builtinId="0"/>
    <cellStyle name="Обычный 2" xfId="1" xr:uid="{517B8B18-8DD5-4688-BAD9-FC68A6E9D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Лист1!$I$5:$I$10</c:f>
              <c:strCache>
                <c:ptCount val="6"/>
                <c:pt idx="0">
                  <c:v>24,0-36,8</c:v>
                </c:pt>
                <c:pt idx="1">
                  <c:v>36,8-49,7</c:v>
                </c:pt>
                <c:pt idx="2">
                  <c:v>49,7-62,5</c:v>
                </c:pt>
                <c:pt idx="3">
                  <c:v>62,5-75,3</c:v>
                </c:pt>
                <c:pt idx="4">
                  <c:v>75,3-88,2</c:v>
                </c:pt>
                <c:pt idx="5">
                  <c:v>88,2-101,0</c:v>
                </c:pt>
              </c:strCache>
            </c:strRef>
          </c:cat>
          <c:val>
            <c:numRef>
              <c:f>Лист1!$L$5:$L$10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E-4C69-9465-1DEFA5397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400912"/>
        <c:axId val="826403824"/>
      </c:lineChart>
      <c:catAx>
        <c:axId val="8264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6403824"/>
        <c:crosses val="autoZero"/>
        <c:auto val="1"/>
        <c:lblAlgn val="ctr"/>
        <c:lblOffset val="100"/>
        <c:noMultiLvlLbl val="0"/>
      </c:catAx>
      <c:valAx>
        <c:axId val="8264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64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Кумулята ряда распределения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Лист1!$M$5:$M$10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12</c:v>
                </c:pt>
                <c:pt idx="3">
                  <c:v>22</c:v>
                </c:pt>
                <c:pt idx="4">
                  <c:v>27</c:v>
                </c:pt>
                <c:pt idx="5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E6-47B8-989F-52C14AFA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681120"/>
        <c:axId val="925694432"/>
      </c:scatterChart>
      <c:valAx>
        <c:axId val="9256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694432"/>
        <c:crosses val="autoZero"/>
        <c:crossBetween val="midCat"/>
      </c:valAx>
      <c:valAx>
        <c:axId val="9256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68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Лист1!$I$5:$I$10</c:f>
              <c:strCache>
                <c:ptCount val="6"/>
                <c:pt idx="0">
                  <c:v>24,0-36,8</c:v>
                </c:pt>
                <c:pt idx="1">
                  <c:v>36,8-49,7</c:v>
                </c:pt>
                <c:pt idx="2">
                  <c:v>49,7-62,5</c:v>
                </c:pt>
                <c:pt idx="3">
                  <c:v>62,5-75,3</c:v>
                </c:pt>
                <c:pt idx="4">
                  <c:v>75,3-88,2</c:v>
                </c:pt>
                <c:pt idx="5">
                  <c:v>88,2-101,0</c:v>
                </c:pt>
              </c:strCache>
            </c:strRef>
          </c:cat>
          <c:val>
            <c:numRef>
              <c:f>Лист1!$L$5:$L$10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F-4D9E-9C7A-98557ECE8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54976"/>
        <c:axId val="810607504"/>
      </c:barChart>
      <c:catAx>
        <c:axId val="4112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607504"/>
        <c:crosses val="autoZero"/>
        <c:auto val="1"/>
        <c:lblAlgn val="ctr"/>
        <c:lblOffset val="100"/>
        <c:noMultiLvlLbl val="0"/>
      </c:catAx>
      <c:valAx>
        <c:axId val="8106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25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Лист1!$I$5:$I$10</c:f>
              <c:strCache>
                <c:ptCount val="6"/>
                <c:pt idx="0">
                  <c:v>24,0-36,8</c:v>
                </c:pt>
                <c:pt idx="1">
                  <c:v>36,8-49,7</c:v>
                </c:pt>
                <c:pt idx="2">
                  <c:v>49,7-62,5</c:v>
                </c:pt>
                <c:pt idx="3">
                  <c:v>62,5-75,3</c:v>
                </c:pt>
                <c:pt idx="4">
                  <c:v>75,3-88,2</c:v>
                </c:pt>
                <c:pt idx="5">
                  <c:v>88,2-101,0</c:v>
                </c:pt>
              </c:strCache>
            </c:strRef>
          </c:xVal>
          <c:yVal>
            <c:numRef>
              <c:f>Лист1!$L$5:$L$10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8-4D37-98EF-033FDB26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81888"/>
        <c:axId val="817983552"/>
      </c:scatterChart>
      <c:valAx>
        <c:axId val="8179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983552"/>
        <c:crosses val="autoZero"/>
        <c:crossBetween val="midCat"/>
      </c:valAx>
      <c:valAx>
        <c:axId val="8179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9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1169894</xdr:colOff>
      <xdr:row>10</xdr:row>
      <xdr:rowOff>86445</xdr:rowOff>
    </xdr:from>
    <xdr:to>
      <xdr:col>14</xdr:col>
      <xdr:colOff>2090570</xdr:colOff>
      <xdr:row>22</xdr:row>
      <xdr:rowOff>32657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07F838-786A-4D21-8EDF-57976CFEB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1346053</xdr:colOff>
      <xdr:row>22</xdr:row>
      <xdr:rowOff>124225</xdr:rowOff>
    </xdr:from>
    <xdr:to>
      <xdr:col>14</xdr:col>
      <xdr:colOff>2174584</xdr:colOff>
      <xdr:row>35</xdr:row>
      <xdr:rowOff>5122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9437E25-8DA2-47CB-98DB-02E1483C3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555171</xdr:colOff>
      <xdr:row>22</xdr:row>
      <xdr:rowOff>152400</xdr:rowOff>
    </xdr:from>
    <xdr:to>
      <xdr:col>12</xdr:col>
      <xdr:colOff>1251857</xdr:colOff>
      <xdr:row>35</xdr:row>
      <xdr:rowOff>87086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1D1A9F-2C5B-43B6-871A-F2BDB2189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587827</xdr:colOff>
      <xdr:row>10</xdr:row>
      <xdr:rowOff>87085</xdr:rowOff>
    </xdr:from>
    <xdr:to>
      <xdr:col>12</xdr:col>
      <xdr:colOff>1132113</xdr:colOff>
      <xdr:row>22</xdr:row>
      <xdr:rowOff>87085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09EE787-3D77-45A7-A3EC-C8BB02509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G1" zoomScale="70" zoomScaleNormal="70" workbookViewId="0">
      <selection activeCell="R44" sqref="R44"/>
    </sheetView>
  </sheetViews>
  <sheetFormatPr defaultRowHeight="14.4" x14ac:dyDescent="0.3"/>
  <cols>
    <col min="1" max="1" width="19.44140625" bestFit="1" customWidth="1"/>
    <col min="2" max="2" width="22.77734375" bestFit="1" customWidth="1"/>
    <col min="3" max="3" width="11.21875" bestFit="1" customWidth="1"/>
    <col min="4" max="4" width="14.6640625" bestFit="1" customWidth="1"/>
    <col min="5" max="5" width="19.44140625" bestFit="1" customWidth="1"/>
    <col min="6" max="6" width="22.77734375" bestFit="1" customWidth="1"/>
    <col min="7" max="7" width="11.21875" bestFit="1" customWidth="1"/>
    <col min="9" max="9" width="12.44140625" bestFit="1" customWidth="1"/>
    <col min="10" max="10" width="9.6640625" bestFit="1" customWidth="1"/>
    <col min="11" max="11" width="40.5546875" bestFit="1" customWidth="1"/>
    <col min="12" max="12" width="12" bestFit="1" customWidth="1"/>
    <col min="13" max="13" width="27.77734375" bestFit="1" customWidth="1"/>
    <col min="14" max="14" width="14.88671875" bestFit="1" customWidth="1"/>
    <col min="15" max="15" width="33.5546875" bestFit="1" customWidth="1"/>
    <col min="16" max="16" width="32.33203125" bestFit="1" customWidth="1"/>
    <col min="17" max="17" width="18.21875" bestFit="1" customWidth="1"/>
    <col min="18" max="18" width="23.88671875" bestFit="1" customWidth="1"/>
    <col min="19" max="19" width="12.77734375" bestFit="1" customWidth="1"/>
  </cols>
  <sheetData>
    <row r="1" spans="1:18" ht="18" x14ac:dyDescent="0.3">
      <c r="A1" s="1" t="s">
        <v>1</v>
      </c>
      <c r="B1" s="2" t="s">
        <v>2</v>
      </c>
      <c r="C1" s="3" t="s">
        <v>0</v>
      </c>
      <c r="D1" s="40" t="s">
        <v>33</v>
      </c>
      <c r="H1" s="17"/>
      <c r="I1" s="24" t="s">
        <v>3</v>
      </c>
      <c r="J1" s="24" t="s">
        <v>4</v>
      </c>
      <c r="K1" s="24" t="s">
        <v>5</v>
      </c>
      <c r="L1" s="24" t="s">
        <v>7</v>
      </c>
      <c r="M1" s="24" t="s">
        <v>9</v>
      </c>
      <c r="N1" s="24" t="s">
        <v>10</v>
      </c>
      <c r="O1" s="24" t="s">
        <v>8</v>
      </c>
      <c r="P1" s="17"/>
      <c r="Q1" s="18"/>
    </row>
    <row r="2" spans="1:18" ht="18" x14ac:dyDescent="0.3">
      <c r="A2" s="4">
        <v>1</v>
      </c>
      <c r="B2" s="5">
        <f>$I$2*$J$2+20</f>
        <v>24</v>
      </c>
      <c r="C2" s="8">
        <f>$I$2+$J$2+10</f>
        <v>14</v>
      </c>
      <c r="D2" s="26">
        <f>ABS(B2-$P$14)</f>
        <v>43.2</v>
      </c>
      <c r="E2" s="41"/>
      <c r="F2" s="41"/>
      <c r="H2" s="17"/>
      <c r="I2" s="20">
        <v>2</v>
      </c>
      <c r="J2" s="25">
        <v>2</v>
      </c>
      <c r="K2" s="20" t="s">
        <v>6</v>
      </c>
      <c r="L2" s="22">
        <f>ROUNDUP(1+3.322*LOG10(COUNT(B2:B31)),0)</f>
        <v>6</v>
      </c>
      <c r="M2" s="22">
        <f>MAX(B2:B31)</f>
        <v>101</v>
      </c>
      <c r="N2" s="22">
        <f>MIN(B2:B31)</f>
        <v>24</v>
      </c>
      <c r="O2" s="22">
        <f>(M2-N2)/L2</f>
        <v>12.833333333333334</v>
      </c>
      <c r="P2" s="18"/>
      <c r="Q2" s="18"/>
    </row>
    <row r="3" spans="1:18" ht="18.600000000000001" thickBot="1" x14ac:dyDescent="0.35">
      <c r="A3" s="4">
        <v>2</v>
      </c>
      <c r="B3" s="5">
        <f>$I$2*$J$2+30</f>
        <v>34</v>
      </c>
      <c r="C3" s="8">
        <f>$I$2+$J$2+20</f>
        <v>24</v>
      </c>
      <c r="D3" s="26">
        <f t="shared" ref="D3:D31" si="0">ABS(B3-$P$14)</f>
        <v>33.200000000000003</v>
      </c>
      <c r="E3" s="41"/>
      <c r="H3" s="17"/>
      <c r="I3" s="20"/>
      <c r="J3" s="20"/>
      <c r="K3" s="20"/>
      <c r="L3" s="20"/>
      <c r="M3" s="20"/>
      <c r="N3" s="20"/>
      <c r="O3" s="20"/>
      <c r="P3" s="18"/>
      <c r="Q3" s="18"/>
    </row>
    <row r="4" spans="1:18" ht="18" x14ac:dyDescent="0.3">
      <c r="A4" s="4">
        <v>3</v>
      </c>
      <c r="B4" s="5">
        <v>41</v>
      </c>
      <c r="C4" s="13">
        <v>12.1</v>
      </c>
      <c r="D4" s="26">
        <f t="shared" si="0"/>
        <v>26.200000000000003</v>
      </c>
      <c r="E4" s="41"/>
      <c r="H4" s="18"/>
      <c r="I4" s="27" t="s">
        <v>17</v>
      </c>
      <c r="J4" s="28" t="s">
        <v>11</v>
      </c>
      <c r="K4" s="28" t="s">
        <v>12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32</v>
      </c>
      <c r="Q4" s="39" t="s">
        <v>29</v>
      </c>
      <c r="R4" s="39" t="s">
        <v>35</v>
      </c>
    </row>
    <row r="5" spans="1:18" ht="18" x14ac:dyDescent="0.3">
      <c r="A5" s="4">
        <v>4</v>
      </c>
      <c r="B5" s="5">
        <v>45</v>
      </c>
      <c r="C5" s="13">
        <v>12.8</v>
      </c>
      <c r="D5" s="26">
        <f t="shared" si="0"/>
        <v>22.200000000000003</v>
      </c>
      <c r="E5" s="41"/>
      <c r="H5" s="18"/>
      <c r="I5" s="21" t="s">
        <v>18</v>
      </c>
      <c r="J5" s="10">
        <f>N2</f>
        <v>24</v>
      </c>
      <c r="K5" s="10">
        <f>N2+O2</f>
        <v>36.833333333333336</v>
      </c>
      <c r="L5" s="11">
        <f>COUNTIFS($B$2:$B$31, "&gt;=" &amp; J5, $B$2:$B$31, "&lt;" &amp; K5)</f>
        <v>2</v>
      </c>
      <c r="M5" s="11">
        <f>L5</f>
        <v>2</v>
      </c>
      <c r="N5" s="12">
        <f t="shared" ref="N5:N10" si="1">L5/COUNT($B$2:$B$31)</f>
        <v>6.6666666666666666E-2</v>
      </c>
      <c r="O5" s="12">
        <f>N5/$O$2</f>
        <v>5.1948051948051948E-3</v>
      </c>
      <c r="P5" s="10">
        <f>AVERAGE(J5,K5)</f>
        <v>30.416666666666668</v>
      </c>
      <c r="Q5" s="29">
        <f>ABS(P5-$P$16)</f>
        <v>35.077777777777783</v>
      </c>
      <c r="R5" s="41">
        <f>Q5^2</f>
        <v>1230.4504938271609</v>
      </c>
    </row>
    <row r="6" spans="1:18" ht="18" x14ac:dyDescent="0.3">
      <c r="A6" s="4">
        <v>5</v>
      </c>
      <c r="B6" s="5">
        <v>48</v>
      </c>
      <c r="C6" s="13">
        <f>$I$2+$J$2+5</f>
        <v>9</v>
      </c>
      <c r="D6" s="26">
        <f t="shared" si="0"/>
        <v>19.200000000000003</v>
      </c>
      <c r="E6" s="41"/>
      <c r="H6" s="18"/>
      <c r="I6" s="21" t="s">
        <v>19</v>
      </c>
      <c r="J6" s="10">
        <f>K5</f>
        <v>36.833333333333336</v>
      </c>
      <c r="K6" s="10">
        <f>$K$5+1*$O$2</f>
        <v>49.666666666666671</v>
      </c>
      <c r="L6" s="11">
        <f>COUNTIFS($B$2:$B$31, "&gt;=" &amp; J6, $B$2:$B$31, "&lt;" &amp; K6)</f>
        <v>3</v>
      </c>
      <c r="M6" s="11">
        <f>M5+L6</f>
        <v>5</v>
      </c>
      <c r="N6" s="12">
        <f t="shared" si="1"/>
        <v>0.1</v>
      </c>
      <c r="O6" s="12">
        <f t="shared" ref="O6:O10" si="2">N6/$O$2</f>
        <v>7.7922077922077922E-3</v>
      </c>
      <c r="P6" s="10">
        <f t="shared" ref="P6:P10" si="3">AVERAGE(J6,K6)</f>
        <v>43.25</v>
      </c>
      <c r="Q6" s="29">
        <f t="shared" ref="Q6:Q10" si="4">ABS(P6-$P$16)</f>
        <v>22.244444444444454</v>
      </c>
      <c r="R6" s="41">
        <f t="shared" ref="R6:R10" si="5">Q6^2</f>
        <v>494.81530864197572</v>
      </c>
    </row>
    <row r="7" spans="1:18" ht="18" x14ac:dyDescent="0.3">
      <c r="A7" s="4">
        <v>6</v>
      </c>
      <c r="B7" s="5">
        <v>52</v>
      </c>
      <c r="C7" s="13">
        <v>14.6</v>
      </c>
      <c r="D7" s="26">
        <f t="shared" si="0"/>
        <v>15.200000000000003</v>
      </c>
      <c r="E7" s="41"/>
      <c r="H7" s="18"/>
      <c r="I7" s="21" t="s">
        <v>20</v>
      </c>
      <c r="J7" s="10">
        <f>K6</f>
        <v>49.666666666666671</v>
      </c>
      <c r="K7" s="10">
        <f>$K$5+2*$O$2</f>
        <v>62.5</v>
      </c>
      <c r="L7" s="11">
        <f>COUNTIFS($B$2:$B$31, "&gt;=" &amp; J7, $B$2:$B$31, "&lt;" &amp; K7)</f>
        <v>7</v>
      </c>
      <c r="M7" s="11">
        <f t="shared" ref="M7:M10" si="6">M6+L7</f>
        <v>12</v>
      </c>
      <c r="N7" s="12">
        <f t="shared" si="1"/>
        <v>0.23333333333333334</v>
      </c>
      <c r="O7" s="12">
        <f t="shared" si="2"/>
        <v>1.8181818181818181E-2</v>
      </c>
      <c r="P7" s="10">
        <f t="shared" si="3"/>
        <v>56.083333333333336</v>
      </c>
      <c r="Q7" s="29">
        <f t="shared" si="4"/>
        <v>9.4111111111111185</v>
      </c>
      <c r="R7" s="41">
        <f t="shared" si="5"/>
        <v>88.569012345679155</v>
      </c>
    </row>
    <row r="8" spans="1:18" ht="18" x14ac:dyDescent="0.3">
      <c r="A8" s="4">
        <v>7</v>
      </c>
      <c r="B8" s="5">
        <v>54</v>
      </c>
      <c r="C8" s="13">
        <v>13.8</v>
      </c>
      <c r="D8" s="26">
        <f t="shared" si="0"/>
        <v>13.200000000000003</v>
      </c>
      <c r="E8" s="41"/>
      <c r="H8" s="18"/>
      <c r="I8" s="21" t="s">
        <v>21</v>
      </c>
      <c r="J8" s="10">
        <f>K7</f>
        <v>62.5</v>
      </c>
      <c r="K8" s="10">
        <f>$K$5+3*$O$2</f>
        <v>75.333333333333343</v>
      </c>
      <c r="L8" s="11">
        <f>COUNTIFS($B$2:$B$31, "&gt;=" &amp; J8, $B$2:$B$31, "&lt;" &amp; K8)</f>
        <v>10</v>
      </c>
      <c r="M8" s="11">
        <f t="shared" si="6"/>
        <v>22</v>
      </c>
      <c r="N8" s="12">
        <f t="shared" si="1"/>
        <v>0.33333333333333331</v>
      </c>
      <c r="O8" s="12">
        <f t="shared" si="2"/>
        <v>2.5974025974025972E-2</v>
      </c>
      <c r="P8" s="10">
        <f t="shared" si="3"/>
        <v>68.916666666666671</v>
      </c>
      <c r="Q8" s="29">
        <f t="shared" si="4"/>
        <v>3.4222222222222172</v>
      </c>
      <c r="R8" s="41">
        <f t="shared" si="5"/>
        <v>11.71160493827157</v>
      </c>
    </row>
    <row r="9" spans="1:18" ht="18" x14ac:dyDescent="0.3">
      <c r="A9" s="4">
        <v>8</v>
      </c>
      <c r="B9" s="5">
        <v>57</v>
      </c>
      <c r="C9" s="13">
        <v>14.2</v>
      </c>
      <c r="D9" s="26">
        <f t="shared" si="0"/>
        <v>10.200000000000003</v>
      </c>
      <c r="E9" s="41"/>
      <c r="H9" s="18"/>
      <c r="I9" s="21" t="s">
        <v>22</v>
      </c>
      <c r="J9" s="10">
        <f>K8</f>
        <v>75.333333333333343</v>
      </c>
      <c r="K9" s="10">
        <f>$K$5+4*$O$2</f>
        <v>88.166666666666671</v>
      </c>
      <c r="L9" s="11">
        <f>COUNTIFS($B$2:$B$31, "&gt;=" &amp; J9, $B$2:$B$31, "&lt;" &amp; K9)</f>
        <v>5</v>
      </c>
      <c r="M9" s="11">
        <f t="shared" si="6"/>
        <v>27</v>
      </c>
      <c r="N9" s="12">
        <f t="shared" si="1"/>
        <v>0.16666666666666666</v>
      </c>
      <c r="O9" s="12">
        <f t="shared" si="2"/>
        <v>1.2987012987012986E-2</v>
      </c>
      <c r="P9" s="10">
        <f t="shared" si="3"/>
        <v>81.75</v>
      </c>
      <c r="Q9" s="29">
        <f t="shared" si="4"/>
        <v>16.255555555555546</v>
      </c>
      <c r="R9" s="41">
        <f t="shared" si="5"/>
        <v>264.24308641975279</v>
      </c>
    </row>
    <row r="10" spans="1:18" ht="18.600000000000001" thickBot="1" x14ac:dyDescent="0.35">
      <c r="A10" s="4">
        <v>9</v>
      </c>
      <c r="B10" s="5">
        <v>59</v>
      </c>
      <c r="C10" s="13">
        <v>16.5</v>
      </c>
      <c r="D10" s="26">
        <f t="shared" si="0"/>
        <v>8.2000000000000028</v>
      </c>
      <c r="E10" s="41"/>
      <c r="H10" s="18"/>
      <c r="I10" s="19" t="s">
        <v>23</v>
      </c>
      <c r="J10" s="14">
        <f>K9</f>
        <v>88.166666666666671</v>
      </c>
      <c r="K10" s="14">
        <f>$K$5+5*$O$2</f>
        <v>101</v>
      </c>
      <c r="L10" s="15">
        <f>COUNTIFS($B$2:$B$31, "&gt;=" &amp; J10)</f>
        <v>3</v>
      </c>
      <c r="M10" s="15">
        <f t="shared" si="6"/>
        <v>30</v>
      </c>
      <c r="N10" s="16">
        <f t="shared" si="1"/>
        <v>0.1</v>
      </c>
      <c r="O10" s="16">
        <f t="shared" si="2"/>
        <v>7.7922077922077922E-3</v>
      </c>
      <c r="P10" s="48">
        <f t="shared" si="3"/>
        <v>94.583333333333343</v>
      </c>
      <c r="Q10" s="49">
        <f t="shared" si="4"/>
        <v>29.088888888888889</v>
      </c>
      <c r="R10" s="41">
        <f t="shared" si="5"/>
        <v>846.1634567901234</v>
      </c>
    </row>
    <row r="11" spans="1:18" ht="18" x14ac:dyDescent="0.3">
      <c r="A11" s="4">
        <v>10</v>
      </c>
      <c r="B11" s="5">
        <v>62</v>
      </c>
      <c r="C11" s="8">
        <v>14.8</v>
      </c>
      <c r="D11" s="26">
        <f t="shared" si="0"/>
        <v>5.2000000000000028</v>
      </c>
      <c r="E11" s="41"/>
      <c r="H11" s="17"/>
      <c r="I11" s="20"/>
      <c r="J11" s="22"/>
      <c r="K11" s="20"/>
      <c r="L11" s="18"/>
      <c r="M11" s="23"/>
      <c r="N11" s="18"/>
      <c r="O11" s="18"/>
      <c r="P11" s="50"/>
      <c r="Q11" s="51"/>
    </row>
    <row r="12" spans="1:18" ht="18" x14ac:dyDescent="0.35">
      <c r="A12" s="4">
        <v>11</v>
      </c>
      <c r="B12" s="5">
        <f>60+$I$2</f>
        <v>62</v>
      </c>
      <c r="C12" s="8">
        <v>15.5</v>
      </c>
      <c r="D12" s="26">
        <f t="shared" si="0"/>
        <v>5.2000000000000028</v>
      </c>
      <c r="E12" s="41"/>
      <c r="H12" s="17"/>
      <c r="I12" s="20"/>
      <c r="J12" s="20"/>
      <c r="K12" s="20"/>
      <c r="L12" s="18"/>
      <c r="M12" s="18"/>
      <c r="N12" s="18"/>
      <c r="O12" s="18"/>
      <c r="P12" s="35" t="s">
        <v>24</v>
      </c>
      <c r="Q12" s="35" t="s">
        <v>25</v>
      </c>
      <c r="R12" s="30"/>
    </row>
    <row r="13" spans="1:18" ht="18" x14ac:dyDescent="0.35">
      <c r="A13" s="4">
        <v>12</v>
      </c>
      <c r="B13" s="5">
        <f>60+$I$2</f>
        <v>62</v>
      </c>
      <c r="C13" s="8">
        <v>15.7</v>
      </c>
      <c r="D13" s="26">
        <f t="shared" si="0"/>
        <v>5.2000000000000028</v>
      </c>
      <c r="E13" s="41"/>
      <c r="H13" s="17"/>
      <c r="I13" s="17"/>
      <c r="J13" s="17"/>
      <c r="K13" s="17"/>
      <c r="L13" s="18"/>
      <c r="M13" s="18"/>
      <c r="N13" s="18"/>
      <c r="O13" s="18"/>
      <c r="P13" s="44" t="s">
        <v>27</v>
      </c>
      <c r="Q13" s="44"/>
      <c r="R13" s="30"/>
    </row>
    <row r="14" spans="1:18" ht="18" x14ac:dyDescent="0.35">
      <c r="A14" s="4">
        <v>13</v>
      </c>
      <c r="B14" s="5">
        <v>67</v>
      </c>
      <c r="C14" s="8">
        <v>15.9</v>
      </c>
      <c r="D14" s="26">
        <f t="shared" si="0"/>
        <v>0.20000000000000284</v>
      </c>
      <c r="E14" s="41"/>
      <c r="H14" s="17"/>
      <c r="I14" s="17"/>
      <c r="J14" s="17"/>
      <c r="K14" s="17"/>
      <c r="L14" s="18"/>
      <c r="M14" s="18"/>
      <c r="N14" s="18"/>
      <c r="O14" s="18"/>
      <c r="P14" s="31">
        <f>SUM(B2:B31)/COUNT(B2:B31)</f>
        <v>67.2</v>
      </c>
      <c r="Q14" s="32">
        <f>AVERAGE(B2:B31)</f>
        <v>67.2</v>
      </c>
      <c r="R14" s="30"/>
    </row>
    <row r="15" spans="1:18" ht="18" x14ac:dyDescent="0.35">
      <c r="A15" s="4">
        <v>14</v>
      </c>
      <c r="B15" s="5">
        <v>68</v>
      </c>
      <c r="C15" s="8">
        <v>16.2</v>
      </c>
      <c r="D15" s="26">
        <f t="shared" si="0"/>
        <v>0.79999999999999716</v>
      </c>
      <c r="E15" s="41"/>
      <c r="H15" s="17"/>
      <c r="I15" s="17"/>
      <c r="J15" s="17"/>
      <c r="K15" s="17"/>
      <c r="L15" s="18"/>
      <c r="M15" s="18"/>
      <c r="N15" s="18"/>
      <c r="O15" s="18"/>
      <c r="P15" s="44" t="s">
        <v>26</v>
      </c>
      <c r="Q15" s="44"/>
      <c r="R15" s="30"/>
    </row>
    <row r="16" spans="1:18" ht="18" x14ac:dyDescent="0.35">
      <c r="A16" s="4">
        <v>15</v>
      </c>
      <c r="B16" s="5">
        <v>69</v>
      </c>
      <c r="C16" s="8">
        <v>16.100000000000001</v>
      </c>
      <c r="D16" s="26">
        <f t="shared" si="0"/>
        <v>1.7999999999999972</v>
      </c>
      <c r="E16" s="41"/>
      <c r="H16" s="17"/>
      <c r="I16" s="17"/>
      <c r="J16" s="17"/>
      <c r="K16" s="17"/>
      <c r="L16" s="18"/>
      <c r="M16" s="18"/>
      <c r="N16" s="18"/>
      <c r="O16" s="18"/>
      <c r="P16" s="10" cm="1">
        <f t="array" ref="P16">SUM(P5:P10*L5:L10)/SUM(L5:L10)</f>
        <v>65.494444444444454</v>
      </c>
      <c r="Q16" s="11" t="str">
        <f>"-"</f>
        <v>-</v>
      </c>
      <c r="R16" s="30"/>
    </row>
    <row r="17" spans="1:18" ht="18" x14ac:dyDescent="0.35">
      <c r="A17" s="4">
        <v>16</v>
      </c>
      <c r="B17" s="5">
        <v>71</v>
      </c>
      <c r="C17" s="8">
        <v>16.399999999999999</v>
      </c>
      <c r="D17" s="26">
        <f t="shared" si="0"/>
        <v>3.7999999999999972</v>
      </c>
      <c r="E17" s="41"/>
      <c r="H17" s="17"/>
      <c r="I17" s="17"/>
      <c r="J17" s="17"/>
      <c r="K17" s="17"/>
      <c r="L17" s="18"/>
      <c r="M17" s="18"/>
      <c r="N17" s="18"/>
      <c r="O17" s="18"/>
      <c r="P17" s="43" t="s">
        <v>50</v>
      </c>
      <c r="Q17" s="43"/>
      <c r="R17" s="33" t="s">
        <v>28</v>
      </c>
    </row>
    <row r="18" spans="1:18" ht="18" x14ac:dyDescent="0.35">
      <c r="A18" s="4">
        <v>17</v>
      </c>
      <c r="B18" s="5">
        <f>70+$I$2</f>
        <v>72</v>
      </c>
      <c r="C18" s="8">
        <v>15.8</v>
      </c>
      <c r="D18" s="26">
        <f t="shared" si="0"/>
        <v>4.7999999999999972</v>
      </c>
      <c r="E18" s="41"/>
      <c r="H18" s="17"/>
      <c r="I18" s="17"/>
      <c r="J18" s="17"/>
      <c r="K18" s="17"/>
      <c r="L18" s="18"/>
      <c r="M18" s="18"/>
      <c r="N18" s="18"/>
      <c r="O18" s="18"/>
      <c r="P18" s="10">
        <f>J8+O2*((R18-M7)/L8)</f>
        <v>66.99166666666666</v>
      </c>
      <c r="Q18" s="10">
        <f>MEDIAN(B2:B31)</f>
        <v>70</v>
      </c>
      <c r="R18" s="34">
        <f>(COUNT(B2:B31)+1)/2</f>
        <v>15.5</v>
      </c>
    </row>
    <row r="19" spans="1:18" ht="18" x14ac:dyDescent="0.35">
      <c r="A19" s="4">
        <v>18</v>
      </c>
      <c r="B19" s="5">
        <f>70+$I$2</f>
        <v>72</v>
      </c>
      <c r="C19" s="8">
        <v>16.399999999999999</v>
      </c>
      <c r="D19" s="26">
        <f t="shared" si="0"/>
        <v>4.7999999999999972</v>
      </c>
      <c r="E19" s="41"/>
      <c r="H19" s="17"/>
      <c r="I19" s="17"/>
      <c r="J19" s="17"/>
      <c r="K19" s="17"/>
      <c r="L19" s="18"/>
      <c r="M19" s="18"/>
      <c r="N19" s="18"/>
      <c r="O19" s="18"/>
      <c r="P19" s="43" t="s">
        <v>49</v>
      </c>
      <c r="Q19" s="43"/>
      <c r="R19" s="33" t="s">
        <v>36</v>
      </c>
    </row>
    <row r="20" spans="1:18" ht="18" x14ac:dyDescent="0.3">
      <c r="A20" s="4">
        <v>19</v>
      </c>
      <c r="B20" s="5">
        <v>72</v>
      </c>
      <c r="C20" s="8">
        <v>16.5</v>
      </c>
      <c r="D20" s="26">
        <f t="shared" si="0"/>
        <v>4.7999999999999972</v>
      </c>
      <c r="E20" s="41"/>
      <c r="H20" s="17"/>
      <c r="I20" s="17"/>
      <c r="J20" s="17"/>
      <c r="K20" s="17"/>
      <c r="L20" s="18"/>
      <c r="M20" s="18"/>
      <c r="N20" s="18"/>
      <c r="O20" s="18"/>
      <c r="P20" s="10">
        <f>J8+(O2*(L8-L7))/((L8-L9)+(L8-L7))</f>
        <v>67.3125</v>
      </c>
      <c r="Q20" s="11">
        <f>MODE(B2:B31)</f>
        <v>72</v>
      </c>
      <c r="R20" s="42">
        <f>(MAX(L5:L10))</f>
        <v>10</v>
      </c>
    </row>
    <row r="21" spans="1:18" ht="18" x14ac:dyDescent="0.3">
      <c r="A21" s="4">
        <v>20</v>
      </c>
      <c r="B21" s="5">
        <f>70+$I$2</f>
        <v>72</v>
      </c>
      <c r="C21" s="8">
        <v>17.2</v>
      </c>
      <c r="D21" s="26">
        <f t="shared" si="0"/>
        <v>4.7999999999999972</v>
      </c>
      <c r="E21" s="41"/>
      <c r="H21" s="17"/>
      <c r="I21" s="17"/>
      <c r="J21" s="17"/>
      <c r="K21" s="17"/>
      <c r="L21" s="18"/>
      <c r="M21" s="18"/>
      <c r="N21" s="18"/>
      <c r="O21" s="18"/>
      <c r="P21" s="43" t="s">
        <v>48</v>
      </c>
      <c r="Q21" s="43"/>
    </row>
    <row r="22" spans="1:18" ht="18" x14ac:dyDescent="0.3">
      <c r="A22" s="4">
        <v>21</v>
      </c>
      <c r="B22" s="5">
        <v>74</v>
      </c>
      <c r="C22" s="8">
        <v>16</v>
      </c>
      <c r="D22" s="26">
        <f t="shared" si="0"/>
        <v>6.7999999999999972</v>
      </c>
      <c r="E22" s="41"/>
      <c r="H22" s="17"/>
      <c r="I22" s="17"/>
      <c r="J22" s="17"/>
      <c r="K22" s="17"/>
      <c r="L22" s="18"/>
      <c r="M22" s="18"/>
      <c r="N22" s="18"/>
      <c r="O22" s="18"/>
      <c r="P22" s="10">
        <f>MAX(B2:B31)-MIN(B2:B31)</f>
        <v>77</v>
      </c>
      <c r="Q22" s="11" t="str">
        <f>"-"</f>
        <v>-</v>
      </c>
    </row>
    <row r="23" spans="1:18" ht="18" x14ac:dyDescent="0.3">
      <c r="A23" s="4">
        <v>22</v>
      </c>
      <c r="B23" s="5">
        <v>75</v>
      </c>
      <c r="C23" s="8">
        <v>16.3</v>
      </c>
      <c r="D23" s="26">
        <f t="shared" si="0"/>
        <v>7.7999999999999972</v>
      </c>
      <c r="E23" s="41"/>
      <c r="H23" s="17"/>
      <c r="I23" s="17"/>
      <c r="J23" s="17"/>
      <c r="K23" s="17"/>
      <c r="L23" s="18"/>
      <c r="M23" s="18"/>
      <c r="N23" s="18"/>
      <c r="O23" s="38"/>
      <c r="P23" s="43" t="s">
        <v>30</v>
      </c>
      <c r="Q23" s="43"/>
    </row>
    <row r="24" spans="1:18" ht="18" x14ac:dyDescent="0.35">
      <c r="A24" s="4">
        <v>23</v>
      </c>
      <c r="B24" s="5">
        <v>78</v>
      </c>
      <c r="C24" s="8">
        <v>18</v>
      </c>
      <c r="D24" s="26">
        <f t="shared" si="0"/>
        <v>10.799999999999997</v>
      </c>
      <c r="E24" s="41"/>
      <c r="H24" s="17"/>
      <c r="I24" s="17"/>
      <c r="J24" s="17"/>
      <c r="K24" s="17"/>
      <c r="L24" s="18"/>
      <c r="M24" s="18"/>
      <c r="N24" s="18"/>
      <c r="O24" s="18"/>
      <c r="P24" s="10" cm="1">
        <f t="array" ref="P24">(SUM(Q5:Q10*L5:L10))/SUM(L5:L10)</f>
        <v>13.517777777777777</v>
      </c>
      <c r="Q24" s="11" t="str">
        <f>"-"</f>
        <v>-</v>
      </c>
      <c r="R24" s="47" t="s">
        <v>46</v>
      </c>
    </row>
    <row r="25" spans="1:18" ht="18" x14ac:dyDescent="0.3">
      <c r="A25" s="4">
        <v>24</v>
      </c>
      <c r="B25" s="5">
        <f>80+$I$2</f>
        <v>82</v>
      </c>
      <c r="C25" s="8">
        <v>16.7</v>
      </c>
      <c r="D25" s="26">
        <f t="shared" si="0"/>
        <v>14.799999999999997</v>
      </c>
      <c r="E25" s="41"/>
      <c r="H25" s="17"/>
      <c r="I25" s="17"/>
      <c r="J25" s="17"/>
      <c r="K25" s="17"/>
      <c r="L25" s="18"/>
      <c r="M25" s="18"/>
      <c r="N25" s="18"/>
      <c r="O25" s="18"/>
      <c r="P25" s="43" t="s">
        <v>31</v>
      </c>
      <c r="Q25" s="43"/>
    </row>
    <row r="26" spans="1:18" ht="18" x14ac:dyDescent="0.35">
      <c r="A26" s="4">
        <v>25</v>
      </c>
      <c r="B26" s="5">
        <f>80+$I$2</f>
        <v>82</v>
      </c>
      <c r="C26" s="8">
        <v>17.600000000000001</v>
      </c>
      <c r="D26" s="26">
        <f t="shared" si="0"/>
        <v>14.799999999999997</v>
      </c>
      <c r="E26" s="41"/>
      <c r="H26" s="17"/>
      <c r="I26" s="17"/>
      <c r="J26" s="17"/>
      <c r="K26" s="17"/>
      <c r="L26" s="18"/>
      <c r="M26" s="18"/>
      <c r="N26" s="18"/>
      <c r="O26" s="18"/>
      <c r="P26" s="10">
        <f>SUM(D2:D31)/COUNT(D2:D31)</f>
        <v>13.773333333333337</v>
      </c>
      <c r="Q26" s="11"/>
      <c r="R26" s="47" t="s">
        <v>47</v>
      </c>
    </row>
    <row r="27" spans="1:18" ht="18" x14ac:dyDescent="0.3">
      <c r="A27" s="4">
        <v>26</v>
      </c>
      <c r="B27" s="5">
        <v>85</v>
      </c>
      <c r="C27" s="8">
        <v>16.7</v>
      </c>
      <c r="D27" s="26">
        <f t="shared" si="0"/>
        <v>17.799999999999997</v>
      </c>
      <c r="E27" s="41"/>
      <c r="H27" s="17"/>
      <c r="I27" s="17"/>
      <c r="J27" s="17"/>
      <c r="K27" s="17"/>
      <c r="L27" s="18"/>
      <c r="M27" s="18"/>
      <c r="N27" s="18"/>
      <c r="O27" s="18"/>
      <c r="P27" s="43" t="s">
        <v>34</v>
      </c>
      <c r="Q27" s="43"/>
    </row>
    <row r="28" spans="1:18" ht="18" x14ac:dyDescent="0.3">
      <c r="A28" s="4">
        <v>27</v>
      </c>
      <c r="B28" s="5">
        <v>88</v>
      </c>
      <c r="C28" s="8">
        <v>18.5</v>
      </c>
      <c r="D28" s="26">
        <f t="shared" si="0"/>
        <v>20.799999999999997</v>
      </c>
      <c r="E28" s="41"/>
      <c r="H28" s="17"/>
      <c r="I28" s="17"/>
      <c r="J28" s="17"/>
      <c r="K28" s="17"/>
      <c r="L28" s="18"/>
      <c r="M28" s="18"/>
      <c r="N28" s="18"/>
      <c r="O28" s="18"/>
      <c r="P28" s="45" cm="1">
        <f t="array" ref="P28">SUM(R5:R10*L5:L10)/SUM(L5:L10)</f>
        <v>284.73839506172845</v>
      </c>
      <c r="Q28" s="10">
        <f>_xlfn.VAR.S(B2:B31)</f>
        <v>320.09655172413756</v>
      </c>
      <c r="R28" s="52" t="s">
        <v>46</v>
      </c>
    </row>
    <row r="29" spans="1:18" ht="18" x14ac:dyDescent="0.3">
      <c r="A29" s="4">
        <v>28</v>
      </c>
      <c r="B29" s="5">
        <v>92</v>
      </c>
      <c r="C29" s="8">
        <v>18.2</v>
      </c>
      <c r="D29" s="26">
        <f t="shared" si="0"/>
        <v>24.799999999999997</v>
      </c>
      <c r="E29" s="41"/>
      <c r="H29" s="17"/>
      <c r="I29" s="17"/>
      <c r="J29" s="17"/>
      <c r="K29" s="17"/>
      <c r="L29" s="18"/>
      <c r="M29" s="18"/>
      <c r="N29" s="18"/>
      <c r="O29" s="18"/>
      <c r="P29" s="10" cm="1">
        <f t="array" ref="P29">SUM(D2:D31^2)/COUNT(B2:B31)</f>
        <v>309.42666666666662</v>
      </c>
      <c r="Q29" s="11"/>
      <c r="R29" s="52" t="s">
        <v>47</v>
      </c>
    </row>
    <row r="30" spans="1:18" ht="18" x14ac:dyDescent="0.3">
      <c r="A30" s="4">
        <v>29</v>
      </c>
      <c r="B30" s="5">
        <v>96</v>
      </c>
      <c r="C30" s="8">
        <v>19.100000000000001</v>
      </c>
      <c r="D30" s="26">
        <f t="shared" si="0"/>
        <v>28.799999999999997</v>
      </c>
      <c r="E30" s="41"/>
      <c r="H30" s="17"/>
      <c r="I30" s="17"/>
      <c r="J30" s="17"/>
      <c r="K30" s="17"/>
      <c r="L30" s="18"/>
      <c r="M30" s="18"/>
      <c r="N30" s="18"/>
      <c r="O30" s="18"/>
      <c r="P30" s="43" t="s">
        <v>37</v>
      </c>
      <c r="Q30" s="43"/>
      <c r="R30" s="18"/>
    </row>
    <row r="31" spans="1:18" ht="18.600000000000001" thickBot="1" x14ac:dyDescent="0.35">
      <c r="A31" s="6">
        <v>30</v>
      </c>
      <c r="B31" s="7">
        <v>101</v>
      </c>
      <c r="C31" s="9">
        <v>19.600000000000001</v>
      </c>
      <c r="D31" s="26">
        <f t="shared" si="0"/>
        <v>33.799999999999997</v>
      </c>
      <c r="E31" s="41"/>
      <c r="H31" s="17"/>
      <c r="I31" s="17"/>
      <c r="J31" s="17"/>
      <c r="K31" s="17"/>
      <c r="L31" s="18"/>
      <c r="M31" s="18"/>
      <c r="N31" s="18"/>
      <c r="O31" s="18"/>
      <c r="P31" s="45">
        <f>SQRT(P28)</f>
        <v>16.874193167725931</v>
      </c>
      <c r="Q31" s="10">
        <f>SQRT(Q28)</f>
        <v>17.891242319194539</v>
      </c>
      <c r="R31" s="18"/>
    </row>
    <row r="32" spans="1:18" ht="18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0">
        <f>SQRT(P29)</f>
        <v>17.590527754068855</v>
      </c>
      <c r="Q32" s="11"/>
      <c r="R32" s="18"/>
    </row>
    <row r="33" spans="1:21" ht="18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3" t="s">
        <v>38</v>
      </c>
      <c r="Q33" s="43"/>
      <c r="R33" s="37" t="s">
        <v>41</v>
      </c>
    </row>
    <row r="34" spans="1:21" ht="18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0">
        <f>J7+O2*((R34-M6)/L7)</f>
        <v>54.708333333333336</v>
      </c>
      <c r="Q34" s="11">
        <f>QUARTILE(B2:B31,1)</f>
        <v>57.5</v>
      </c>
      <c r="R34" s="11">
        <f>(COUNT(B2:B31)+1)/4</f>
        <v>7.75</v>
      </c>
    </row>
    <row r="35" spans="1:21" ht="18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3" t="s">
        <v>39</v>
      </c>
      <c r="Q35" s="43"/>
      <c r="R35" s="37" t="s">
        <v>42</v>
      </c>
    </row>
    <row r="36" spans="1:21" ht="18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0">
        <f>J8+O2*((R36-M7)/L8)</f>
        <v>66.99166666666666</v>
      </c>
      <c r="Q36" s="11">
        <f>QUARTILE(B2:B31,2)</f>
        <v>70</v>
      </c>
      <c r="R36" s="11">
        <f>(COUNT(B2:B31)+1)/2</f>
        <v>15.5</v>
      </c>
    </row>
    <row r="37" spans="1:21" ht="18" x14ac:dyDescent="0.3">
      <c r="P37" s="43" t="s">
        <v>40</v>
      </c>
      <c r="Q37" s="43"/>
      <c r="R37" s="37" t="s">
        <v>43</v>
      </c>
    </row>
    <row r="38" spans="1:21" ht="18" x14ac:dyDescent="0.3">
      <c r="P38" s="10">
        <f>J9+O2*((R38-SUM(M8))/L9)</f>
        <v>78.541666666666671</v>
      </c>
      <c r="Q38" s="11">
        <f>QUARTILE(B2:B31,3)</f>
        <v>77.25</v>
      </c>
      <c r="R38" s="56">
        <f>3*R34</f>
        <v>23.25</v>
      </c>
    </row>
    <row r="39" spans="1:21" ht="18" x14ac:dyDescent="0.3">
      <c r="P39" s="36" t="s">
        <v>45</v>
      </c>
      <c r="Q39" s="53" t="s">
        <v>44</v>
      </c>
      <c r="R39" s="18"/>
    </row>
    <row r="40" spans="1:21" ht="18" x14ac:dyDescent="0.3">
      <c r="P40" s="10">
        <f>(P38-P34)/2</f>
        <v>11.916666666666668</v>
      </c>
      <c r="Q40" s="10">
        <f>(2/3)*P31</f>
        <v>11.249462111817287</v>
      </c>
    </row>
    <row r="41" spans="1:21" ht="18" x14ac:dyDescent="0.3">
      <c r="P41" s="43" t="s">
        <v>51</v>
      </c>
      <c r="Q41" s="43"/>
    </row>
    <row r="42" spans="1:21" ht="18" x14ac:dyDescent="0.3">
      <c r="P42" s="54">
        <f>(P22/P14)</f>
        <v>1.1458333333333333</v>
      </c>
      <c r="Q42" s="54"/>
    </row>
    <row r="43" spans="1:21" ht="18" x14ac:dyDescent="0.3">
      <c r="P43" s="43" t="s">
        <v>52</v>
      </c>
      <c r="Q43" s="43"/>
    </row>
    <row r="44" spans="1:21" ht="18" x14ac:dyDescent="0.3">
      <c r="P44" s="54">
        <f>P24/P14</f>
        <v>0.2011574074074074</v>
      </c>
      <c r="Q44" s="54"/>
    </row>
    <row r="45" spans="1:21" ht="18" x14ac:dyDescent="0.3">
      <c r="P45" s="43" t="s">
        <v>53</v>
      </c>
      <c r="Q45" s="43"/>
    </row>
    <row r="46" spans="1:21" ht="18" x14ac:dyDescent="0.35">
      <c r="P46" s="54">
        <f>P31/P16</f>
        <v>0.2576431224184127</v>
      </c>
      <c r="Q46" s="54"/>
      <c r="R46" s="30"/>
      <c r="S46" s="30"/>
      <c r="T46" s="30"/>
      <c r="U46" s="30"/>
    </row>
    <row r="47" spans="1:21" ht="18" customHeight="1" x14ac:dyDescent="0.35">
      <c r="P47" s="44" t="s">
        <v>54</v>
      </c>
      <c r="Q47" s="44"/>
      <c r="R47" s="30"/>
      <c r="S47" s="30"/>
      <c r="T47" s="30"/>
      <c r="U47" s="30"/>
    </row>
    <row r="48" spans="1:21" ht="18" x14ac:dyDescent="0.35">
      <c r="P48" s="55">
        <f>P40/P18</f>
        <v>0.17788282124642371</v>
      </c>
      <c r="Q48" s="55"/>
      <c r="R48" s="30"/>
      <c r="S48" s="30"/>
      <c r="T48" s="30"/>
      <c r="U48" s="30"/>
    </row>
    <row r="49" spans="16:21" ht="18" x14ac:dyDescent="0.35">
      <c r="P49" s="58" t="s">
        <v>55</v>
      </c>
      <c r="Q49" s="58"/>
      <c r="R49" s="30"/>
      <c r="S49" s="30"/>
      <c r="T49" s="30"/>
      <c r="U49" s="30"/>
    </row>
    <row r="50" spans="16:21" ht="18" x14ac:dyDescent="0.35">
      <c r="P50" s="59">
        <f>AVERAGE(B29:B31)/AVERAGE(B2:B4)</f>
        <v>2.9191919191919191</v>
      </c>
      <c r="Q50" s="59"/>
      <c r="R50" s="30"/>
      <c r="S50" s="30"/>
      <c r="T50" s="30"/>
      <c r="U50" s="30"/>
    </row>
    <row r="51" spans="16:21" ht="18" x14ac:dyDescent="0.35">
      <c r="P51" s="58" t="s">
        <v>56</v>
      </c>
      <c r="Q51" s="58"/>
      <c r="R51" s="60" t="s">
        <v>57</v>
      </c>
      <c r="S51" s="60" t="s">
        <v>58</v>
      </c>
      <c r="T51" s="60" t="s">
        <v>59</v>
      </c>
      <c r="U51" s="60" t="s">
        <v>60</v>
      </c>
    </row>
    <row r="52" spans="16:21" ht="18" x14ac:dyDescent="0.35">
      <c r="P52" s="57">
        <f>S52/R52</f>
        <v>2.2151932593286077</v>
      </c>
      <c r="Q52" s="57"/>
      <c r="R52" s="46">
        <f>J6+O2*((T52-M5)/L6)</f>
        <v>41.538888888888891</v>
      </c>
      <c r="S52" s="34">
        <f>J10+O2*((U52-M9)/L10)</f>
        <v>92.016666666666666</v>
      </c>
      <c r="T52" s="34">
        <f>(COUNT(B2:B31)+1)/10</f>
        <v>3.1</v>
      </c>
      <c r="U52" s="34">
        <f>9*(COUNT(B2:B31)+1)/10</f>
        <v>27.9</v>
      </c>
    </row>
    <row r="53" spans="16:21" ht="18" x14ac:dyDescent="0.35">
      <c r="P53" s="30"/>
      <c r="Q53" s="30"/>
      <c r="R53" s="30"/>
      <c r="S53" s="30"/>
      <c r="T53" s="30"/>
      <c r="U53" s="30"/>
    </row>
    <row r="54" spans="16:21" ht="18" x14ac:dyDescent="0.35">
      <c r="P54" s="30"/>
      <c r="Q54" s="30"/>
      <c r="R54" s="30"/>
      <c r="S54" s="30"/>
      <c r="T54" s="30"/>
      <c r="U54" s="30"/>
    </row>
    <row r="55" spans="16:21" ht="18" x14ac:dyDescent="0.35">
      <c r="P55" s="30"/>
      <c r="Q55" s="30"/>
      <c r="R55" s="30"/>
      <c r="S55" s="30"/>
      <c r="T55" s="30"/>
      <c r="U55" s="30"/>
    </row>
  </sheetData>
  <sortState xmlns:xlrd2="http://schemas.microsoft.com/office/spreadsheetml/2017/richdata2" ref="B2:C31">
    <sortCondition ref="B2:B31"/>
    <sortCondition ref="C2:C31"/>
  </sortState>
  <mergeCells count="24">
    <mergeCell ref="P48:Q48"/>
    <mergeCell ref="P49:Q49"/>
    <mergeCell ref="P50:Q50"/>
    <mergeCell ref="P51:Q51"/>
    <mergeCell ref="P52:Q52"/>
    <mergeCell ref="P43:Q43"/>
    <mergeCell ref="P44:Q44"/>
    <mergeCell ref="P45:Q45"/>
    <mergeCell ref="P46:Q46"/>
    <mergeCell ref="P47:Q47"/>
    <mergeCell ref="P33:Q33"/>
    <mergeCell ref="P35:Q35"/>
    <mergeCell ref="P37:Q37"/>
    <mergeCell ref="P41:Q41"/>
    <mergeCell ref="P42:Q42"/>
    <mergeCell ref="P23:Q23"/>
    <mergeCell ref="P25:Q25"/>
    <mergeCell ref="P27:Q27"/>
    <mergeCell ref="P30:Q30"/>
    <mergeCell ref="P13:Q13"/>
    <mergeCell ref="P15:Q15"/>
    <mergeCell ref="P17:Q17"/>
    <mergeCell ref="P19:Q19"/>
    <mergeCell ref="P21:Q21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DA6A-F4CB-4654-997A-52D98A6EA1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johnworker</dc:creator>
  <cp:lastModifiedBy>johnworker</cp:lastModifiedBy>
  <dcterms:created xsi:type="dcterms:W3CDTF">2015-06-05T18:19:34Z</dcterms:created>
  <dcterms:modified xsi:type="dcterms:W3CDTF">2024-10-08T14:23:26Z</dcterms:modified>
</cp:coreProperties>
</file>