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4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3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4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5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6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7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8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9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0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1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2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3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4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5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16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17.xml" ContentType="application/vnd.openxmlformats-officedocument.themeOverrid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18.xml" ContentType="application/vnd.openxmlformats-officedocument.themeOverrid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heme/themeOverride19.xml" ContentType="application/vnd.openxmlformats-officedocument.themeOverrid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heme/themeOverride20.xml" ContentType="application/vnd.openxmlformats-officedocument.themeOverrid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heme/themeOverride21.xml" ContentType="application/vnd.openxmlformats-officedocument.themeOverride+xml"/>
  <Override PartName="/xl/drawings/drawing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heme/themeOverride22.xml" ContentType="application/vnd.openxmlformats-officedocument.themeOverrid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23.xml" ContentType="application/vnd.openxmlformats-officedocument.themeOverrid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theme/themeOverride24.xml" ContentType="application/vnd.openxmlformats-officedocument.themeOverrid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heme/themeOverride25.xml" ContentType="application/vnd.openxmlformats-officedocument.themeOverrid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heme/themeOverride26.xml" ContentType="application/vnd.openxmlformats-officedocument.themeOverrid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theme/themeOverride27.xml" ContentType="application/vnd.openxmlformats-officedocument.themeOverrid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theme/themeOverride28.xml" ContentType="application/vnd.openxmlformats-officedocument.themeOverrid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heme/themeOverride29.xml" ContentType="application/vnd.openxmlformats-officedocument.themeOverrid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heme/themeOverride30.xml" ContentType="application/vnd.openxmlformats-officedocument.themeOverrid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theme/themeOverride31.xml" ContentType="application/vnd.openxmlformats-officedocument.themeOverrid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theme/themeOverride32.xml" ContentType="application/vnd.openxmlformats-officedocument.themeOverrid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theme/themeOverride33.xml" ContentType="application/vnd.openxmlformats-officedocument.themeOverrid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theme/themeOverride34.xml" ContentType="application/vnd.openxmlformats-officedocument.themeOverrid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theme/themeOverride35.xml" ContentType="application/vnd.openxmlformats-officedocument.themeOverrid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theme/themeOverride36.xml" ContentType="application/vnd.openxmlformats-officedocument.themeOverrid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theme/themeOverride37.xml" ContentType="application/vnd.openxmlformats-officedocument.themeOverrid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theme/themeOverride38.xml" ContentType="application/vnd.openxmlformats-officedocument.themeOverrid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theme/themeOverride39.xml" ContentType="application/vnd.openxmlformats-officedocument.themeOverride+xml"/>
  <Override PartName="/xl/drawings/drawing7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theme/themeOverride40.xml" ContentType="application/vnd.openxmlformats-officedocument.themeOverrid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drawings/drawing8.xml" ContentType="application/vnd.openxmlformats-officedocument.drawing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theme/themeOverride41.xml" ContentType="application/vnd.openxmlformats-officedocument.themeOverride+xml"/>
  <Override PartName="/xl/drawings/drawing9.xml" ContentType="application/vnd.openxmlformats-officedocument.drawing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drawings/drawing10.xml" ContentType="application/vnd.openxmlformats-officedocument.drawing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Documents\EURONAV\CAP GUILLAUME\2. Operational data and other information\"/>
    </mc:Choice>
  </mc:AlternateContent>
  <bookViews>
    <workbookView xWindow="0" yWindow="0" windowWidth="14700" windowHeight="9375" tabRatio="755" activeTab="3"/>
  </bookViews>
  <sheets>
    <sheet name="Exh. Gas Cylinder" sheetId="21" r:id="rId1"/>
    <sheet name="Chart3" sheetId="22" r:id="rId2"/>
    <sheet name="INPUT DATA" sheetId="1" r:id="rId3"/>
    <sheet name="RESULTS" sheetId="3" r:id="rId4"/>
    <sheet name="ISO diagrams" sheetId="18" r:id="rId5"/>
    <sheet name="Chart1" sheetId="20" r:id="rId6"/>
    <sheet name="Diagrams vs Speed" sheetId="10" r:id="rId7"/>
    <sheet name="Diagrams vs Load" sheetId="17" r:id="rId8"/>
    <sheet name="Extra Diagrams" sheetId="13" r:id="rId9"/>
    <sheet name="Operation vs SHOP (ISO)" sheetId="19" r:id="rId10"/>
    <sheet name="ThermoS " sheetId="2" r:id="rId11"/>
    <sheet name="Exhaust Fixed Fluid" sheetId="11" r:id="rId12"/>
    <sheet name="Compressor MAP" sheetId="15" r:id="rId13"/>
    <sheet name="Sheet1" sheetId="16" r:id="rId14"/>
  </sheets>
  <definedNames>
    <definedName name="bsfc_con">Sheet1!$D$2:$D$4</definedName>
    <definedName name="LHV">Sheet1!$F$2:$F$3</definedName>
    <definedName name="Power">Sheet1!$B$2:$B$4</definedName>
    <definedName name="Pressure_con">Sheet1!$C$2:$C$4</definedName>
    <definedName name="pressure_drop">Sheet1!$E$2:$E$4</definedName>
    <definedName name="_xlnm.Print_Area" localSheetId="2">'INPUT DATA'!$A$184:$I$254</definedName>
    <definedName name="_xlnm.Print_Area" localSheetId="3">RESULTS!$L$1:$S$101</definedName>
    <definedName name="viscosity">Sheet1!$G$2:$G$3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3" i="3" l="1"/>
  <c r="AB23" i="3"/>
  <c r="AC23" i="3"/>
  <c r="AD23" i="3"/>
  <c r="AE23" i="3"/>
  <c r="AF23" i="3"/>
  <c r="AG23" i="3"/>
  <c r="AH23" i="3"/>
  <c r="AI23" i="3"/>
  <c r="AJ23" i="3"/>
  <c r="AK23" i="3"/>
  <c r="AB48" i="3" l="1"/>
  <c r="AC48" i="3"/>
  <c r="AS19" i="1" l="1"/>
  <c r="AT19" i="1" s="1"/>
  <c r="AU19" i="1" s="1"/>
  <c r="AA92" i="3" l="1"/>
  <c r="AB92" i="3"/>
  <c r="AC92" i="3"/>
  <c r="AD92" i="3"/>
  <c r="AE92" i="3"/>
  <c r="AF92" i="3"/>
  <c r="AG92" i="3"/>
  <c r="AH92" i="3"/>
  <c r="AI92" i="3"/>
  <c r="AJ92" i="3"/>
  <c r="AK92" i="3"/>
  <c r="Z92" i="3"/>
  <c r="AK39" i="3" l="1"/>
  <c r="AK215" i="1"/>
  <c r="AK68" i="3"/>
  <c r="AK36" i="3"/>
  <c r="AK38" i="3"/>
  <c r="AK69" i="3" s="1"/>
  <c r="AJ68" i="3"/>
  <c r="AJ87" i="3" s="1"/>
  <c r="AJ69" i="3"/>
  <c r="AJ34" i="3"/>
  <c r="AE34" i="3"/>
  <c r="AC87" i="3"/>
  <c r="AC88" i="3"/>
  <c r="AC89" i="3" l="1"/>
  <c r="Z234" i="1"/>
  <c r="Q60" i="15" l="1"/>
  <c r="Q51" i="15"/>
  <c r="S51" i="15" s="1"/>
  <c r="T51" i="15" s="1"/>
  <c r="Q52" i="15"/>
  <c r="S52" i="15" s="1"/>
  <c r="T52" i="15" s="1"/>
  <c r="T47" i="15"/>
  <c r="Q53" i="15"/>
  <c r="S53" i="15" s="1"/>
  <c r="T53" i="15" s="1"/>
  <c r="R60" i="15"/>
  <c r="R59" i="15"/>
  <c r="R58" i="15"/>
  <c r="R57" i="15"/>
  <c r="R56" i="15"/>
  <c r="R55" i="15"/>
  <c r="R54" i="15"/>
  <c r="R53" i="15"/>
  <c r="R52" i="15"/>
  <c r="R51" i="15"/>
  <c r="S47" i="15"/>
  <c r="Q48" i="15"/>
  <c r="S60" i="15" l="1"/>
  <c r="T60" i="15" s="1"/>
  <c r="Q56" i="15"/>
  <c r="Q58" i="15"/>
  <c r="S58" i="15" s="1"/>
  <c r="T58" i="15" s="1"/>
  <c r="Q57" i="15"/>
  <c r="Q54" i="15"/>
  <c r="Q55" i="15"/>
  <c r="Q59" i="15"/>
  <c r="O190" i="1"/>
  <c r="O11" i="3" s="1"/>
  <c r="S54" i="15" l="1"/>
  <c r="T54" i="15" s="1"/>
  <c r="S57" i="15"/>
  <c r="T57" i="15" s="1"/>
  <c r="S55" i="15"/>
  <c r="T55" i="15" s="1"/>
  <c r="S56" i="15"/>
  <c r="T56" i="15" s="1"/>
  <c r="S59" i="15"/>
  <c r="T59" i="15" s="1"/>
  <c r="E4" i="1"/>
  <c r="E11" i="16"/>
  <c r="E10" i="16"/>
  <c r="AJ73" i="3"/>
  <c r="AK73" i="3"/>
  <c r="AJ93" i="3"/>
  <c r="AK93" i="3"/>
  <c r="AJ95" i="3"/>
  <c r="AK95" i="3"/>
  <c r="AJ185" i="1"/>
  <c r="AJ6" i="3" s="1"/>
  <c r="AJ103" i="3" s="1"/>
  <c r="AK185" i="1"/>
  <c r="AK6" i="3" s="1"/>
  <c r="AK103" i="3" s="1"/>
  <c r="AJ186" i="1"/>
  <c r="AJ7" i="3" s="1"/>
  <c r="AK186" i="1"/>
  <c r="AK7" i="3" s="1"/>
  <c r="AJ187" i="1"/>
  <c r="AJ8" i="3" s="1"/>
  <c r="AJ107" i="3" s="1"/>
  <c r="AK187" i="1"/>
  <c r="AK8" i="3" s="1"/>
  <c r="AJ188" i="1"/>
  <c r="AJ9" i="3" s="1"/>
  <c r="AK188" i="1"/>
  <c r="AK9" i="3" s="1"/>
  <c r="AJ189" i="1"/>
  <c r="AK189" i="1"/>
  <c r="AK10" i="3" s="1"/>
  <c r="AJ190" i="1"/>
  <c r="AJ11" i="3" s="1"/>
  <c r="AK190" i="1"/>
  <c r="AK11" i="3" s="1"/>
  <c r="AJ191" i="1"/>
  <c r="AJ12" i="3" s="1"/>
  <c r="AJ119" i="3" s="1"/>
  <c r="AK191" i="1"/>
  <c r="AK12" i="3" s="1"/>
  <c r="AK119" i="3" s="1"/>
  <c r="AJ192" i="1"/>
  <c r="AJ13" i="3" s="1"/>
  <c r="AK192" i="1"/>
  <c r="AK13" i="3" s="1"/>
  <c r="AJ193" i="1"/>
  <c r="AK193" i="1"/>
  <c r="AJ195" i="1"/>
  <c r="AJ16" i="3" s="1"/>
  <c r="AJ111" i="3" s="1"/>
  <c r="AK195" i="1"/>
  <c r="AK16" i="3" s="1"/>
  <c r="AK111" i="3" s="1"/>
  <c r="AJ196" i="1"/>
  <c r="AJ17" i="3" s="1"/>
  <c r="AK196" i="1"/>
  <c r="AK218" i="1" s="1"/>
  <c r="AK124" i="3" s="1"/>
  <c r="AJ197" i="1"/>
  <c r="AJ214" i="1" s="1"/>
  <c r="AJ35" i="3" s="1"/>
  <c r="AK197" i="1"/>
  <c r="AK214" i="1" s="1"/>
  <c r="AK35" i="3" s="1"/>
  <c r="AJ198" i="1"/>
  <c r="AJ19" i="3" s="1"/>
  <c r="AK198" i="1"/>
  <c r="AJ200" i="1"/>
  <c r="AJ21" i="3" s="1"/>
  <c r="AK200" i="1"/>
  <c r="AK21" i="3" s="1"/>
  <c r="AJ201" i="1"/>
  <c r="AJ22" i="3" s="1"/>
  <c r="AK201" i="1"/>
  <c r="AK22" i="3" s="1"/>
  <c r="AJ202" i="1"/>
  <c r="AK202" i="1"/>
  <c r="AJ203" i="1"/>
  <c r="AJ24" i="3" s="1"/>
  <c r="AK203" i="1"/>
  <c r="AK246" i="1" s="1"/>
  <c r="AK67" i="3" s="1"/>
  <c r="AJ204" i="1"/>
  <c r="AJ25" i="3" s="1"/>
  <c r="AK204" i="1"/>
  <c r="AJ206" i="1"/>
  <c r="AJ27" i="3" s="1"/>
  <c r="AJ146" i="3" s="1"/>
  <c r="AK206" i="1"/>
  <c r="AJ207" i="1"/>
  <c r="AJ208" i="1" s="1"/>
  <c r="AJ29" i="3" s="1"/>
  <c r="AK207" i="1"/>
  <c r="AK208" i="1" s="1"/>
  <c r="AK29" i="3" s="1"/>
  <c r="AJ212" i="1"/>
  <c r="AJ33" i="3" s="1"/>
  <c r="AK212" i="1"/>
  <c r="AK33" i="3" s="1"/>
  <c r="AJ216" i="1"/>
  <c r="AJ37" i="3" s="1"/>
  <c r="AK216" i="1"/>
  <c r="AK251" i="1" s="1"/>
  <c r="AK74" i="3" s="1"/>
  <c r="AJ218" i="1"/>
  <c r="AJ39" i="3" s="1"/>
  <c r="AJ124" i="3" s="1"/>
  <c r="AJ221" i="1"/>
  <c r="AK221" i="1"/>
  <c r="AK42" i="3" s="1"/>
  <c r="AJ223" i="1"/>
  <c r="AJ44" i="3" s="1"/>
  <c r="AK223" i="1"/>
  <c r="AK44" i="3" s="1"/>
  <c r="AJ224" i="1"/>
  <c r="AJ45" i="3" s="1"/>
  <c r="AK224" i="1"/>
  <c r="AK45" i="3" s="1"/>
  <c r="AJ227" i="1"/>
  <c r="AJ228" i="1" s="1"/>
  <c r="AK227" i="1"/>
  <c r="AK228" i="1" s="1"/>
  <c r="AJ234" i="1"/>
  <c r="AJ55" i="3" s="1"/>
  <c r="AK234" i="1"/>
  <c r="AK235" i="1" s="1"/>
  <c r="AJ248" i="1"/>
  <c r="AJ70" i="3" s="1"/>
  <c r="AK248" i="1"/>
  <c r="AK70" i="3" s="1"/>
  <c r="AJ251" i="1" l="1"/>
  <c r="AJ74" i="3" s="1"/>
  <c r="AK249" i="1"/>
  <c r="AK71" i="3" s="1"/>
  <c r="AK72" i="3" s="1"/>
  <c r="AJ222" i="1"/>
  <c r="AJ43" i="3" s="1"/>
  <c r="AK48" i="3"/>
  <c r="AK104" i="3" s="1"/>
  <c r="AJ249" i="1"/>
  <c r="AJ71" i="3" s="1"/>
  <c r="AJ72" i="3" s="1"/>
  <c r="AJ217" i="1"/>
  <c r="AJ38" i="3" s="1"/>
  <c r="AK240" i="1"/>
  <c r="AK61" i="3" s="1"/>
  <c r="AK113" i="3" s="1"/>
  <c r="AK18" i="3"/>
  <c r="AK94" i="3"/>
  <c r="AJ237" i="1"/>
  <c r="AJ238" i="1" s="1"/>
  <c r="AJ59" i="3" s="1"/>
  <c r="AK217" i="1"/>
  <c r="AJ235" i="1"/>
  <c r="AJ56" i="3" s="1"/>
  <c r="AJ252" i="1"/>
  <c r="AK56" i="3"/>
  <c r="AK14" i="3"/>
  <c r="AK150" i="3" s="1"/>
  <c r="AJ48" i="3"/>
  <c r="AJ104" i="3" s="1"/>
  <c r="AJ42" i="3"/>
  <c r="AJ18" i="3"/>
  <c r="AJ14" i="3"/>
  <c r="AJ150" i="3" s="1"/>
  <c r="AJ10" i="3"/>
  <c r="AK55" i="3"/>
  <c r="AK25" i="3"/>
  <c r="AK17" i="3"/>
  <c r="AJ215" i="1"/>
  <c r="AJ36" i="3" s="1"/>
  <c r="AJ82" i="3" s="1"/>
  <c r="AK28" i="3"/>
  <c r="AK112" i="3" s="1"/>
  <c r="AK123" i="3" s="1"/>
  <c r="AK126" i="3" s="1"/>
  <c r="AK24" i="3"/>
  <c r="AJ246" i="1"/>
  <c r="AJ67" i="3" s="1"/>
  <c r="AJ28" i="3"/>
  <c r="AJ112" i="3" s="1"/>
  <c r="AJ123" i="3" s="1"/>
  <c r="AJ241" i="1"/>
  <c r="AJ62" i="3" s="1"/>
  <c r="AK49" i="3"/>
  <c r="AK37" i="3"/>
  <c r="AK27" i="3"/>
  <c r="AK146" i="3" s="1"/>
  <c r="AK19" i="3"/>
  <c r="AK222" i="1"/>
  <c r="AK43" i="3" s="1"/>
  <c r="AJ49" i="3"/>
  <c r="T61" i="15"/>
  <c r="U61" i="15" s="1"/>
  <c r="AK90" i="3"/>
  <c r="AK107" i="3"/>
  <c r="AJ94" i="3"/>
  <c r="AK122" i="3"/>
  <c r="AJ122" i="3"/>
  <c r="AJ240" i="1"/>
  <c r="AJ61" i="3" s="1"/>
  <c r="AK252" i="1"/>
  <c r="AK75" i="3" s="1"/>
  <c r="AK241" i="1"/>
  <c r="AK62" i="3" s="1"/>
  <c r="AK237" i="1"/>
  <c r="AA95" i="3"/>
  <c r="AB95" i="3"/>
  <c r="AC95" i="3"/>
  <c r="AD95" i="3"/>
  <c r="AE95" i="3"/>
  <c r="AF95" i="3"/>
  <c r="AG95" i="3"/>
  <c r="AH95" i="3"/>
  <c r="AI95" i="3"/>
  <c r="Z95" i="3"/>
  <c r="O95" i="3"/>
  <c r="D95" i="3"/>
  <c r="AK96" i="3" s="1"/>
  <c r="AK97" i="3" s="1"/>
  <c r="AK98" i="3" s="1"/>
  <c r="AK99" i="3" s="1"/>
  <c r="AK100" i="3" s="1"/>
  <c r="P95" i="3"/>
  <c r="Q95" i="3"/>
  <c r="R95" i="3"/>
  <c r="S95" i="3"/>
  <c r="E95" i="3"/>
  <c r="F95" i="3"/>
  <c r="G95" i="3"/>
  <c r="H95" i="3"/>
  <c r="I95" i="3"/>
  <c r="AJ254" i="1" l="1"/>
  <c r="AJ77" i="3" s="1"/>
  <c r="AK115" i="3"/>
  <c r="AK84" i="3"/>
  <c r="AJ90" i="3"/>
  <c r="AJ83" i="3"/>
  <c r="AK131" i="3"/>
  <c r="AK139" i="3" s="1"/>
  <c r="AJ132" i="3"/>
  <c r="AJ58" i="3"/>
  <c r="AJ75" i="3"/>
  <c r="AK114" i="3"/>
  <c r="AK116" i="3" s="1"/>
  <c r="AJ253" i="1"/>
  <c r="AJ76" i="3" s="1"/>
  <c r="AK238" i="1"/>
  <c r="AK59" i="3" s="1"/>
  <c r="AK58" i="3"/>
  <c r="AJ113" i="3"/>
  <c r="AJ84" i="3"/>
  <c r="AJ140" i="3"/>
  <c r="AJ81" i="3"/>
  <c r="AK140" i="3"/>
  <c r="AK81" i="3"/>
  <c r="AK82" i="3"/>
  <c r="AK132" i="3"/>
  <c r="AK83" i="3"/>
  <c r="AJ96" i="3"/>
  <c r="AJ97" i="3" s="1"/>
  <c r="AJ98" i="3" s="1"/>
  <c r="AJ99" i="3" s="1"/>
  <c r="AJ100" i="3" s="1"/>
  <c r="AK130" i="3"/>
  <c r="AK125" i="3"/>
  <c r="AK127" i="3" s="1"/>
  <c r="AJ131" i="3"/>
  <c r="AJ126" i="3"/>
  <c r="AJ125" i="3"/>
  <c r="AJ130" i="3"/>
  <c r="AK254" i="1"/>
  <c r="AK77" i="3" s="1"/>
  <c r="AK253" i="1"/>
  <c r="AK76" i="3" s="1"/>
  <c r="AA93" i="3"/>
  <c r="AB93" i="3"/>
  <c r="AC93" i="3"/>
  <c r="AD93" i="3"/>
  <c r="AE93" i="3"/>
  <c r="AF93" i="3"/>
  <c r="AG93" i="3"/>
  <c r="AH93" i="3"/>
  <c r="AI93" i="3"/>
  <c r="Z93" i="3"/>
  <c r="AK134" i="3" l="1"/>
  <c r="AJ114" i="3"/>
  <c r="AJ115" i="3"/>
  <c r="AK142" i="3"/>
  <c r="AJ127" i="3"/>
  <c r="AK138" i="3"/>
  <c r="AK141" i="3" s="1"/>
  <c r="AK143" i="3" s="1"/>
  <c r="AK133" i="3"/>
  <c r="AK135" i="3" s="1"/>
  <c r="AK147" i="3" s="1"/>
  <c r="AK151" i="3" s="1"/>
  <c r="AJ138" i="3"/>
  <c r="AJ141" i="3" s="1"/>
  <c r="AJ133" i="3"/>
  <c r="AJ134" i="3"/>
  <c r="AJ139" i="3"/>
  <c r="AJ142" i="3" s="1"/>
  <c r="AJ116" i="3" l="1"/>
  <c r="AJ135" i="3"/>
  <c r="AJ147" i="3" s="1"/>
  <c r="AJ151" i="3" s="1"/>
  <c r="AJ143" i="3"/>
  <c r="D224" i="1" l="1"/>
  <c r="AM4" i="2" l="1"/>
  <c r="AM15" i="2" s="1"/>
  <c r="AN4" i="2"/>
  <c r="AN15" i="2" s="1"/>
  <c r="AM5" i="2"/>
  <c r="AM16" i="2" s="1"/>
  <c r="AN5" i="2"/>
  <c r="AN16" i="2" s="1"/>
  <c r="AM6" i="2"/>
  <c r="AN6" i="2"/>
  <c r="AM8" i="2"/>
  <c r="AN8" i="2"/>
  <c r="AM9" i="2"/>
  <c r="AN9" i="2"/>
  <c r="AM10" i="2"/>
  <c r="AN10" i="2"/>
  <c r="AM11" i="2"/>
  <c r="AN11" i="2"/>
  <c r="AM12" i="2"/>
  <c r="AN12" i="2"/>
  <c r="AM13" i="2"/>
  <c r="AN13" i="2"/>
  <c r="AM17" i="2"/>
  <c r="AN17" i="2"/>
  <c r="AM18" i="2"/>
  <c r="AN18" i="2"/>
  <c r="AM20" i="2"/>
  <c r="AN20" i="2"/>
  <c r="AM21" i="2"/>
  <c r="AN21" i="2"/>
  <c r="AM22" i="2"/>
  <c r="AN22" i="2"/>
  <c r="AM23" i="2"/>
  <c r="AN23" i="2"/>
  <c r="AM24" i="2"/>
  <c r="AN24" i="2"/>
  <c r="AM25" i="2"/>
  <c r="AN25" i="2"/>
  <c r="AM26" i="2"/>
  <c r="AN26" i="2"/>
  <c r="AM27" i="2"/>
  <c r="AN27" i="2"/>
  <c r="AC4" i="2" l="1"/>
  <c r="AC15" i="2" s="1"/>
  <c r="AC5" i="2"/>
  <c r="AC16" i="2" s="1"/>
  <c r="AC6" i="2"/>
  <c r="V4" i="2"/>
  <c r="V15" i="2" s="1"/>
  <c r="V5" i="2"/>
  <c r="V6" i="2"/>
  <c r="V7" i="2"/>
  <c r="V8" i="2"/>
  <c r="V9" i="2"/>
  <c r="V10" i="2"/>
  <c r="V11" i="2"/>
  <c r="V12" i="2"/>
  <c r="V13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U5" i="2"/>
  <c r="U16" i="2" s="1"/>
  <c r="U6" i="2"/>
  <c r="Y53" i="3" l="1"/>
  <c r="X53" i="3"/>
  <c r="N53" i="3"/>
  <c r="M53" i="3"/>
  <c r="C53" i="3"/>
  <c r="B53" i="3"/>
  <c r="Y10" i="3"/>
  <c r="X10" i="3"/>
  <c r="N10" i="3"/>
  <c r="M10" i="3"/>
  <c r="C10" i="3"/>
  <c r="B10" i="3"/>
  <c r="N15" i="3"/>
  <c r="C15" i="3"/>
  <c r="N20" i="3"/>
  <c r="C20" i="3"/>
  <c r="B20" i="3"/>
  <c r="Y26" i="3"/>
  <c r="N26" i="3"/>
  <c r="C26" i="3"/>
  <c r="B26" i="3"/>
  <c r="Y176" i="3" l="1"/>
  <c r="Y181" i="3"/>
  <c r="Y180" i="3"/>
  <c r="Y179" i="3"/>
  <c r="Y178" i="3"/>
  <c r="Y177" i="3"/>
  <c r="Y28" i="3"/>
  <c r="Y112" i="3" s="1"/>
  <c r="Y123" i="3" s="1"/>
  <c r="Y131" i="3" s="1"/>
  <c r="Y139" i="3" s="1"/>
  <c r="X28" i="3"/>
  <c r="X112" i="3" s="1"/>
  <c r="X123" i="3" s="1"/>
  <c r="X131" i="3" s="1"/>
  <c r="X139" i="3" s="1"/>
  <c r="N28" i="3"/>
  <c r="N112" i="3" s="1"/>
  <c r="N123" i="3" s="1"/>
  <c r="N131" i="3" s="1"/>
  <c r="N139" i="3" s="1"/>
  <c r="M28" i="3"/>
  <c r="M112" i="3" s="1"/>
  <c r="M123" i="3" s="1"/>
  <c r="M131" i="3" s="1"/>
  <c r="M139" i="3" s="1"/>
  <c r="M166" i="3"/>
  <c r="M163" i="3"/>
  <c r="M160" i="3"/>
  <c r="M157" i="3"/>
  <c r="I169" i="3"/>
  <c r="H169" i="3"/>
  <c r="G169" i="3"/>
  <c r="F169" i="3"/>
  <c r="E169" i="3"/>
  <c r="Y151" i="3"/>
  <c r="Y147" i="3"/>
  <c r="X147" i="3"/>
  <c r="X151" i="3" s="1"/>
  <c r="M147" i="3"/>
  <c r="M151" i="3" s="1"/>
  <c r="N147" i="3"/>
  <c r="N151" i="3"/>
  <c r="C151" i="3"/>
  <c r="B151" i="3"/>
  <c r="C147" i="3"/>
  <c r="B147" i="3"/>
  <c r="C28" i="3"/>
  <c r="C112" i="3" s="1"/>
  <c r="C123" i="3" s="1"/>
  <c r="C131" i="3" s="1"/>
  <c r="C139" i="3" s="1"/>
  <c r="B28" i="3"/>
  <c r="B112" i="3" s="1"/>
  <c r="B123" i="3" s="1"/>
  <c r="B131" i="3" s="1"/>
  <c r="B139" i="3" s="1"/>
  <c r="M244" i="1" l="1"/>
  <c r="X244" i="1"/>
  <c r="Y244" i="1"/>
  <c r="AA234" i="1" l="1"/>
  <c r="AB234" i="1"/>
  <c r="AC234" i="1"/>
  <c r="AD234" i="1"/>
  <c r="AE234" i="1"/>
  <c r="AF234" i="1"/>
  <c r="AG234" i="1"/>
  <c r="AH234" i="1"/>
  <c r="AI234" i="1"/>
  <c r="P234" i="1"/>
  <c r="Q234" i="1"/>
  <c r="R234" i="1"/>
  <c r="S234" i="1"/>
  <c r="U18" i="2" s="1"/>
  <c r="O234" i="1"/>
  <c r="E234" i="1"/>
  <c r="F234" i="1"/>
  <c r="G234" i="1"/>
  <c r="H234" i="1"/>
  <c r="I234" i="1"/>
  <c r="D234" i="1"/>
  <c r="D237" i="1" s="1"/>
  <c r="Z202" i="1"/>
  <c r="AA207" i="1"/>
  <c r="AB207" i="1"/>
  <c r="AC207" i="1"/>
  <c r="AD207" i="1"/>
  <c r="AE207" i="1"/>
  <c r="AF207" i="1"/>
  <c r="AG207" i="1"/>
  <c r="AH207" i="1"/>
  <c r="AI207" i="1"/>
  <c r="Z207" i="1"/>
  <c r="O207" i="1"/>
  <c r="P207" i="1"/>
  <c r="Q207" i="1"/>
  <c r="R207" i="1"/>
  <c r="S207" i="1"/>
  <c r="E207" i="1"/>
  <c r="F207" i="1"/>
  <c r="G207" i="1"/>
  <c r="H207" i="1"/>
  <c r="I207" i="1"/>
  <c r="D207" i="1"/>
  <c r="AA227" i="1"/>
  <c r="AB227" i="1"/>
  <c r="AC227" i="1"/>
  <c r="AD227" i="1"/>
  <c r="AE227" i="1"/>
  <c r="AF227" i="1"/>
  <c r="AG227" i="1"/>
  <c r="AH227" i="1"/>
  <c r="AI227" i="1"/>
  <c r="Z227" i="1"/>
  <c r="AC17" i="2" s="1"/>
  <c r="P227" i="1"/>
  <c r="Q227" i="1"/>
  <c r="R227" i="1"/>
  <c r="S227" i="1"/>
  <c r="U17" i="2" s="1"/>
  <c r="O227" i="1"/>
  <c r="AI208" i="1" l="1"/>
  <c r="AI28" i="3"/>
  <c r="AI112" i="3" s="1"/>
  <c r="AI123" i="3" s="1"/>
  <c r="AI131" i="3" s="1"/>
  <c r="AI139" i="3" s="1"/>
  <c r="AA208" i="1"/>
  <c r="AA28" i="3"/>
  <c r="AA112" i="3" s="1"/>
  <c r="AA123" i="3" s="1"/>
  <c r="AA131" i="3" s="1"/>
  <c r="AA139" i="3" s="1"/>
  <c r="Z208" i="1"/>
  <c r="AC11" i="2" s="1"/>
  <c r="Z28" i="3"/>
  <c r="Z112" i="3" s="1"/>
  <c r="Z123" i="3" s="1"/>
  <c r="Z131" i="3" s="1"/>
  <c r="Z139" i="3" s="1"/>
  <c r="AH208" i="1"/>
  <c r="AH28" i="3"/>
  <c r="AH112" i="3" s="1"/>
  <c r="AH123" i="3" s="1"/>
  <c r="AH131" i="3" s="1"/>
  <c r="AH139" i="3" s="1"/>
  <c r="AG208" i="1"/>
  <c r="AG28" i="3"/>
  <c r="AG112" i="3" s="1"/>
  <c r="AG123" i="3" s="1"/>
  <c r="AG131" i="3" s="1"/>
  <c r="AG139" i="3" s="1"/>
  <c r="AF208" i="1"/>
  <c r="AF28" i="3"/>
  <c r="AF112" i="3" s="1"/>
  <c r="AF123" i="3" s="1"/>
  <c r="AF131" i="3" s="1"/>
  <c r="AF139" i="3" s="1"/>
  <c r="AE208" i="1"/>
  <c r="AE28" i="3"/>
  <c r="AE112" i="3" s="1"/>
  <c r="AE123" i="3" s="1"/>
  <c r="AE131" i="3" s="1"/>
  <c r="AE139" i="3" s="1"/>
  <c r="AD208" i="1"/>
  <c r="AD28" i="3"/>
  <c r="AD112" i="3" s="1"/>
  <c r="AD123" i="3" s="1"/>
  <c r="AD131" i="3" s="1"/>
  <c r="AD139" i="3" s="1"/>
  <c r="Z237" i="1"/>
  <c r="Z238" i="1" s="1"/>
  <c r="AC18" i="2"/>
  <c r="AB208" i="1"/>
  <c r="AB28" i="3"/>
  <c r="AB112" i="3" s="1"/>
  <c r="AB123" i="3" s="1"/>
  <c r="AB131" i="3" s="1"/>
  <c r="AB139" i="3" s="1"/>
  <c r="AC208" i="1"/>
  <c r="AC28" i="3"/>
  <c r="AC112" i="3" s="1"/>
  <c r="AC123" i="3" s="1"/>
  <c r="AC131" i="3" s="1"/>
  <c r="AC139" i="3" s="1"/>
  <c r="S208" i="1"/>
  <c r="U11" i="2" s="1"/>
  <c r="S28" i="3"/>
  <c r="S112" i="3" s="1"/>
  <c r="S123" i="3" s="1"/>
  <c r="S131" i="3" s="1"/>
  <c r="S139" i="3" s="1"/>
  <c r="R208" i="1"/>
  <c r="R28" i="3"/>
  <c r="R112" i="3" s="1"/>
  <c r="R123" i="3" s="1"/>
  <c r="R131" i="3" s="1"/>
  <c r="R139" i="3" s="1"/>
  <c r="Q208" i="1"/>
  <c r="Q28" i="3"/>
  <c r="Q112" i="3" s="1"/>
  <c r="Q123" i="3" s="1"/>
  <c r="Q131" i="3" s="1"/>
  <c r="Q139" i="3" s="1"/>
  <c r="P208" i="1"/>
  <c r="P28" i="3"/>
  <c r="P112" i="3" s="1"/>
  <c r="P123" i="3" s="1"/>
  <c r="P131" i="3" s="1"/>
  <c r="P139" i="3" s="1"/>
  <c r="O208" i="1"/>
  <c r="O28" i="3"/>
  <c r="O112" i="3" s="1"/>
  <c r="O123" i="3" s="1"/>
  <c r="O131" i="3" s="1"/>
  <c r="O139" i="3" s="1"/>
  <c r="H208" i="1"/>
  <c r="H28" i="3"/>
  <c r="H112" i="3" s="1"/>
  <c r="H123" i="3" s="1"/>
  <c r="H131" i="3" s="1"/>
  <c r="H139" i="3" s="1"/>
  <c r="G208" i="1"/>
  <c r="G28" i="3"/>
  <c r="G112" i="3" s="1"/>
  <c r="G123" i="3" s="1"/>
  <c r="G131" i="3" s="1"/>
  <c r="G139" i="3" s="1"/>
  <c r="I208" i="1"/>
  <c r="I28" i="3"/>
  <c r="I112" i="3" s="1"/>
  <c r="I123" i="3" s="1"/>
  <c r="I131" i="3" s="1"/>
  <c r="I139" i="3" s="1"/>
  <c r="F208" i="1"/>
  <c r="F28" i="3"/>
  <c r="F112" i="3" s="1"/>
  <c r="F123" i="3" s="1"/>
  <c r="F131" i="3" s="1"/>
  <c r="F139" i="3" s="1"/>
  <c r="E208" i="1"/>
  <c r="E28" i="3"/>
  <c r="E112" i="3" s="1"/>
  <c r="E123" i="3" s="1"/>
  <c r="E131" i="3" s="1"/>
  <c r="E139" i="3" s="1"/>
  <c r="D208" i="1"/>
  <c r="D28" i="3"/>
  <c r="D112" i="3" s="1"/>
  <c r="D123" i="3" s="1"/>
  <c r="D131" i="3" s="1"/>
  <c r="D139" i="3" s="1"/>
  <c r="Z235" i="1"/>
  <c r="Z236" i="1" s="1"/>
  <c r="E227" i="1"/>
  <c r="F227" i="1"/>
  <c r="G227" i="1"/>
  <c r="H227" i="1"/>
  <c r="I227" i="1"/>
  <c r="D227" i="1"/>
  <c r="D228" i="1" s="1"/>
  <c r="D221" i="1"/>
  <c r="X205" i="1"/>
  <c r="X26" i="3" s="1"/>
  <c r="N204" i="1"/>
  <c r="AA202" i="1"/>
  <c r="AB202" i="1"/>
  <c r="AC202" i="1"/>
  <c r="AD202" i="1"/>
  <c r="AE202" i="1"/>
  <c r="AF202" i="1"/>
  <c r="AG202" i="1"/>
  <c r="AH202" i="1"/>
  <c r="AI202" i="1"/>
  <c r="P202" i="1"/>
  <c r="Q202" i="1"/>
  <c r="R202" i="1"/>
  <c r="S202" i="1"/>
  <c r="O202" i="1"/>
  <c r="AA201" i="1"/>
  <c r="AB201" i="1"/>
  <c r="AC201" i="1"/>
  <c r="AD201" i="1"/>
  <c r="AE201" i="1"/>
  <c r="AF201" i="1"/>
  <c r="AG201" i="1"/>
  <c r="AH201" i="1"/>
  <c r="AI201" i="1"/>
  <c r="Z201" i="1"/>
  <c r="P201" i="1"/>
  <c r="Q201" i="1"/>
  <c r="R201" i="1"/>
  <c r="S201" i="1"/>
  <c r="O201" i="1"/>
  <c r="AA200" i="1"/>
  <c r="AB200" i="1"/>
  <c r="AC200" i="1"/>
  <c r="AD200" i="1"/>
  <c r="AE200" i="1"/>
  <c r="AF200" i="1"/>
  <c r="AG200" i="1"/>
  <c r="AH200" i="1"/>
  <c r="AI200" i="1"/>
  <c r="Z200" i="1"/>
  <c r="P200" i="1"/>
  <c r="Q200" i="1"/>
  <c r="R200" i="1"/>
  <c r="S200" i="1"/>
  <c r="O200" i="1"/>
  <c r="D200" i="1"/>
  <c r="P189" i="1"/>
  <c r="Q189" i="1"/>
  <c r="R189" i="1"/>
  <c r="S189" i="1"/>
  <c r="O189" i="1"/>
  <c r="S10" i="3" l="1"/>
  <c r="O10" i="3"/>
  <c r="R10" i="3"/>
  <c r="Q10" i="3"/>
  <c r="O217" i="1"/>
  <c r="P10" i="3"/>
  <c r="Q215" i="1"/>
  <c r="P96" i="3"/>
  <c r="P97" i="3" s="1"/>
  <c r="O96" i="3"/>
  <c r="O97" i="3" s="1"/>
  <c r="S96" i="3"/>
  <c r="S97" i="3" s="1"/>
  <c r="R96" i="3"/>
  <c r="R97" i="3" s="1"/>
  <c r="Q96" i="3"/>
  <c r="Q97" i="3" s="1"/>
  <c r="O215" i="1"/>
  <c r="P215" i="1"/>
  <c r="P217" i="1"/>
  <c r="S240" i="1"/>
  <c r="U20" i="2" s="1"/>
  <c r="S241" i="1"/>
  <c r="U21" i="2" s="1"/>
  <c r="R240" i="1"/>
  <c r="R241" i="1"/>
  <c r="Q240" i="1"/>
  <c r="Q241" i="1"/>
  <c r="P241" i="1"/>
  <c r="P240" i="1"/>
  <c r="S217" i="1"/>
  <c r="U24" i="2" s="1"/>
  <c r="S215" i="1"/>
  <c r="U22" i="2" s="1"/>
  <c r="O241" i="1"/>
  <c r="O240" i="1"/>
  <c r="R215" i="1"/>
  <c r="Q217" i="1"/>
  <c r="AD96" i="3"/>
  <c r="AD97" i="3" s="1"/>
  <c r="AC96" i="3"/>
  <c r="AC97" i="3" s="1"/>
  <c r="Z96" i="3"/>
  <c r="Z97" i="3" s="1"/>
  <c r="AB96" i="3"/>
  <c r="AB97" i="3" s="1"/>
  <c r="R217" i="1"/>
  <c r="AI96" i="3"/>
  <c r="AI97" i="3" s="1"/>
  <c r="AA96" i="3"/>
  <c r="AA97" i="3" s="1"/>
  <c r="AH96" i="3"/>
  <c r="AH97" i="3" s="1"/>
  <c r="AG96" i="3"/>
  <c r="AG97" i="3" s="1"/>
  <c r="AF96" i="3"/>
  <c r="AF97" i="3" s="1"/>
  <c r="AE96" i="3"/>
  <c r="AE97" i="3" s="1"/>
  <c r="AA189" i="1"/>
  <c r="AB189" i="1"/>
  <c r="AC189" i="1"/>
  <c r="AD189" i="1"/>
  <c r="AE189" i="1"/>
  <c r="AF189" i="1"/>
  <c r="AF10" i="3" s="1"/>
  <c r="AG189" i="1"/>
  <c r="AH189" i="1"/>
  <c r="AI189" i="1"/>
  <c r="E189" i="1"/>
  <c r="F189" i="1"/>
  <c r="G189" i="1"/>
  <c r="H189" i="1"/>
  <c r="I189" i="1"/>
  <c r="D189" i="1"/>
  <c r="E202" i="1"/>
  <c r="F202" i="1"/>
  <c r="G202" i="1"/>
  <c r="H202" i="1"/>
  <c r="I202" i="1"/>
  <c r="D202" i="1"/>
  <c r="D222" i="1" s="1"/>
  <c r="C4" i="11"/>
  <c r="C13" i="11" s="1"/>
  <c r="E10" i="3" l="1"/>
  <c r="D10" i="3"/>
  <c r="I10" i="3"/>
  <c r="H10" i="3"/>
  <c r="G10" i="3"/>
  <c r="F10" i="3"/>
  <c r="AB10" i="3"/>
  <c r="AI10" i="3"/>
  <c r="AH10" i="3"/>
  <c r="AG10" i="3"/>
  <c r="AE10" i="3"/>
  <c r="AD10" i="3"/>
  <c r="AC10" i="3"/>
  <c r="AA215" i="1"/>
  <c r="AA10" i="3"/>
  <c r="AG240" i="1"/>
  <c r="AG241" i="1"/>
  <c r="G241" i="1"/>
  <c r="G240" i="1"/>
  <c r="AF240" i="1"/>
  <c r="AF241" i="1"/>
  <c r="AE240" i="1"/>
  <c r="AE241" i="1"/>
  <c r="E241" i="1"/>
  <c r="E240" i="1"/>
  <c r="AD240" i="1"/>
  <c r="AD241" i="1"/>
  <c r="F241" i="1"/>
  <c r="F240" i="1"/>
  <c r="AC240" i="1"/>
  <c r="AC241" i="1"/>
  <c r="AF217" i="1"/>
  <c r="AB240" i="1"/>
  <c r="AB241" i="1"/>
  <c r="H241" i="1"/>
  <c r="H240" i="1"/>
  <c r="D215" i="1"/>
  <c r="D240" i="1"/>
  <c r="D241" i="1"/>
  <c r="AI241" i="1"/>
  <c r="AI240" i="1"/>
  <c r="AA240" i="1"/>
  <c r="AA241" i="1"/>
  <c r="AI215" i="1"/>
  <c r="I240" i="1"/>
  <c r="I241" i="1"/>
  <c r="AH241" i="1"/>
  <c r="AH240" i="1"/>
  <c r="AE217" i="1"/>
  <c r="AB217" i="1"/>
  <c r="AG215" i="1"/>
  <c r="AC215" i="1"/>
  <c r="AG217" i="1"/>
  <c r="AC217" i="1"/>
  <c r="AA217" i="1"/>
  <c r="AD215" i="1"/>
  <c r="AH215" i="1"/>
  <c r="AF215" i="1"/>
  <c r="AE215" i="1"/>
  <c r="AI217" i="1"/>
  <c r="AH217" i="1"/>
  <c r="AB215" i="1"/>
  <c r="AD217" i="1"/>
  <c r="E201" i="1" l="1"/>
  <c r="E217" i="1" s="1"/>
  <c r="F201" i="1"/>
  <c r="F217" i="1" s="1"/>
  <c r="G201" i="1"/>
  <c r="G217" i="1" s="1"/>
  <c r="H201" i="1"/>
  <c r="H217" i="1" s="1"/>
  <c r="I201" i="1"/>
  <c r="I217" i="1" s="1"/>
  <c r="D201" i="1"/>
  <c r="D217" i="1" s="1"/>
  <c r="E200" i="1"/>
  <c r="E215" i="1" s="1"/>
  <c r="F200" i="1"/>
  <c r="F215" i="1" s="1"/>
  <c r="G200" i="1"/>
  <c r="G215" i="1" s="1"/>
  <c r="H200" i="1"/>
  <c r="H215" i="1" s="1"/>
  <c r="I200" i="1"/>
  <c r="I215" i="1" s="1"/>
  <c r="C204" i="1"/>
  <c r="M205" i="1"/>
  <c r="M26" i="3" s="1"/>
  <c r="X199" i="1" l="1"/>
  <c r="X20" i="3" s="1"/>
  <c r="Y199" i="1"/>
  <c r="Y20" i="3" s="1"/>
  <c r="M199" i="1"/>
  <c r="M20" i="3" s="1"/>
  <c r="C198" i="1"/>
  <c r="E190" i="1"/>
  <c r="F190" i="1"/>
  <c r="G190" i="1"/>
  <c r="H190" i="1"/>
  <c r="I190" i="1"/>
  <c r="D190" i="1"/>
  <c r="P190" i="1"/>
  <c r="Q190" i="1"/>
  <c r="R190" i="1"/>
  <c r="S190" i="1"/>
  <c r="C193" i="1"/>
  <c r="D203" i="1"/>
  <c r="D204" i="1"/>
  <c r="D206" i="1"/>
  <c r="D205" i="1" l="1"/>
  <c r="D26" i="3" l="1"/>
  <c r="D244" i="1"/>
  <c r="D245" i="1" s="1"/>
  <c r="P93" i="3"/>
  <c r="Q93" i="3"/>
  <c r="R93" i="3"/>
  <c r="S93" i="3"/>
  <c r="O93" i="3"/>
  <c r="AH4" i="2"/>
  <c r="AH15" i="2" s="1"/>
  <c r="AI4" i="2"/>
  <c r="AI15" i="2" s="1"/>
  <c r="AJ4" i="2"/>
  <c r="AJ15" i="2" s="1"/>
  <c r="AK4" i="2"/>
  <c r="AK15" i="2" s="1"/>
  <c r="AL4" i="2"/>
  <c r="AL15" i="2" s="1"/>
  <c r="AH5" i="2"/>
  <c r="AH16" i="2" s="1"/>
  <c r="AI5" i="2"/>
  <c r="AI16" i="2" s="1"/>
  <c r="AJ5" i="2"/>
  <c r="AJ16" i="2" s="1"/>
  <c r="AK5" i="2"/>
  <c r="AK16" i="2" s="1"/>
  <c r="AL5" i="2"/>
  <c r="AL16" i="2" s="1"/>
  <c r="AH6" i="2"/>
  <c r="AI6" i="2"/>
  <c r="AJ6" i="2"/>
  <c r="AK6" i="2"/>
  <c r="AL6" i="2"/>
  <c r="AE185" i="1" l="1"/>
  <c r="AF185" i="1"/>
  <c r="AG185" i="1"/>
  <c r="AH185" i="1"/>
  <c r="AI185" i="1"/>
  <c r="AE186" i="1"/>
  <c r="AE7" i="3" s="1"/>
  <c r="AE156" i="3" s="1"/>
  <c r="AE176" i="3" s="1"/>
  <c r="AF186" i="1"/>
  <c r="AF7" i="3" s="1"/>
  <c r="AF156" i="3" s="1"/>
  <c r="AF176" i="3" s="1"/>
  <c r="AG186" i="1"/>
  <c r="AG7" i="3" s="1"/>
  <c r="AG156" i="3" s="1"/>
  <c r="AG176" i="3" s="1"/>
  <c r="AH186" i="1"/>
  <c r="AH7" i="3" s="1"/>
  <c r="AH156" i="3" s="1"/>
  <c r="AH176" i="3" s="1"/>
  <c r="AI186" i="1"/>
  <c r="AI7" i="3" s="1"/>
  <c r="AI156" i="3" s="1"/>
  <c r="AI176" i="3" s="1"/>
  <c r="AE187" i="1"/>
  <c r="AE8" i="3" s="1"/>
  <c r="AF187" i="1"/>
  <c r="AF8" i="3" s="1"/>
  <c r="AG187" i="1"/>
  <c r="AG8" i="3" s="1"/>
  <c r="AH187" i="1"/>
  <c r="AI187" i="1"/>
  <c r="AI8" i="3" s="1"/>
  <c r="AE188" i="1"/>
  <c r="AH12" i="2" s="1"/>
  <c r="AF188" i="1"/>
  <c r="AI12" i="2" s="1"/>
  <c r="AG188" i="1"/>
  <c r="AJ12" i="2" s="1"/>
  <c r="AH188" i="1"/>
  <c r="AK12" i="2" s="1"/>
  <c r="AI188" i="1"/>
  <c r="AE190" i="1"/>
  <c r="AE11" i="3" s="1"/>
  <c r="AF190" i="1"/>
  <c r="AF11" i="3" s="1"/>
  <c r="AG190" i="1"/>
  <c r="AG11" i="3" s="1"/>
  <c r="AH190" i="1"/>
  <c r="AH11" i="3" s="1"/>
  <c r="AI190" i="1"/>
  <c r="AE191" i="1"/>
  <c r="AF191" i="1"/>
  <c r="AF12" i="3" s="1"/>
  <c r="AF119" i="3" s="1"/>
  <c r="AG191" i="1"/>
  <c r="AG12" i="3" s="1"/>
  <c r="AG119" i="3" s="1"/>
  <c r="AH191" i="1"/>
  <c r="AI191" i="1"/>
  <c r="AI12" i="3" s="1"/>
  <c r="AI119" i="3" s="1"/>
  <c r="AE192" i="1"/>
  <c r="AE13" i="3" s="1"/>
  <c r="AF192" i="1"/>
  <c r="AF13" i="3" s="1"/>
  <c r="AG192" i="1"/>
  <c r="AG13" i="3" s="1"/>
  <c r="AH192" i="1"/>
  <c r="AH13" i="3" s="1"/>
  <c r="AI192" i="1"/>
  <c r="AE193" i="1"/>
  <c r="AE14" i="3" s="1"/>
  <c r="AF193" i="1"/>
  <c r="AF14" i="3" s="1"/>
  <c r="AG193" i="1"/>
  <c r="AG14" i="3" s="1"/>
  <c r="AH193" i="1"/>
  <c r="AI193" i="1"/>
  <c r="AI14" i="3" s="1"/>
  <c r="AE195" i="1"/>
  <c r="AE212" i="1" s="1"/>
  <c r="AF195" i="1"/>
  <c r="AF212" i="1" s="1"/>
  <c r="AG195" i="1"/>
  <c r="AG212" i="1" s="1"/>
  <c r="AH195" i="1"/>
  <c r="AH212" i="1" s="1"/>
  <c r="AH252" i="1" s="1"/>
  <c r="AI195" i="1"/>
  <c r="AI16" i="3" s="1"/>
  <c r="AI111" i="3" s="1"/>
  <c r="AE196" i="1"/>
  <c r="AE218" i="1" s="1"/>
  <c r="AF196" i="1"/>
  <c r="AF17" i="3" s="1"/>
  <c r="AG196" i="1"/>
  <c r="AG218" i="1" s="1"/>
  <c r="AH196" i="1"/>
  <c r="AI196" i="1"/>
  <c r="AI218" i="1" s="1"/>
  <c r="AE197" i="1"/>
  <c r="AE214" i="1" s="1"/>
  <c r="AE35" i="3" s="1"/>
  <c r="AF197" i="1"/>
  <c r="AF18" i="3" s="1"/>
  <c r="AG197" i="1"/>
  <c r="AG214" i="1" s="1"/>
  <c r="AG35" i="3" s="1"/>
  <c r="AH197" i="1"/>
  <c r="AH214" i="1" s="1"/>
  <c r="AH35" i="3" s="1"/>
  <c r="AI197" i="1"/>
  <c r="AI214" i="1" s="1"/>
  <c r="AI35" i="3" s="1"/>
  <c r="AE198" i="1"/>
  <c r="AE19" i="3" s="1"/>
  <c r="AF198" i="1"/>
  <c r="AG198" i="1"/>
  <c r="AH198" i="1"/>
  <c r="AI198" i="1"/>
  <c r="AI19" i="3" s="1"/>
  <c r="AI21" i="3"/>
  <c r="AF22" i="3"/>
  <c r="AE203" i="1"/>
  <c r="AE246" i="1" s="1"/>
  <c r="AF203" i="1"/>
  <c r="AF246" i="1" s="1"/>
  <c r="AG203" i="1"/>
  <c r="AG24" i="3" s="1"/>
  <c r="AH203" i="1"/>
  <c r="AH24" i="3" s="1"/>
  <c r="AI203" i="1"/>
  <c r="AI24" i="3" s="1"/>
  <c r="AE204" i="1"/>
  <c r="AF204" i="1"/>
  <c r="AG204" i="1"/>
  <c r="AH204" i="1"/>
  <c r="AH25" i="3" s="1"/>
  <c r="AI204" i="1"/>
  <c r="AE206" i="1"/>
  <c r="AF206" i="1"/>
  <c r="AG206" i="1"/>
  <c r="AJ26" i="2" s="1"/>
  <c r="AH206" i="1"/>
  <c r="AK26" i="2" s="1"/>
  <c r="AI206" i="1"/>
  <c r="AH11" i="2"/>
  <c r="AJ11" i="2"/>
  <c r="AK11" i="2"/>
  <c r="AE216" i="1"/>
  <c r="AF216" i="1"/>
  <c r="AG216" i="1"/>
  <c r="AG37" i="3" s="1"/>
  <c r="AH216" i="1"/>
  <c r="AI216" i="1"/>
  <c r="AH218" i="1"/>
  <c r="AK25" i="2" s="1"/>
  <c r="AE221" i="1"/>
  <c r="AE42" i="3" s="1"/>
  <c r="AF221" i="1"/>
  <c r="AF42" i="3" s="1"/>
  <c r="AG221" i="1"/>
  <c r="AG42" i="3" s="1"/>
  <c r="AH221" i="1"/>
  <c r="AH42" i="3" s="1"/>
  <c r="AI221" i="1"/>
  <c r="AE223" i="1"/>
  <c r="AH13" i="2" s="1"/>
  <c r="AF223" i="1"/>
  <c r="AG223" i="1"/>
  <c r="AH223" i="1"/>
  <c r="AI223" i="1"/>
  <c r="AE224" i="1"/>
  <c r="AE45" i="3" s="1"/>
  <c r="AF224" i="1"/>
  <c r="AF45" i="3" s="1"/>
  <c r="AG224" i="1"/>
  <c r="AG45" i="3" s="1"/>
  <c r="AH224" i="1"/>
  <c r="AH45" i="3" s="1"/>
  <c r="AI224" i="1"/>
  <c r="AI45" i="3" s="1"/>
  <c r="AI20" i="2"/>
  <c r="AK20" i="2"/>
  <c r="AH21" i="2"/>
  <c r="AE248" i="1"/>
  <c r="AE70" i="3" s="1"/>
  <c r="AF248" i="1"/>
  <c r="AF70" i="3" s="1"/>
  <c r="AG248" i="1"/>
  <c r="AG70" i="3" s="1"/>
  <c r="AH248" i="1"/>
  <c r="AH70" i="3" s="1"/>
  <c r="AI248" i="1"/>
  <c r="AI70" i="3" s="1"/>
  <c r="AE6" i="3"/>
  <c r="AE103" i="3" s="1"/>
  <c r="AF6" i="3"/>
  <c r="AF103" i="3" s="1"/>
  <c r="AG6" i="3"/>
  <c r="AG103" i="3" s="1"/>
  <c r="AH6" i="3"/>
  <c r="AH103" i="3" s="1"/>
  <c r="AI6" i="3"/>
  <c r="AI103" i="3" s="1"/>
  <c r="AH8" i="3"/>
  <c r="AF9" i="3"/>
  <c r="AH9" i="3"/>
  <c r="AI11" i="3"/>
  <c r="AE12" i="3"/>
  <c r="AE119" i="3" s="1"/>
  <c r="AH12" i="3"/>
  <c r="AH119" i="3" s="1"/>
  <c r="AI13" i="3"/>
  <c r="AH17" i="3"/>
  <c r="AF19" i="3"/>
  <c r="AH19" i="3"/>
  <c r="AE21" i="3"/>
  <c r="AH21" i="3"/>
  <c r="AG22" i="3"/>
  <c r="AH22" i="3"/>
  <c r="AE29" i="3"/>
  <c r="AG29" i="3"/>
  <c r="AH29" i="3"/>
  <c r="AE36" i="3"/>
  <c r="AE132" i="3" s="1"/>
  <c r="AE134" i="3" s="1"/>
  <c r="AH39" i="3"/>
  <c r="AH124" i="3" s="1"/>
  <c r="AH126" i="3" s="1"/>
  <c r="AF61" i="3"/>
  <c r="AF113" i="3" s="1"/>
  <c r="AF115" i="3" s="1"/>
  <c r="AE62" i="3"/>
  <c r="AE140" i="3" s="1"/>
  <c r="AE142" i="3" s="1"/>
  <c r="AE73" i="3"/>
  <c r="AF73" i="3"/>
  <c r="AG73" i="3"/>
  <c r="AH73" i="3"/>
  <c r="AI73" i="3"/>
  <c r="AE17" i="3" l="1"/>
  <c r="AG9" i="3"/>
  <c r="AF94" i="3"/>
  <c r="AH16" i="3"/>
  <c r="AH111" i="3" s="1"/>
  <c r="AH122" i="3" s="1"/>
  <c r="AH94" i="3"/>
  <c r="AK9" i="2" s="1"/>
  <c r="AG16" i="3"/>
  <c r="AG111" i="3" s="1"/>
  <c r="AG122" i="3" s="1"/>
  <c r="AJ8" i="2"/>
  <c r="AG252" i="1"/>
  <c r="AG27" i="3"/>
  <c r="AG146" i="3" s="1"/>
  <c r="AG169" i="3" s="1"/>
  <c r="AG94" i="3"/>
  <c r="AJ9" i="2" s="1"/>
  <c r="AI8" i="2"/>
  <c r="AF252" i="1"/>
  <c r="AF24" i="3"/>
  <c r="AE18" i="3"/>
  <c r="AH8" i="2"/>
  <c r="AE252" i="1"/>
  <c r="AE75" i="3" s="1"/>
  <c r="AH27" i="2"/>
  <c r="AE67" i="3"/>
  <c r="AE24" i="3"/>
  <c r="AE94" i="3"/>
  <c r="AH9" i="2" s="1"/>
  <c r="AI150" i="3"/>
  <c r="AI98" i="3"/>
  <c r="AI99" i="3" s="1"/>
  <c r="AI100" i="3" s="1"/>
  <c r="AL10" i="2" s="1"/>
  <c r="AI107" i="3"/>
  <c r="AG150" i="3"/>
  <c r="AI122" i="3"/>
  <c r="AF150" i="3"/>
  <c r="AG98" i="3"/>
  <c r="AG99" i="3" s="1"/>
  <c r="AG100" i="3" s="1"/>
  <c r="AJ10" i="2" s="1"/>
  <c r="AG107" i="3"/>
  <c r="AF98" i="3"/>
  <c r="AF99" i="3" s="1"/>
  <c r="AF100" i="3" s="1"/>
  <c r="AI10" i="2" s="1"/>
  <c r="AF107" i="3"/>
  <c r="AE98" i="3"/>
  <c r="AE99" i="3" s="1"/>
  <c r="AE100" i="3" s="1"/>
  <c r="AH10" i="2" s="1"/>
  <c r="AE107" i="3"/>
  <c r="AE150" i="3"/>
  <c r="AH98" i="3"/>
  <c r="AH99" i="3" s="1"/>
  <c r="AH100" i="3" s="1"/>
  <c r="AK10" i="2" s="1"/>
  <c r="AH107" i="3"/>
  <c r="AE25" i="3"/>
  <c r="AI25" i="3"/>
  <c r="AG25" i="3"/>
  <c r="AE44" i="3"/>
  <c r="AH27" i="3"/>
  <c r="AH146" i="3" s="1"/>
  <c r="AH169" i="3" s="1"/>
  <c r="AG17" i="3"/>
  <c r="AE9" i="3"/>
  <c r="AG36" i="3"/>
  <c r="AG132" i="3" s="1"/>
  <c r="AG134" i="3" s="1"/>
  <c r="AJ22" i="2"/>
  <c r="AI38" i="3"/>
  <c r="AL24" i="2"/>
  <c r="AF37" i="3"/>
  <c r="AI23" i="2"/>
  <c r="AG61" i="3"/>
  <c r="AG113" i="3" s="1"/>
  <c r="AJ20" i="2"/>
  <c r="AE249" i="1"/>
  <c r="AE71" i="3" s="1"/>
  <c r="AE72" i="3" s="1"/>
  <c r="AH26" i="2"/>
  <c r="AI61" i="3"/>
  <c r="AI113" i="3" s="1"/>
  <c r="AI115" i="3" s="1"/>
  <c r="AL20" i="2"/>
  <c r="AG251" i="1"/>
  <c r="AG74" i="3" s="1"/>
  <c r="AJ23" i="2"/>
  <c r="AH36" i="3"/>
  <c r="AH132" i="3" s="1"/>
  <c r="AH134" i="3" s="1"/>
  <c r="AK22" i="2"/>
  <c r="AG39" i="3"/>
  <c r="AG124" i="3" s="1"/>
  <c r="AG126" i="3" s="1"/>
  <c r="AJ25" i="2"/>
  <c r="AG21" i="3"/>
  <c r="AI62" i="3"/>
  <c r="AI140" i="3" s="1"/>
  <c r="AI142" i="3" s="1"/>
  <c r="AL21" i="2"/>
  <c r="AH44" i="3"/>
  <c r="AK13" i="2"/>
  <c r="AF67" i="3"/>
  <c r="AI27" i="2"/>
  <c r="AH38" i="3"/>
  <c r="AK24" i="2"/>
  <c r="AE39" i="3"/>
  <c r="AE124" i="3" s="1"/>
  <c r="AE126" i="3" s="1"/>
  <c r="AH25" i="2"/>
  <c r="AH61" i="3"/>
  <c r="AH113" i="3" s="1"/>
  <c r="AH115" i="3" s="1"/>
  <c r="AH62" i="3"/>
  <c r="AH140" i="3" s="1"/>
  <c r="AH142" i="3" s="1"/>
  <c r="AK21" i="2"/>
  <c r="AE61" i="3"/>
  <c r="AH20" i="2"/>
  <c r="AG44" i="3"/>
  <c r="AJ13" i="2"/>
  <c r="AH22" i="2"/>
  <c r="AF29" i="3"/>
  <c r="AI11" i="2"/>
  <c r="AG38" i="3"/>
  <c r="AJ24" i="2"/>
  <c r="AH33" i="3"/>
  <c r="AK8" i="2"/>
  <c r="AI9" i="3"/>
  <c r="AL12" i="2"/>
  <c r="AF27" i="3"/>
  <c r="AF146" i="3" s="1"/>
  <c r="AF169" i="3" s="1"/>
  <c r="AI26" i="2"/>
  <c r="AE251" i="1"/>
  <c r="AH23" i="2"/>
  <c r="AF36" i="3"/>
  <c r="AF132" i="3" s="1"/>
  <c r="AI22" i="2"/>
  <c r="AI22" i="3"/>
  <c r="AG62" i="3"/>
  <c r="AG140" i="3" s="1"/>
  <c r="AG142" i="3" s="1"/>
  <c r="AJ21" i="2"/>
  <c r="AF44" i="3"/>
  <c r="AI13" i="2"/>
  <c r="AI29" i="3"/>
  <c r="AL11" i="2"/>
  <c r="AI44" i="3"/>
  <c r="AL13" i="2"/>
  <c r="AE27" i="3"/>
  <c r="AE146" i="3" s="1"/>
  <c r="AE169" i="3" s="1"/>
  <c r="AH18" i="3"/>
  <c r="AF62" i="3"/>
  <c r="AI21" i="2"/>
  <c r="AI37" i="3"/>
  <c r="AL23" i="2"/>
  <c r="AI27" i="3"/>
  <c r="AI146" i="3" s="1"/>
  <c r="AI169" i="3" s="1"/>
  <c r="AL26" i="2"/>
  <c r="AE38" i="3"/>
  <c r="AH24" i="2"/>
  <c r="AI39" i="3"/>
  <c r="AI124" i="3" s="1"/>
  <c r="AI126" i="3" s="1"/>
  <c r="AL25" i="2"/>
  <c r="AH251" i="1"/>
  <c r="AH74" i="3" s="1"/>
  <c r="AK23" i="2"/>
  <c r="AI9" i="2"/>
  <c r="AI17" i="3"/>
  <c r="AI212" i="1"/>
  <c r="AI246" i="1"/>
  <c r="AE33" i="3"/>
  <c r="AF251" i="1"/>
  <c r="AF74" i="3" s="1"/>
  <c r="AG19" i="3"/>
  <c r="AE222" i="1"/>
  <c r="AE43" i="3" s="1"/>
  <c r="AE22" i="3"/>
  <c r="AE16" i="3"/>
  <c r="AE111" i="3" s="1"/>
  <c r="AI251" i="1"/>
  <c r="AG33" i="3"/>
  <c r="AH37" i="3"/>
  <c r="AF25" i="3"/>
  <c r="AE81" i="3"/>
  <c r="AI18" i="3"/>
  <c r="AG222" i="1"/>
  <c r="AG43" i="3" s="1"/>
  <c r="AL22" i="2"/>
  <c r="AE37" i="3"/>
  <c r="AF21" i="3"/>
  <c r="AI222" i="1"/>
  <c r="AI43" i="3" s="1"/>
  <c r="AH14" i="3"/>
  <c r="AH249" i="1"/>
  <c r="AH71" i="3" s="1"/>
  <c r="AH72" i="3" s="1"/>
  <c r="AH246" i="1"/>
  <c r="AH222" i="1"/>
  <c r="AH43" i="3" s="1"/>
  <c r="AG18" i="3"/>
  <c r="AG249" i="1"/>
  <c r="AG71" i="3" s="1"/>
  <c r="AG72" i="3" s="1"/>
  <c r="AG246" i="1"/>
  <c r="AF214" i="1"/>
  <c r="AF35" i="3" s="1"/>
  <c r="AF218" i="1"/>
  <c r="AF75" i="3"/>
  <c r="AF33" i="3"/>
  <c r="AF16" i="3"/>
  <c r="AF111" i="3" s="1"/>
  <c r="AF249" i="1"/>
  <c r="AF71" i="3" s="1"/>
  <c r="AF72" i="3" s="1"/>
  <c r="AF222" i="1"/>
  <c r="AF43" i="3" s="1"/>
  <c r="AI42" i="3"/>
  <c r="AI36" i="3"/>
  <c r="AI132" i="3" s="1"/>
  <c r="AI134" i="3" s="1"/>
  <c r="AG82" i="3" l="1"/>
  <c r="AI249" i="1"/>
  <c r="AI71" i="3" s="1"/>
  <c r="AI72" i="3" s="1"/>
  <c r="AI252" i="1"/>
  <c r="AI253" i="1" s="1"/>
  <c r="AI76" i="3" s="1"/>
  <c r="AI94" i="3"/>
  <c r="AL9" i="2" s="1"/>
  <c r="AH253" i="1"/>
  <c r="AH76" i="3" s="1"/>
  <c r="AE83" i="3"/>
  <c r="AG81" i="3"/>
  <c r="AE82" i="3"/>
  <c r="AH82" i="3"/>
  <c r="AH125" i="3"/>
  <c r="AH127" i="3" s="1"/>
  <c r="AH166" i="3" s="1"/>
  <c r="AH130" i="3"/>
  <c r="AG115" i="3"/>
  <c r="AH114" i="3"/>
  <c r="AH116" i="3" s="1"/>
  <c r="AH157" i="3" s="1"/>
  <c r="AF134" i="3"/>
  <c r="AE122" i="3"/>
  <c r="AG125" i="3"/>
  <c r="AG127" i="3" s="1"/>
  <c r="AG166" i="3" s="1"/>
  <c r="AG130" i="3"/>
  <c r="AG114" i="3"/>
  <c r="AF122" i="3"/>
  <c r="AF114" i="3"/>
  <c r="AF116" i="3" s="1"/>
  <c r="AF157" i="3" s="1"/>
  <c r="AH150" i="3"/>
  <c r="AF84" i="3"/>
  <c r="AF140" i="3"/>
  <c r="AF142" i="3" s="1"/>
  <c r="AI125" i="3"/>
  <c r="AI127" i="3" s="1"/>
  <c r="AI166" i="3" s="1"/>
  <c r="AI130" i="3"/>
  <c r="AE84" i="3"/>
  <c r="AE113" i="3"/>
  <c r="AE115" i="3" s="1"/>
  <c r="AI114" i="3"/>
  <c r="AI116" i="3" s="1"/>
  <c r="AI157" i="3" s="1"/>
  <c r="AE253" i="1"/>
  <c r="AE76" i="3" s="1"/>
  <c r="AG254" i="1"/>
  <c r="AG77" i="3" s="1"/>
  <c r="AG253" i="1"/>
  <c r="AG76" i="3" s="1"/>
  <c r="AF254" i="1"/>
  <c r="AF77" i="3" s="1"/>
  <c r="AE74" i="3"/>
  <c r="AF82" i="3"/>
  <c r="AI84" i="3"/>
  <c r="AF81" i="3"/>
  <c r="AH84" i="3"/>
  <c r="AG84" i="3"/>
  <c r="AG83" i="3"/>
  <c r="AH83" i="3"/>
  <c r="AG75" i="3"/>
  <c r="AH81" i="3"/>
  <c r="AI67" i="3"/>
  <c r="AL27" i="2"/>
  <c r="AF39" i="3"/>
  <c r="AF124" i="3" s="1"/>
  <c r="AF126" i="3" s="1"/>
  <c r="AI25" i="2"/>
  <c r="AH67" i="3"/>
  <c r="AK27" i="2"/>
  <c r="AI33" i="3"/>
  <c r="AL8" i="2"/>
  <c r="AF38" i="3"/>
  <c r="AI24" i="2"/>
  <c r="AG67" i="3"/>
  <c r="AJ27" i="2"/>
  <c r="AI74" i="3"/>
  <c r="AE254" i="1"/>
  <c r="AE77" i="3" s="1"/>
  <c r="AF253" i="1"/>
  <c r="AF76" i="3" s="1"/>
  <c r="AH254" i="1"/>
  <c r="AH77" i="3" s="1"/>
  <c r="AH75" i="3"/>
  <c r="AI83" i="3"/>
  <c r="AI82" i="3"/>
  <c r="AI81" i="3"/>
  <c r="AG116" i="3" l="1"/>
  <c r="AG157" i="3" s="1"/>
  <c r="AI75" i="3"/>
  <c r="AF83" i="3"/>
  <c r="AI254" i="1"/>
  <c r="AI77" i="3" s="1"/>
  <c r="AG138" i="3"/>
  <c r="AG141" i="3" s="1"/>
  <c r="AG143" i="3" s="1"/>
  <c r="AG160" i="3" s="1"/>
  <c r="AG133" i="3"/>
  <c r="AG135" i="3" s="1"/>
  <c r="AH138" i="3"/>
  <c r="AH141" i="3" s="1"/>
  <c r="AH143" i="3" s="1"/>
  <c r="AH160" i="3" s="1"/>
  <c r="AH133" i="3"/>
  <c r="AH135" i="3" s="1"/>
  <c r="AF130" i="3"/>
  <c r="AF125" i="3"/>
  <c r="AF127" i="3" s="1"/>
  <c r="AF166" i="3" s="1"/>
  <c r="AE114" i="3"/>
  <c r="AE116" i="3" s="1"/>
  <c r="AE157" i="3" s="1"/>
  <c r="AI133" i="3"/>
  <c r="AI135" i="3" s="1"/>
  <c r="AI138" i="3"/>
  <c r="AI141" i="3" s="1"/>
  <c r="AI143" i="3" s="1"/>
  <c r="AI160" i="3" s="1"/>
  <c r="AE125" i="3"/>
  <c r="AE127" i="3" s="1"/>
  <c r="AE166" i="3" s="1"/>
  <c r="AE130" i="3"/>
  <c r="Y11" i="3"/>
  <c r="X11" i="3"/>
  <c r="N11" i="3"/>
  <c r="M11" i="3"/>
  <c r="C11" i="3"/>
  <c r="B11" i="3"/>
  <c r="AI147" i="3" l="1"/>
  <c r="AI151" i="3" s="1"/>
  <c r="AI163" i="3"/>
  <c r="AH147" i="3"/>
  <c r="AH151" i="3" s="1"/>
  <c r="AH163" i="3"/>
  <c r="AG147" i="3"/>
  <c r="AG151" i="3" s="1"/>
  <c r="AG163" i="3"/>
  <c r="AF138" i="3"/>
  <c r="AF141" i="3" s="1"/>
  <c r="AF143" i="3" s="1"/>
  <c r="AF160" i="3" s="1"/>
  <c r="AF133" i="3"/>
  <c r="AF135" i="3" s="1"/>
  <c r="AE133" i="3"/>
  <c r="AE135" i="3" s="1"/>
  <c r="AE138" i="3"/>
  <c r="AE141" i="3" s="1"/>
  <c r="AE143" i="3" s="1"/>
  <c r="AE160" i="3" s="1"/>
  <c r="AD192" i="1"/>
  <c r="AD13" i="3" s="1"/>
  <c r="AC192" i="1"/>
  <c r="AC13" i="3" s="1"/>
  <c r="AB192" i="1"/>
  <c r="AB13" i="3" s="1"/>
  <c r="AA192" i="1"/>
  <c r="AA13" i="3" s="1"/>
  <c r="Z192" i="1"/>
  <c r="Z13" i="3" s="1"/>
  <c r="AD191" i="1"/>
  <c r="AD12" i="3" s="1"/>
  <c r="AD119" i="3" s="1"/>
  <c r="AC191" i="1"/>
  <c r="AC12" i="3" s="1"/>
  <c r="AC119" i="3" s="1"/>
  <c r="AB191" i="1"/>
  <c r="AB12" i="3" s="1"/>
  <c r="AB119" i="3" s="1"/>
  <c r="AA191" i="1"/>
  <c r="AA12" i="3" s="1"/>
  <c r="AA119" i="3" s="1"/>
  <c r="Z191" i="1"/>
  <c r="Z12" i="3" s="1"/>
  <c r="Z119" i="3" s="1"/>
  <c r="AD190" i="1"/>
  <c r="AD11" i="3" s="1"/>
  <c r="AC190" i="1"/>
  <c r="AC11" i="3" s="1"/>
  <c r="AB190" i="1"/>
  <c r="AB11" i="3" s="1"/>
  <c r="AA190" i="1"/>
  <c r="AA11" i="3" s="1"/>
  <c r="Z190" i="1"/>
  <c r="Z11" i="3" s="1"/>
  <c r="S192" i="1"/>
  <c r="S13" i="3" s="1"/>
  <c r="R192" i="1"/>
  <c r="R13" i="3" s="1"/>
  <c r="Q192" i="1"/>
  <c r="Q13" i="3" s="1"/>
  <c r="P192" i="1"/>
  <c r="P13" i="3" s="1"/>
  <c r="O192" i="1"/>
  <c r="O13" i="3" s="1"/>
  <c r="N192" i="1"/>
  <c r="N13" i="3" s="1"/>
  <c r="S191" i="1"/>
  <c r="S12" i="3" s="1"/>
  <c r="S119" i="3" s="1"/>
  <c r="R191" i="1"/>
  <c r="R12" i="3" s="1"/>
  <c r="R119" i="3" s="1"/>
  <c r="Q191" i="1"/>
  <c r="Q12" i="3" s="1"/>
  <c r="Q119" i="3" s="1"/>
  <c r="P191" i="1"/>
  <c r="P12" i="3" s="1"/>
  <c r="P119" i="3" s="1"/>
  <c r="O191" i="1"/>
  <c r="O12" i="3" s="1"/>
  <c r="O119" i="3" s="1"/>
  <c r="N191" i="1"/>
  <c r="N12" i="3" s="1"/>
  <c r="N119" i="3" s="1"/>
  <c r="S11" i="3"/>
  <c r="R11" i="3"/>
  <c r="Q11" i="3"/>
  <c r="P11" i="3"/>
  <c r="E11" i="3"/>
  <c r="F11" i="3"/>
  <c r="G11" i="3"/>
  <c r="H11" i="3"/>
  <c r="I11" i="3"/>
  <c r="E191" i="1"/>
  <c r="F191" i="1"/>
  <c r="G191" i="1"/>
  <c r="H191" i="1"/>
  <c r="I191" i="1"/>
  <c r="E192" i="1"/>
  <c r="F192" i="1"/>
  <c r="G192" i="1"/>
  <c r="H192" i="1"/>
  <c r="I192" i="1"/>
  <c r="D192" i="1"/>
  <c r="D191" i="1"/>
  <c r="D11" i="3"/>
  <c r="M33" i="1"/>
  <c r="X33" i="1"/>
  <c r="M32" i="1"/>
  <c r="X32" i="1"/>
  <c r="H13" i="3" l="1"/>
  <c r="J10" i="2"/>
  <c r="E12" i="3"/>
  <c r="E119" i="3" s="1"/>
  <c r="G9" i="2"/>
  <c r="F13" i="3"/>
  <c r="H10" i="2"/>
  <c r="I12" i="3"/>
  <c r="I119" i="3" s="1"/>
  <c r="K9" i="2"/>
  <c r="I13" i="3"/>
  <c r="K10" i="2"/>
  <c r="D12" i="3"/>
  <c r="D119" i="3" s="1"/>
  <c r="F9" i="2"/>
  <c r="G13" i="3"/>
  <c r="I10" i="2"/>
  <c r="E13" i="3"/>
  <c r="G10" i="2"/>
  <c r="H12" i="3"/>
  <c r="H119" i="3" s="1"/>
  <c r="J9" i="2"/>
  <c r="D13" i="3"/>
  <c r="F10" i="2"/>
  <c r="G12" i="3"/>
  <c r="G119" i="3" s="1"/>
  <c r="I9" i="2"/>
  <c r="F12" i="3"/>
  <c r="F119" i="3" s="1"/>
  <c r="H9" i="2"/>
  <c r="AE147" i="3"/>
  <c r="AE151" i="3" s="1"/>
  <c r="AE163" i="3"/>
  <c r="AF147" i="3"/>
  <c r="AF151" i="3" s="1"/>
  <c r="AF163" i="3"/>
  <c r="X26" i="1"/>
  <c r="Z189" i="1" l="1"/>
  <c r="Y191" i="1"/>
  <c r="Y12" i="3" s="1"/>
  <c r="Y119" i="3" s="1"/>
  <c r="Y192" i="1"/>
  <c r="Y13" i="3" s="1"/>
  <c r="Y188" i="1"/>
  <c r="Y193" i="1"/>
  <c r="Y194" i="1"/>
  <c r="Y15" i="3" s="1"/>
  <c r="Y195" i="1"/>
  <c r="Y196" i="1"/>
  <c r="Y197" i="1"/>
  <c r="Y198" i="1"/>
  <c r="Y200" i="1"/>
  <c r="Y201" i="1"/>
  <c r="Y202" i="1"/>
  <c r="Y203" i="1"/>
  <c r="Y204" i="1"/>
  <c r="Y206" i="1"/>
  <c r="Y208" i="1"/>
  <c r="Y211" i="1"/>
  <c r="Y212" i="1"/>
  <c r="Y213" i="1"/>
  <c r="Y214" i="1"/>
  <c r="Y215" i="1"/>
  <c r="Y216" i="1"/>
  <c r="Y217" i="1"/>
  <c r="Y218" i="1"/>
  <c r="Y221" i="1"/>
  <c r="Y222" i="1"/>
  <c r="Y223" i="1"/>
  <c r="Y224" i="1"/>
  <c r="Y227" i="1"/>
  <c r="Y228" i="1"/>
  <c r="Y229" i="1"/>
  <c r="Y230" i="1"/>
  <c r="Y231" i="1"/>
  <c r="Y233" i="1"/>
  <c r="Y234" i="1"/>
  <c r="Y235" i="1"/>
  <c r="Y236" i="1"/>
  <c r="Y237" i="1"/>
  <c r="Y238" i="1"/>
  <c r="Y239" i="1"/>
  <c r="Y245" i="1"/>
  <c r="Y246" i="1"/>
  <c r="Y248" i="1"/>
  <c r="Y249" i="1"/>
  <c r="Y250" i="1"/>
  <c r="Y251" i="1"/>
  <c r="Y252" i="1"/>
  <c r="Y253" i="1"/>
  <c r="Y254" i="1"/>
  <c r="AK194" i="1" l="1"/>
  <c r="AJ194" i="1"/>
  <c r="AJ205" i="1"/>
  <c r="AK205" i="1"/>
  <c r="AK199" i="1"/>
  <c r="AJ199" i="1"/>
  <c r="Z10" i="3"/>
  <c r="Z240" i="1"/>
  <c r="AC20" i="2" s="1"/>
  <c r="Z241" i="1"/>
  <c r="AC21" i="2" s="1"/>
  <c r="Z215" i="1"/>
  <c r="AC22" i="2" s="1"/>
  <c r="Z217" i="1"/>
  <c r="AC24" i="2" s="1"/>
  <c r="AH205" i="1"/>
  <c r="AI205" i="1"/>
  <c r="AG205" i="1"/>
  <c r="AE205" i="1"/>
  <c r="AF205" i="1"/>
  <c r="AG194" i="1"/>
  <c r="AH194" i="1"/>
  <c r="AI194" i="1"/>
  <c r="AE194" i="1"/>
  <c r="AF194" i="1"/>
  <c r="AF199" i="1"/>
  <c r="AG199" i="1"/>
  <c r="AH199" i="1"/>
  <c r="AI199" i="1"/>
  <c r="AE199" i="1"/>
  <c r="N187" i="1"/>
  <c r="Y187" i="1" s="1"/>
  <c r="X158" i="1"/>
  <c r="X22" i="1"/>
  <c r="X23" i="1"/>
  <c r="X24" i="1"/>
  <c r="X25" i="1"/>
  <c r="X27" i="1"/>
  <c r="X28" i="1"/>
  <c r="X29" i="1"/>
  <c r="X30" i="1"/>
  <c r="X31" i="1"/>
  <c r="X35" i="1"/>
  <c r="X36" i="1"/>
  <c r="X37" i="1"/>
  <c r="X38" i="1"/>
  <c r="X39" i="1"/>
  <c r="X40" i="1"/>
  <c r="X42" i="1"/>
  <c r="X44" i="1"/>
  <c r="X45" i="1"/>
  <c r="X58" i="1"/>
  <c r="X71" i="1"/>
  <c r="X84" i="1"/>
  <c r="X191" i="1" s="1"/>
  <c r="X12" i="3" s="1"/>
  <c r="X119" i="3" s="1"/>
  <c r="X97" i="1"/>
  <c r="X192" i="1" s="1"/>
  <c r="X13" i="3" s="1"/>
  <c r="X110" i="1"/>
  <c r="X111" i="1"/>
  <c r="X112" i="1"/>
  <c r="X113" i="1"/>
  <c r="X115" i="1"/>
  <c r="X116" i="1"/>
  <c r="X121" i="1"/>
  <c r="X126" i="1"/>
  <c r="X131" i="1"/>
  <c r="X136" i="1"/>
  <c r="X142" i="1"/>
  <c r="X143" i="1"/>
  <c r="X144" i="1"/>
  <c r="X145" i="1"/>
  <c r="X147" i="1"/>
  <c r="X148" i="1"/>
  <c r="X149" i="1"/>
  <c r="X150" i="1"/>
  <c r="X152" i="1"/>
  <c r="X153" i="1"/>
  <c r="X163" i="1"/>
  <c r="X168" i="1"/>
  <c r="X173" i="1"/>
  <c r="X178" i="1"/>
  <c r="X184" i="1"/>
  <c r="X188" i="1"/>
  <c r="X193" i="1"/>
  <c r="X194" i="1"/>
  <c r="X15" i="3" s="1"/>
  <c r="X195" i="1"/>
  <c r="X196" i="1"/>
  <c r="X197" i="1"/>
  <c r="X198" i="1"/>
  <c r="X200" i="1"/>
  <c r="X201" i="1"/>
  <c r="X202" i="1"/>
  <c r="X203" i="1"/>
  <c r="X204" i="1"/>
  <c r="X206" i="1"/>
  <c r="X208" i="1"/>
  <c r="X210" i="1"/>
  <c r="X211" i="1"/>
  <c r="X212" i="1"/>
  <c r="X213" i="1"/>
  <c r="X214" i="1"/>
  <c r="X215" i="1"/>
  <c r="X216" i="1"/>
  <c r="X217" i="1"/>
  <c r="X218" i="1"/>
  <c r="X220" i="1"/>
  <c r="X221" i="1"/>
  <c r="X222" i="1"/>
  <c r="X223" i="1"/>
  <c r="X224" i="1"/>
  <c r="X226" i="1"/>
  <c r="X227" i="1"/>
  <c r="X228" i="1"/>
  <c r="X229" i="1"/>
  <c r="X230" i="1"/>
  <c r="X231" i="1"/>
  <c r="X233" i="1"/>
  <c r="X234" i="1"/>
  <c r="X235" i="1"/>
  <c r="X236" i="1"/>
  <c r="X237" i="1"/>
  <c r="X238" i="1"/>
  <c r="X239" i="1"/>
  <c r="X243" i="1"/>
  <c r="X245" i="1"/>
  <c r="X246" i="1"/>
  <c r="X247" i="1"/>
  <c r="X248" i="1"/>
  <c r="X249" i="1"/>
  <c r="X250" i="1"/>
  <c r="X251" i="1"/>
  <c r="X252" i="1"/>
  <c r="X253" i="1"/>
  <c r="X254" i="1"/>
  <c r="X21" i="1"/>
  <c r="M22" i="1"/>
  <c r="M23" i="1"/>
  <c r="M24" i="1"/>
  <c r="M25" i="1"/>
  <c r="M26" i="1"/>
  <c r="M27" i="1"/>
  <c r="M28" i="1"/>
  <c r="M29" i="1"/>
  <c r="M30" i="1"/>
  <c r="M31" i="1"/>
  <c r="M35" i="1"/>
  <c r="M36" i="1"/>
  <c r="M37" i="1"/>
  <c r="M38" i="1"/>
  <c r="M39" i="1"/>
  <c r="M40" i="1"/>
  <c r="M42" i="1"/>
  <c r="M44" i="1"/>
  <c r="M45" i="1"/>
  <c r="M58" i="1"/>
  <c r="M71" i="1"/>
  <c r="M84" i="1"/>
  <c r="M191" i="1" s="1"/>
  <c r="M12" i="3" s="1"/>
  <c r="M119" i="3" s="1"/>
  <c r="M97" i="1"/>
  <c r="M192" i="1" s="1"/>
  <c r="M13" i="3" s="1"/>
  <c r="M110" i="1"/>
  <c r="M111" i="1"/>
  <c r="M112" i="1"/>
  <c r="M113" i="1"/>
  <c r="M115" i="1"/>
  <c r="M116" i="1"/>
  <c r="M121" i="1"/>
  <c r="M126" i="1"/>
  <c r="M131" i="1"/>
  <c r="M136" i="1"/>
  <c r="M142" i="1"/>
  <c r="M143" i="1"/>
  <c r="M144" i="1"/>
  <c r="M145" i="1"/>
  <c r="M147" i="1"/>
  <c r="M148" i="1"/>
  <c r="M149" i="1"/>
  <c r="M150" i="1"/>
  <c r="M152" i="1"/>
  <c r="M153" i="1"/>
  <c r="M158" i="1"/>
  <c r="M163" i="1"/>
  <c r="M168" i="1"/>
  <c r="M173" i="1"/>
  <c r="M178" i="1"/>
  <c r="M184" i="1"/>
  <c r="M188" i="1"/>
  <c r="M193" i="1"/>
  <c r="M194" i="1"/>
  <c r="M15" i="3" s="1"/>
  <c r="M195" i="1"/>
  <c r="M196" i="1"/>
  <c r="M197" i="1"/>
  <c r="M198" i="1"/>
  <c r="M200" i="1"/>
  <c r="M201" i="1"/>
  <c r="M202" i="1"/>
  <c r="M203" i="1"/>
  <c r="M204" i="1"/>
  <c r="M206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3" i="1"/>
  <c r="M234" i="1"/>
  <c r="M235" i="1"/>
  <c r="M236" i="1"/>
  <c r="M237" i="1"/>
  <c r="M238" i="1"/>
  <c r="M239" i="1"/>
  <c r="M242" i="1"/>
  <c r="M243" i="1"/>
  <c r="M245" i="1"/>
  <c r="M246" i="1"/>
  <c r="M247" i="1"/>
  <c r="M248" i="1"/>
  <c r="M249" i="1"/>
  <c r="M250" i="1"/>
  <c r="M251" i="1"/>
  <c r="M252" i="1"/>
  <c r="M253" i="1"/>
  <c r="M254" i="1"/>
  <c r="M21" i="1"/>
  <c r="AJ20" i="3" l="1"/>
  <c r="AJ213" i="1"/>
  <c r="AK20" i="3"/>
  <c r="AK213" i="1"/>
  <c r="AK34" i="3" s="1"/>
  <c r="AK244" i="1"/>
  <c r="AK26" i="3"/>
  <c r="AJ244" i="1"/>
  <c r="AJ26" i="3"/>
  <c r="AJ211" i="1"/>
  <c r="AJ15" i="3"/>
  <c r="AK211" i="1"/>
  <c r="AK15" i="3"/>
  <c r="AG213" i="1"/>
  <c r="AG34" i="3" s="1"/>
  <c r="AG69" i="3" s="1"/>
  <c r="AG20" i="3"/>
  <c r="AE26" i="3"/>
  <c r="AE244" i="1"/>
  <c r="AF211" i="1"/>
  <c r="AF32" i="3" s="1"/>
  <c r="AF15" i="3"/>
  <c r="AI26" i="3"/>
  <c r="AI244" i="1"/>
  <c r="AF213" i="1"/>
  <c r="AF34" i="3" s="1"/>
  <c r="AF69" i="3" s="1"/>
  <c r="AF20" i="3"/>
  <c r="AE211" i="1"/>
  <c r="AH7" i="2" s="1"/>
  <c r="AE15" i="3"/>
  <c r="AH26" i="3"/>
  <c r="AH244" i="1"/>
  <c r="AI211" i="1"/>
  <c r="AI32" i="3" s="1"/>
  <c r="AI15" i="3"/>
  <c r="AG26" i="3"/>
  <c r="AG244" i="1"/>
  <c r="AE213" i="1"/>
  <c r="AE69" i="3" s="1"/>
  <c r="AE20" i="3"/>
  <c r="AH211" i="1"/>
  <c r="AH32" i="3" s="1"/>
  <c r="AH15" i="3"/>
  <c r="AI213" i="1"/>
  <c r="AI34" i="3" s="1"/>
  <c r="AI69" i="3" s="1"/>
  <c r="AI20" i="3"/>
  <c r="AG211" i="1"/>
  <c r="AJ7" i="2" s="1"/>
  <c r="AG15" i="3"/>
  <c r="AH213" i="1"/>
  <c r="AH34" i="3" s="1"/>
  <c r="AH69" i="3" s="1"/>
  <c r="AH20" i="3"/>
  <c r="AF26" i="3"/>
  <c r="AF244" i="1"/>
  <c r="C11" i="1"/>
  <c r="AJ65" i="3" l="1"/>
  <c r="AJ245" i="1"/>
  <c r="AM28" i="2"/>
  <c r="AK65" i="3"/>
  <c r="AK245" i="1"/>
  <c r="AN28" i="2"/>
  <c r="AK229" i="1"/>
  <c r="AK50" i="3" s="1"/>
  <c r="AJ229" i="1"/>
  <c r="AJ50" i="3" s="1"/>
  <c r="AK236" i="1"/>
  <c r="AJ236" i="1"/>
  <c r="D229" i="1"/>
  <c r="AI86" i="3"/>
  <c r="AK32" i="3"/>
  <c r="AN7" i="2"/>
  <c r="AJ32" i="3"/>
  <c r="AM7" i="2"/>
  <c r="AE32" i="3"/>
  <c r="AL7" i="2"/>
  <c r="AI65" i="3"/>
  <c r="AL28" i="2"/>
  <c r="AI245" i="1"/>
  <c r="AK7" i="2"/>
  <c r="AF245" i="1"/>
  <c r="AI28" i="2"/>
  <c r="AF65" i="3"/>
  <c r="AH245" i="1"/>
  <c r="AH65" i="3"/>
  <c r="AK28" i="2"/>
  <c r="AG32" i="3"/>
  <c r="AI7" i="2"/>
  <c r="AE245" i="1"/>
  <c r="AH28" i="2"/>
  <c r="AE65" i="3"/>
  <c r="AG245" i="1"/>
  <c r="AG65" i="3"/>
  <c r="AJ28" i="2"/>
  <c r="J12" i="1"/>
  <c r="J13" i="1"/>
  <c r="AH86" i="3" s="1"/>
  <c r="AK247" i="1" l="1"/>
  <c r="AK66" i="3"/>
  <c r="AJ57" i="3"/>
  <c r="AJ108" i="3" s="1"/>
  <c r="AJ239" i="1"/>
  <c r="AJ60" i="3" s="1"/>
  <c r="AK57" i="3"/>
  <c r="AK108" i="3" s="1"/>
  <c r="AK239" i="1"/>
  <c r="AK60" i="3" s="1"/>
  <c r="AG86" i="3"/>
  <c r="AF86" i="3"/>
  <c r="AJ86" i="3"/>
  <c r="AJ66" i="3"/>
  <c r="AJ247" i="1"/>
  <c r="AK86" i="3"/>
  <c r="AE86" i="3"/>
  <c r="AH66" i="3"/>
  <c r="AH247" i="1"/>
  <c r="AH68" i="3" s="1"/>
  <c r="AH87" i="3" s="1"/>
  <c r="AG66" i="3"/>
  <c r="AG247" i="1"/>
  <c r="AG68" i="3" s="1"/>
  <c r="AG87" i="3" s="1"/>
  <c r="AF66" i="3"/>
  <c r="AF247" i="1"/>
  <c r="AF68" i="3" s="1"/>
  <c r="AI66" i="3"/>
  <c r="AI247" i="1"/>
  <c r="AI68" i="3" s="1"/>
  <c r="AI87" i="3" s="1"/>
  <c r="AE66" i="3"/>
  <c r="AE247" i="1"/>
  <c r="AE68" i="3" s="1"/>
  <c r="AE87" i="3" s="1"/>
  <c r="O248" i="1"/>
  <c r="O224" i="1"/>
  <c r="O223" i="1"/>
  <c r="O221" i="1"/>
  <c r="O216" i="1"/>
  <c r="O251" i="1" s="1"/>
  <c r="O206" i="1"/>
  <c r="O204" i="1"/>
  <c r="O203" i="1"/>
  <c r="O246" i="1" s="1"/>
  <c r="O198" i="1"/>
  <c r="O199" i="1" s="1"/>
  <c r="O197" i="1"/>
  <c r="O214" i="1" s="1"/>
  <c r="O196" i="1"/>
  <c r="O218" i="1" s="1"/>
  <c r="O195" i="1"/>
  <c r="O212" i="1" s="1"/>
  <c r="O252" i="1" s="1"/>
  <c r="O193" i="1"/>
  <c r="O194" i="1" s="1"/>
  <c r="O188" i="1"/>
  <c r="O187" i="1"/>
  <c r="O186" i="1"/>
  <c r="O185" i="1"/>
  <c r="AJ85" i="3" l="1"/>
  <c r="AJ88" i="3"/>
  <c r="AK87" i="3"/>
  <c r="AK88" i="3"/>
  <c r="AK85" i="3"/>
  <c r="AI88" i="3"/>
  <c r="AI89" i="3" s="1"/>
  <c r="AI85" i="3"/>
  <c r="AH85" i="3"/>
  <c r="AH88" i="3"/>
  <c r="AH89" i="3" s="1"/>
  <c r="AG85" i="3"/>
  <c r="AG88" i="3"/>
  <c r="AG89" i="3" s="1"/>
  <c r="AF88" i="3"/>
  <c r="AF87" i="3"/>
  <c r="AF85" i="3"/>
  <c r="AE85" i="3"/>
  <c r="AE88" i="3"/>
  <c r="AE89" i="3" s="1"/>
  <c r="O211" i="1"/>
  <c r="O15" i="3"/>
  <c r="O213" i="1"/>
  <c r="O20" i="3"/>
  <c r="O205" i="1"/>
  <c r="O222" i="1"/>
  <c r="O249" i="1"/>
  <c r="O253" i="1"/>
  <c r="AJ89" i="3" l="1"/>
  <c r="AK89" i="3"/>
  <c r="AF89" i="3"/>
  <c r="O26" i="3"/>
  <c r="O244" i="1"/>
  <c r="O245" i="1" s="1"/>
  <c r="O247" i="1" s="1"/>
  <c r="O254" i="1"/>
  <c r="J18" i="1" l="1"/>
  <c r="AK230" i="1" l="1"/>
  <c r="AK231" i="1"/>
  <c r="AK52" i="3" s="1"/>
  <c r="AJ231" i="1"/>
  <c r="AJ52" i="3" s="1"/>
  <c r="AJ230" i="1"/>
  <c r="S231" i="1"/>
  <c r="AI231" i="1"/>
  <c r="AI52" i="3" s="1"/>
  <c r="AG230" i="1"/>
  <c r="AG231" i="1"/>
  <c r="AG52" i="3" s="1"/>
  <c r="P231" i="1"/>
  <c r="H231" i="1"/>
  <c r="D230" i="1"/>
  <c r="AI230" i="1"/>
  <c r="AH230" i="1"/>
  <c r="AH231" i="1"/>
  <c r="AH52" i="3" s="1"/>
  <c r="Q231" i="1"/>
  <c r="I231" i="1"/>
  <c r="AA230" i="1"/>
  <c r="AA231" i="1"/>
  <c r="Z231" i="1"/>
  <c r="R231" i="1"/>
  <c r="E230" i="1"/>
  <c r="H230" i="1"/>
  <c r="AE231" i="1"/>
  <c r="AE52" i="3" s="1"/>
  <c r="AF231" i="1"/>
  <c r="AF52" i="3" s="1"/>
  <c r="D231" i="1"/>
  <c r="AB230" i="1"/>
  <c r="AB231" i="1"/>
  <c r="Z230" i="1"/>
  <c r="O231" i="1"/>
  <c r="F230" i="1"/>
  <c r="E231" i="1"/>
  <c r="R230" i="1"/>
  <c r="I230" i="1"/>
  <c r="S230" i="1"/>
  <c r="AC230" i="1"/>
  <c r="AC231" i="1"/>
  <c r="P230" i="1"/>
  <c r="O230" i="1"/>
  <c r="O233" i="1" s="1"/>
  <c r="O232" i="1" s="1"/>
  <c r="G230" i="1"/>
  <c r="AD230" i="1"/>
  <c r="AD231" i="1"/>
  <c r="Q230" i="1"/>
  <c r="AE230" i="1"/>
  <c r="F231" i="1"/>
  <c r="AF230" i="1"/>
  <c r="G231" i="1"/>
  <c r="AK17" i="2"/>
  <c r="AI18" i="2"/>
  <c r="AJ18" i="2"/>
  <c r="AI17" i="2"/>
  <c r="AK18" i="2"/>
  <c r="AH17" i="2"/>
  <c r="AJ17" i="2"/>
  <c r="AL18" i="2"/>
  <c r="AL17" i="2"/>
  <c r="AH18" i="2"/>
  <c r="O228" i="1"/>
  <c r="O229" i="1" s="1"/>
  <c r="AJ233" i="1" l="1"/>
  <c r="AJ51" i="3"/>
  <c r="AK51" i="3"/>
  <c r="AK233" i="1"/>
  <c r="O53" i="3"/>
  <c r="AG233" i="1"/>
  <c r="AG232" i="1" s="1"/>
  <c r="AG53" i="3" s="1"/>
  <c r="AG51" i="3"/>
  <c r="AH235" i="1"/>
  <c r="AH55" i="3"/>
  <c r="AH237" i="1"/>
  <c r="AG237" i="1"/>
  <c r="AG55" i="3"/>
  <c r="AG235" i="1"/>
  <c r="AI228" i="1"/>
  <c r="AI48" i="3"/>
  <c r="AF228" i="1"/>
  <c r="AF48" i="3"/>
  <c r="AF237" i="1"/>
  <c r="AF55" i="3"/>
  <c r="AF235" i="1"/>
  <c r="AE237" i="1"/>
  <c r="AE235" i="1"/>
  <c r="AE55" i="3"/>
  <c r="AF51" i="3"/>
  <c r="AF233" i="1"/>
  <c r="AF232" i="1" s="1"/>
  <c r="AF53" i="3" s="1"/>
  <c r="AG48" i="3"/>
  <c r="AG228" i="1"/>
  <c r="AI51" i="3"/>
  <c r="AI233" i="1"/>
  <c r="AI232" i="1" s="1"/>
  <c r="AI53" i="3" s="1"/>
  <c r="AI235" i="1"/>
  <c r="AI55" i="3"/>
  <c r="AI237" i="1"/>
  <c r="AE233" i="1"/>
  <c r="AE232" i="1" s="1"/>
  <c r="AE53" i="3" s="1"/>
  <c r="AE51" i="3"/>
  <c r="AH233" i="1"/>
  <c r="AH232" i="1" s="1"/>
  <c r="AH53" i="3" s="1"/>
  <c r="AH51" i="3"/>
  <c r="AE228" i="1"/>
  <c r="AE48" i="3"/>
  <c r="AH228" i="1"/>
  <c r="AH48" i="3"/>
  <c r="O235" i="1"/>
  <c r="O236" i="1" s="1"/>
  <c r="O239" i="1" s="1"/>
  <c r="O237" i="1"/>
  <c r="O238" i="1" s="1"/>
  <c r="Z185" i="1"/>
  <c r="Z6" i="3" s="1"/>
  <c r="Z103" i="3" s="1"/>
  <c r="AA185" i="1"/>
  <c r="AA6" i="3" s="1"/>
  <c r="AA103" i="3" s="1"/>
  <c r="AB185" i="1"/>
  <c r="AB6" i="3" s="1"/>
  <c r="AB103" i="3" s="1"/>
  <c r="AC185" i="1"/>
  <c r="AC6" i="3" s="1"/>
  <c r="AC103" i="3" s="1"/>
  <c r="AD185" i="1"/>
  <c r="AD6" i="3" s="1"/>
  <c r="AD103" i="3" s="1"/>
  <c r="Z186" i="1"/>
  <c r="Z7" i="3" s="1"/>
  <c r="Z156" i="3" s="1"/>
  <c r="Z176" i="3" s="1"/>
  <c r="AA186" i="1"/>
  <c r="AA7" i="3" s="1"/>
  <c r="AA156" i="3" s="1"/>
  <c r="AA176" i="3" s="1"/>
  <c r="AB186" i="1"/>
  <c r="AB7" i="3" s="1"/>
  <c r="AB156" i="3" s="1"/>
  <c r="AB176" i="3" s="1"/>
  <c r="AC186" i="1"/>
  <c r="AC7" i="3" s="1"/>
  <c r="AC156" i="3" s="1"/>
  <c r="AC176" i="3" s="1"/>
  <c r="AD186" i="1"/>
  <c r="AD7" i="3" s="1"/>
  <c r="AD156" i="3" s="1"/>
  <c r="AD176" i="3" s="1"/>
  <c r="Z187" i="1"/>
  <c r="Z8" i="3" s="1"/>
  <c r="AA187" i="1"/>
  <c r="AA8" i="3" s="1"/>
  <c r="AB187" i="1"/>
  <c r="AB8" i="3" s="1"/>
  <c r="AC187" i="1"/>
  <c r="AC8" i="3" s="1"/>
  <c r="AD187" i="1"/>
  <c r="AD8" i="3" s="1"/>
  <c r="Z188" i="1"/>
  <c r="AA188" i="1"/>
  <c r="AA9" i="3" s="1"/>
  <c r="AB188" i="1"/>
  <c r="AB9" i="3" s="1"/>
  <c r="AC188" i="1"/>
  <c r="AC9" i="3" s="1"/>
  <c r="AD188" i="1"/>
  <c r="AG12" i="2" s="1"/>
  <c r="Z193" i="1"/>
  <c r="AA193" i="1"/>
  <c r="AB193" i="1"/>
  <c r="AC193" i="1"/>
  <c r="AC194" i="1" s="1"/>
  <c r="AD193" i="1"/>
  <c r="Z195" i="1"/>
  <c r="Z212" i="1" s="1"/>
  <c r="AA195" i="1"/>
  <c r="AA212" i="1" s="1"/>
  <c r="AB195" i="1"/>
  <c r="AB212" i="1" s="1"/>
  <c r="AC195" i="1"/>
  <c r="AC212" i="1" s="1"/>
  <c r="AC252" i="1" s="1"/>
  <c r="AD195" i="1"/>
  <c r="AD16" i="3" s="1"/>
  <c r="AD111" i="3" s="1"/>
  <c r="Z196" i="1"/>
  <c r="Z218" i="1" s="1"/>
  <c r="AC25" i="2" s="1"/>
  <c r="AA196" i="1"/>
  <c r="AA218" i="1" s="1"/>
  <c r="AB196" i="1"/>
  <c r="AB218" i="1" s="1"/>
  <c r="AC196" i="1"/>
  <c r="AC218" i="1" s="1"/>
  <c r="AD196" i="1"/>
  <c r="AD218" i="1" s="1"/>
  <c r="AD39" i="3" s="1"/>
  <c r="AD124" i="3" s="1"/>
  <c r="AD126" i="3" s="1"/>
  <c r="Z197" i="1"/>
  <c r="Z18" i="3" s="1"/>
  <c r="AA197" i="1"/>
  <c r="AA18" i="3" s="1"/>
  <c r="AB197" i="1"/>
  <c r="AB214" i="1" s="1"/>
  <c r="AB35" i="3" s="1"/>
  <c r="AC197" i="1"/>
  <c r="AC214" i="1" s="1"/>
  <c r="AC35" i="3" s="1"/>
  <c r="AD197" i="1"/>
  <c r="AD214" i="1" s="1"/>
  <c r="AD35" i="3" s="1"/>
  <c r="Z198" i="1"/>
  <c r="AA198" i="1"/>
  <c r="AB198" i="1"/>
  <c r="AC198" i="1"/>
  <c r="AD198" i="1"/>
  <c r="AA21" i="3"/>
  <c r="AB21" i="3"/>
  <c r="AC21" i="3"/>
  <c r="AD21" i="3"/>
  <c r="Z22" i="3"/>
  <c r="AB22" i="3"/>
  <c r="AC22" i="3"/>
  <c r="AD22" i="3"/>
  <c r="Z203" i="1"/>
  <c r="Z246" i="1" s="1"/>
  <c r="AC27" i="2" s="1"/>
  <c r="AA203" i="1"/>
  <c r="AA246" i="1" s="1"/>
  <c r="AB203" i="1"/>
  <c r="AB246" i="1" s="1"/>
  <c r="AC203" i="1"/>
  <c r="AC24" i="3" s="1"/>
  <c r="AD203" i="1"/>
  <c r="AD246" i="1" s="1"/>
  <c r="Z204" i="1"/>
  <c r="Z25" i="3" s="1"/>
  <c r="AA204" i="1"/>
  <c r="AB204" i="1"/>
  <c r="AC204" i="1"/>
  <c r="AD204" i="1"/>
  <c r="Z206" i="1"/>
  <c r="AC26" i="2" s="1"/>
  <c r="AA206" i="1"/>
  <c r="AD26" i="2" s="1"/>
  <c r="AB206" i="1"/>
  <c r="AB27" i="3" s="1"/>
  <c r="AB146" i="3" s="1"/>
  <c r="AB169" i="3" s="1"/>
  <c r="AC206" i="1"/>
  <c r="AC27" i="3" s="1"/>
  <c r="AC146" i="3" s="1"/>
  <c r="AC169" i="3" s="1"/>
  <c r="AD206" i="1"/>
  <c r="AD27" i="3" s="1"/>
  <c r="AD146" i="3" s="1"/>
  <c r="AD169" i="3" s="1"/>
  <c r="AD11" i="2"/>
  <c r="AE11" i="2"/>
  <c r="AC29" i="3"/>
  <c r="AG11" i="2"/>
  <c r="Z216" i="1"/>
  <c r="AA216" i="1"/>
  <c r="AA37" i="3" s="1"/>
  <c r="AB216" i="1"/>
  <c r="AB251" i="1" s="1"/>
  <c r="AC216" i="1"/>
  <c r="AC251" i="1" s="1"/>
  <c r="AC74" i="3" s="1"/>
  <c r="AD216" i="1"/>
  <c r="AD251" i="1" s="1"/>
  <c r="AD74" i="3" s="1"/>
  <c r="Z221" i="1"/>
  <c r="AA221" i="1"/>
  <c r="AA42" i="3" s="1"/>
  <c r="AB221" i="1"/>
  <c r="AB42" i="3" s="1"/>
  <c r="AC221" i="1"/>
  <c r="AD221" i="1"/>
  <c r="Z223" i="1"/>
  <c r="AA223" i="1"/>
  <c r="AA44" i="3" s="1"/>
  <c r="AB223" i="1"/>
  <c r="AB44" i="3" s="1"/>
  <c r="AC223" i="1"/>
  <c r="AC44" i="3" s="1"/>
  <c r="AD223" i="1"/>
  <c r="AD44" i="3" s="1"/>
  <c r="Z224" i="1"/>
  <c r="Z45" i="3" s="1"/>
  <c r="AA224" i="1"/>
  <c r="AA45" i="3" s="1"/>
  <c r="AB224" i="1"/>
  <c r="AB45" i="3" s="1"/>
  <c r="AC224" i="1"/>
  <c r="AC45" i="3" s="1"/>
  <c r="AD224" i="1"/>
  <c r="AD45" i="3" s="1"/>
  <c r="Z61" i="3"/>
  <c r="Z113" i="3" s="1"/>
  <c r="AA61" i="3"/>
  <c r="AA113" i="3" s="1"/>
  <c r="AA115" i="3" s="1"/>
  <c r="AB61" i="3"/>
  <c r="AB113" i="3" s="1"/>
  <c r="AB115" i="3" s="1"/>
  <c r="AF20" i="2"/>
  <c r="AD61" i="3"/>
  <c r="AD113" i="3" s="1"/>
  <c r="Z62" i="3"/>
  <c r="Z140" i="3" s="1"/>
  <c r="Z142" i="3" s="1"/>
  <c r="AD21" i="2"/>
  <c r="AB62" i="3"/>
  <c r="AB140" i="3" s="1"/>
  <c r="AB142" i="3" s="1"/>
  <c r="AC62" i="3"/>
  <c r="AC140" i="3" s="1"/>
  <c r="AC142" i="3" s="1"/>
  <c r="AG21" i="2"/>
  <c r="Z248" i="1"/>
  <c r="Z70" i="3" s="1"/>
  <c r="AA248" i="1"/>
  <c r="AA70" i="3" s="1"/>
  <c r="AB248" i="1"/>
  <c r="AB70" i="3" s="1"/>
  <c r="AC248" i="1"/>
  <c r="AC70" i="3" s="1"/>
  <c r="AD248" i="1"/>
  <c r="AD70" i="3" s="1"/>
  <c r="P185" i="1"/>
  <c r="P6" i="3" s="1"/>
  <c r="P103" i="3" s="1"/>
  <c r="Q185" i="1"/>
  <c r="Q6" i="3" s="1"/>
  <c r="Q103" i="3" s="1"/>
  <c r="R185" i="1"/>
  <c r="R6" i="3" s="1"/>
  <c r="R103" i="3" s="1"/>
  <c r="S185" i="1"/>
  <c r="S6" i="3" s="1"/>
  <c r="S103" i="3" s="1"/>
  <c r="P186" i="1"/>
  <c r="P7" i="3" s="1"/>
  <c r="P156" i="3" s="1"/>
  <c r="Q186" i="1"/>
  <c r="Q7" i="3" s="1"/>
  <c r="Q156" i="3" s="1"/>
  <c r="R186" i="1"/>
  <c r="R7" i="3" s="1"/>
  <c r="R156" i="3" s="1"/>
  <c r="S186" i="1"/>
  <c r="S7" i="3" s="1"/>
  <c r="S156" i="3" s="1"/>
  <c r="P187" i="1"/>
  <c r="P8" i="3" s="1"/>
  <c r="Q187" i="1"/>
  <c r="Q8" i="3" s="1"/>
  <c r="R187" i="1"/>
  <c r="R8" i="3" s="1"/>
  <c r="S187" i="1"/>
  <c r="S8" i="3" s="1"/>
  <c r="P188" i="1"/>
  <c r="P9" i="3" s="1"/>
  <c r="Q188" i="1"/>
  <c r="Q9" i="3" s="1"/>
  <c r="R188" i="1"/>
  <c r="T12" i="2" s="1"/>
  <c r="S188" i="1"/>
  <c r="P193" i="1"/>
  <c r="Q193" i="1"/>
  <c r="R193" i="1"/>
  <c r="S193" i="1"/>
  <c r="S194" i="1" s="1"/>
  <c r="P195" i="1"/>
  <c r="P212" i="1" s="1"/>
  <c r="P252" i="1" s="1"/>
  <c r="Q195" i="1"/>
  <c r="Q212" i="1" s="1"/>
  <c r="Q252" i="1" s="1"/>
  <c r="R195" i="1"/>
  <c r="R212" i="1" s="1"/>
  <c r="R252" i="1" s="1"/>
  <c r="S195" i="1"/>
  <c r="S212" i="1" s="1"/>
  <c r="P196" i="1"/>
  <c r="P218" i="1" s="1"/>
  <c r="Q196" i="1"/>
  <c r="Q218" i="1" s="1"/>
  <c r="R196" i="1"/>
  <c r="R218" i="1" s="1"/>
  <c r="S196" i="1"/>
  <c r="S17" i="3" s="1"/>
  <c r="P197" i="1"/>
  <c r="Q197" i="1"/>
  <c r="Q214" i="1" s="1"/>
  <c r="Q35" i="3" s="1"/>
  <c r="R197" i="1"/>
  <c r="R18" i="3" s="1"/>
  <c r="S197" i="1"/>
  <c r="S214" i="1" s="1"/>
  <c r="S35" i="3" s="1"/>
  <c r="P198" i="1"/>
  <c r="Q198" i="1"/>
  <c r="Q199" i="1" s="1"/>
  <c r="R198" i="1"/>
  <c r="S198" i="1"/>
  <c r="P21" i="3"/>
  <c r="R21" i="3"/>
  <c r="S21" i="3"/>
  <c r="Q22" i="3"/>
  <c r="R22" i="3"/>
  <c r="P23" i="3"/>
  <c r="P92" i="3" s="1"/>
  <c r="Q23" i="3"/>
  <c r="Q92" i="3" s="1"/>
  <c r="R23" i="3"/>
  <c r="R92" i="3" s="1"/>
  <c r="S23" i="3"/>
  <c r="S92" i="3" s="1"/>
  <c r="P203" i="1"/>
  <c r="P246" i="1" s="1"/>
  <c r="Q203" i="1"/>
  <c r="Q246" i="1" s="1"/>
  <c r="Q67" i="3" s="1"/>
  <c r="R203" i="1"/>
  <c r="R246" i="1" s="1"/>
  <c r="T27" i="2" s="1"/>
  <c r="S203" i="1"/>
  <c r="S24" i="3" s="1"/>
  <c r="P204" i="1"/>
  <c r="Q204" i="1"/>
  <c r="R204" i="1"/>
  <c r="S204" i="1"/>
  <c r="P206" i="1"/>
  <c r="R26" i="2" s="1"/>
  <c r="Q206" i="1"/>
  <c r="Q27" i="3" s="1"/>
  <c r="Q146" i="3" s="1"/>
  <c r="Q169" i="3" s="1"/>
  <c r="R206" i="1"/>
  <c r="T26" i="2" s="1"/>
  <c r="S206" i="1"/>
  <c r="U26" i="2" s="1"/>
  <c r="P29" i="3"/>
  <c r="S11" i="2"/>
  <c r="R29" i="3"/>
  <c r="P216" i="1"/>
  <c r="P251" i="1" s="1"/>
  <c r="P74" i="3" s="1"/>
  <c r="Q216" i="1"/>
  <c r="Q251" i="1" s="1"/>
  <c r="R216" i="1"/>
  <c r="R251" i="1" s="1"/>
  <c r="R74" i="3" s="1"/>
  <c r="S216" i="1"/>
  <c r="P221" i="1"/>
  <c r="P42" i="3" s="1"/>
  <c r="Q221" i="1"/>
  <c r="Q42" i="3" s="1"/>
  <c r="R221" i="1"/>
  <c r="S221" i="1"/>
  <c r="P223" i="1"/>
  <c r="P44" i="3" s="1"/>
  <c r="Q223" i="1"/>
  <c r="Q44" i="3" s="1"/>
  <c r="R223" i="1"/>
  <c r="T13" i="2" s="1"/>
  <c r="S223" i="1"/>
  <c r="U13" i="2" s="1"/>
  <c r="P224" i="1"/>
  <c r="P45" i="3" s="1"/>
  <c r="Q224" i="1"/>
  <c r="Q45" i="3" s="1"/>
  <c r="R224" i="1"/>
  <c r="R45" i="3" s="1"/>
  <c r="S224" i="1"/>
  <c r="S45" i="3" s="1"/>
  <c r="P248" i="1"/>
  <c r="P70" i="3" s="1"/>
  <c r="Q248" i="1"/>
  <c r="Q70" i="3" s="1"/>
  <c r="R248" i="1"/>
  <c r="R70" i="3" s="1"/>
  <c r="S248" i="1"/>
  <c r="S70" i="3" s="1"/>
  <c r="O70" i="3"/>
  <c r="Q21" i="2"/>
  <c r="Q20" i="2"/>
  <c r="O45" i="3"/>
  <c r="Q13" i="2"/>
  <c r="O42" i="3"/>
  <c r="Q11" i="2"/>
  <c r="O27" i="3"/>
  <c r="O146" i="3" s="1"/>
  <c r="O169" i="3" s="1"/>
  <c r="O23" i="3"/>
  <c r="O92" i="3" s="1"/>
  <c r="O22" i="3"/>
  <c r="O21" i="3"/>
  <c r="O19" i="3"/>
  <c r="O18" i="3"/>
  <c r="O14" i="3"/>
  <c r="O9" i="3"/>
  <c r="O8" i="3"/>
  <c r="O7" i="3"/>
  <c r="O156" i="3" s="1"/>
  <c r="O6" i="3"/>
  <c r="O103" i="3" s="1"/>
  <c r="AA3" i="2"/>
  <c r="O3" i="2"/>
  <c r="B3" i="2"/>
  <c r="X3" i="3"/>
  <c r="M3" i="3"/>
  <c r="X81" i="3"/>
  <c r="M81" i="3"/>
  <c r="X79" i="3"/>
  <c r="M79" i="3"/>
  <c r="M9" i="3"/>
  <c r="N9" i="3"/>
  <c r="X9" i="3"/>
  <c r="Y9" i="3"/>
  <c r="M14" i="3"/>
  <c r="M150" i="3" s="1"/>
  <c r="N14" i="3"/>
  <c r="N150" i="3" s="1"/>
  <c r="X14" i="3"/>
  <c r="X150" i="3" s="1"/>
  <c r="Y14" i="3"/>
  <c r="Y150" i="3" s="1"/>
  <c r="M16" i="3"/>
  <c r="M111" i="3" s="1"/>
  <c r="M122" i="3" s="1"/>
  <c r="M130" i="3" s="1"/>
  <c r="M138" i="3" s="1"/>
  <c r="N16" i="3"/>
  <c r="N111" i="3" s="1"/>
  <c r="N122" i="3" s="1"/>
  <c r="N130" i="3" s="1"/>
  <c r="N138" i="3" s="1"/>
  <c r="X16" i="3"/>
  <c r="X111" i="3" s="1"/>
  <c r="X122" i="3" s="1"/>
  <c r="X130" i="3" s="1"/>
  <c r="X138" i="3" s="1"/>
  <c r="Y16" i="3"/>
  <c r="Y111" i="3" s="1"/>
  <c r="Y122" i="3" s="1"/>
  <c r="Y130" i="3" s="1"/>
  <c r="Y138" i="3" s="1"/>
  <c r="Z16" i="3"/>
  <c r="Z111" i="3" s="1"/>
  <c r="M17" i="3"/>
  <c r="N17" i="3"/>
  <c r="X17" i="3"/>
  <c r="Y17" i="3"/>
  <c r="M18" i="3"/>
  <c r="N18" i="3"/>
  <c r="X18" i="3"/>
  <c r="Y18" i="3"/>
  <c r="M19" i="3"/>
  <c r="N19" i="3"/>
  <c r="X19" i="3"/>
  <c r="Y19" i="3"/>
  <c r="M21" i="3"/>
  <c r="N21" i="3"/>
  <c r="X21" i="3"/>
  <c r="Y21" i="3"/>
  <c r="M22" i="3"/>
  <c r="N22" i="3"/>
  <c r="X22" i="3"/>
  <c r="Y22" i="3"/>
  <c r="M23" i="3"/>
  <c r="N23" i="3"/>
  <c r="X23" i="3"/>
  <c r="Y23" i="3"/>
  <c r="M24" i="3"/>
  <c r="N24" i="3"/>
  <c r="X24" i="3"/>
  <c r="Y24" i="3"/>
  <c r="M25" i="3"/>
  <c r="N25" i="3"/>
  <c r="X25" i="3"/>
  <c r="Y25" i="3"/>
  <c r="M27" i="3"/>
  <c r="M146" i="3" s="1"/>
  <c r="N27" i="3"/>
  <c r="N146" i="3" s="1"/>
  <c r="X27" i="3"/>
  <c r="X146" i="3" s="1"/>
  <c r="Y27" i="3"/>
  <c r="Y146" i="3" s="1"/>
  <c r="M29" i="3"/>
  <c r="N29" i="3"/>
  <c r="X29" i="3"/>
  <c r="Y29" i="3"/>
  <c r="M32" i="3"/>
  <c r="N32" i="3"/>
  <c r="X32" i="3"/>
  <c r="Y32" i="3"/>
  <c r="M33" i="3"/>
  <c r="N33" i="3"/>
  <c r="X33" i="3"/>
  <c r="Y33" i="3"/>
  <c r="M34" i="3"/>
  <c r="N34" i="3"/>
  <c r="X34" i="3"/>
  <c r="Y34" i="3"/>
  <c r="M35" i="3"/>
  <c r="N35" i="3"/>
  <c r="X35" i="3"/>
  <c r="Y35" i="3"/>
  <c r="M36" i="3"/>
  <c r="M132" i="3" s="1"/>
  <c r="N36" i="3"/>
  <c r="N132" i="3" s="1"/>
  <c r="X36" i="3"/>
  <c r="X132" i="3" s="1"/>
  <c r="Y36" i="3"/>
  <c r="Y132" i="3" s="1"/>
  <c r="M37" i="3"/>
  <c r="N37" i="3"/>
  <c r="X37" i="3"/>
  <c r="Y37" i="3"/>
  <c r="M38" i="3"/>
  <c r="N38" i="3"/>
  <c r="X38" i="3"/>
  <c r="Y38" i="3"/>
  <c r="M39" i="3"/>
  <c r="M124" i="3" s="1"/>
  <c r="N39" i="3"/>
  <c r="X39" i="3"/>
  <c r="X124" i="3" s="1"/>
  <c r="Y39" i="3"/>
  <c r="M42" i="3"/>
  <c r="N42" i="3"/>
  <c r="X42" i="3"/>
  <c r="Y42" i="3"/>
  <c r="M43" i="3"/>
  <c r="N43" i="3"/>
  <c r="X43" i="3"/>
  <c r="Y43" i="3"/>
  <c r="M44" i="3"/>
  <c r="N44" i="3"/>
  <c r="X44" i="3"/>
  <c r="Y44" i="3"/>
  <c r="M45" i="3"/>
  <c r="N45" i="3"/>
  <c r="X45" i="3"/>
  <c r="Y45" i="3"/>
  <c r="M48" i="3"/>
  <c r="N48" i="3"/>
  <c r="X48" i="3"/>
  <c r="Y48" i="3"/>
  <c r="M49" i="3"/>
  <c r="N49" i="3"/>
  <c r="X49" i="3"/>
  <c r="Y49" i="3"/>
  <c r="M50" i="3"/>
  <c r="N50" i="3"/>
  <c r="X50" i="3"/>
  <c r="Y50" i="3"/>
  <c r="M51" i="3"/>
  <c r="N51" i="3"/>
  <c r="X51" i="3"/>
  <c r="Y51" i="3"/>
  <c r="M52" i="3"/>
  <c r="N52" i="3"/>
  <c r="X52" i="3"/>
  <c r="Y52" i="3"/>
  <c r="M54" i="3"/>
  <c r="N54" i="3"/>
  <c r="X54" i="3"/>
  <c r="Y54" i="3"/>
  <c r="M55" i="3"/>
  <c r="N55" i="3"/>
  <c r="X55" i="3"/>
  <c r="Y55" i="3"/>
  <c r="M56" i="3"/>
  <c r="N56" i="3"/>
  <c r="X56" i="3"/>
  <c r="Y56" i="3"/>
  <c r="M57" i="3"/>
  <c r="M108" i="3" s="1"/>
  <c r="N57" i="3"/>
  <c r="N108" i="3" s="1"/>
  <c r="X57" i="3"/>
  <c r="X108" i="3" s="1"/>
  <c r="Y57" i="3"/>
  <c r="Y108" i="3" s="1"/>
  <c r="M58" i="3"/>
  <c r="N58" i="3"/>
  <c r="X58" i="3"/>
  <c r="Y58" i="3"/>
  <c r="M59" i="3"/>
  <c r="N59" i="3"/>
  <c r="X59" i="3"/>
  <c r="Y59" i="3"/>
  <c r="M60" i="3"/>
  <c r="N60" i="3"/>
  <c r="X60" i="3"/>
  <c r="Y60" i="3"/>
  <c r="M61" i="3"/>
  <c r="M113" i="3" s="1"/>
  <c r="N61" i="3"/>
  <c r="N113" i="3" s="1"/>
  <c r="O61" i="3"/>
  <c r="O113" i="3" s="1"/>
  <c r="O115" i="3" s="1"/>
  <c r="X61" i="3"/>
  <c r="X113" i="3" s="1"/>
  <c r="Y61" i="3"/>
  <c r="Y113" i="3" s="1"/>
  <c r="AC61" i="3"/>
  <c r="AC113" i="3" s="1"/>
  <c r="AC115" i="3" s="1"/>
  <c r="M62" i="3"/>
  <c r="M140" i="3" s="1"/>
  <c r="N62" i="3"/>
  <c r="N140" i="3" s="1"/>
  <c r="X62" i="3"/>
  <c r="X140" i="3" s="1"/>
  <c r="Y62" i="3"/>
  <c r="Y140" i="3" s="1"/>
  <c r="M65" i="3"/>
  <c r="N65" i="3"/>
  <c r="X65" i="3"/>
  <c r="Y65" i="3"/>
  <c r="M66" i="3"/>
  <c r="N66" i="3"/>
  <c r="X66" i="3"/>
  <c r="Y66" i="3"/>
  <c r="M67" i="3"/>
  <c r="N67" i="3"/>
  <c r="X67" i="3"/>
  <c r="Y67" i="3"/>
  <c r="M68" i="3"/>
  <c r="X68" i="3"/>
  <c r="M70" i="3"/>
  <c r="N70" i="3"/>
  <c r="X70" i="3"/>
  <c r="Y70" i="3"/>
  <c r="M71" i="3"/>
  <c r="N71" i="3"/>
  <c r="X71" i="3"/>
  <c r="Y71" i="3"/>
  <c r="M73" i="3"/>
  <c r="N73" i="3"/>
  <c r="O73" i="3"/>
  <c r="P73" i="3"/>
  <c r="Q73" i="3"/>
  <c r="R73" i="3"/>
  <c r="S73" i="3"/>
  <c r="X73" i="3"/>
  <c r="Y73" i="3"/>
  <c r="Z73" i="3"/>
  <c r="AA73" i="3"/>
  <c r="AB73" i="3"/>
  <c r="AC73" i="3"/>
  <c r="AD73" i="3"/>
  <c r="M74" i="3"/>
  <c r="N74" i="3"/>
  <c r="X74" i="3"/>
  <c r="Y74" i="3"/>
  <c r="M75" i="3"/>
  <c r="N75" i="3"/>
  <c r="X75" i="3"/>
  <c r="Y75" i="3"/>
  <c r="M76" i="3"/>
  <c r="N76" i="3"/>
  <c r="X76" i="3"/>
  <c r="Y76" i="3"/>
  <c r="M77" i="3"/>
  <c r="N77" i="3"/>
  <c r="X77" i="3"/>
  <c r="Y77" i="3"/>
  <c r="B3" i="3"/>
  <c r="D73" i="3"/>
  <c r="H73" i="3"/>
  <c r="I73" i="3"/>
  <c r="B9" i="3"/>
  <c r="C9" i="3"/>
  <c r="B14" i="3"/>
  <c r="B150" i="3" s="1"/>
  <c r="C14" i="3"/>
  <c r="C150" i="3" s="1"/>
  <c r="B15" i="3"/>
  <c r="B16" i="3"/>
  <c r="B111" i="3" s="1"/>
  <c r="B122" i="3" s="1"/>
  <c r="B130" i="3" s="1"/>
  <c r="B138" i="3" s="1"/>
  <c r="C16" i="3"/>
  <c r="C111" i="3" s="1"/>
  <c r="C122" i="3" s="1"/>
  <c r="C130" i="3" s="1"/>
  <c r="C138" i="3" s="1"/>
  <c r="B17" i="3"/>
  <c r="C17" i="3"/>
  <c r="B18" i="3"/>
  <c r="C18" i="3"/>
  <c r="B19" i="3"/>
  <c r="C19" i="3"/>
  <c r="B21" i="3"/>
  <c r="C21" i="3"/>
  <c r="B22" i="3"/>
  <c r="C22" i="3"/>
  <c r="B23" i="3"/>
  <c r="C23" i="3"/>
  <c r="B24" i="3"/>
  <c r="C24" i="3"/>
  <c r="B25" i="3"/>
  <c r="C25" i="3"/>
  <c r="B27" i="3"/>
  <c r="B146" i="3" s="1"/>
  <c r="J169" i="3" s="1"/>
  <c r="M169" i="3" s="1"/>
  <c r="C27" i="3"/>
  <c r="C146" i="3" s="1"/>
  <c r="B29" i="3"/>
  <c r="C29" i="3"/>
  <c r="A31" i="3"/>
  <c r="L31" i="3" s="1"/>
  <c r="B31" i="3"/>
  <c r="X31" i="3" s="1"/>
  <c r="B32" i="3"/>
  <c r="C32" i="3"/>
  <c r="B33" i="3"/>
  <c r="C33" i="3"/>
  <c r="B34" i="3"/>
  <c r="C34" i="3"/>
  <c r="B35" i="3"/>
  <c r="C35" i="3"/>
  <c r="B36" i="3"/>
  <c r="B132" i="3" s="1"/>
  <c r="C36" i="3"/>
  <c r="C132" i="3" s="1"/>
  <c r="B37" i="3"/>
  <c r="C37" i="3"/>
  <c r="B38" i="3"/>
  <c r="C38" i="3"/>
  <c r="B39" i="3"/>
  <c r="B124" i="3" s="1"/>
  <c r="C39" i="3"/>
  <c r="A41" i="3"/>
  <c r="L41" i="3" s="1"/>
  <c r="B41" i="3"/>
  <c r="X41" i="3" s="1"/>
  <c r="B42" i="3"/>
  <c r="C42" i="3"/>
  <c r="B43" i="3"/>
  <c r="C43" i="3"/>
  <c r="B44" i="3"/>
  <c r="C44" i="3"/>
  <c r="B45" i="3"/>
  <c r="C45" i="3"/>
  <c r="A47" i="3"/>
  <c r="L47" i="3" s="1"/>
  <c r="B47" i="3"/>
  <c r="M47" i="3" s="1"/>
  <c r="B48" i="3"/>
  <c r="C48" i="3"/>
  <c r="B49" i="3"/>
  <c r="C49" i="3"/>
  <c r="B50" i="3"/>
  <c r="C50" i="3"/>
  <c r="B51" i="3"/>
  <c r="C51" i="3"/>
  <c r="B52" i="3"/>
  <c r="C52" i="3"/>
  <c r="B54" i="3"/>
  <c r="C54" i="3"/>
  <c r="B55" i="3"/>
  <c r="C55" i="3"/>
  <c r="B56" i="3"/>
  <c r="C56" i="3"/>
  <c r="B57" i="3"/>
  <c r="B108" i="3" s="1"/>
  <c r="D169" i="3" s="1"/>
  <c r="C57" i="3"/>
  <c r="C108" i="3" s="1"/>
  <c r="B58" i="3"/>
  <c r="C58" i="3"/>
  <c r="B59" i="3"/>
  <c r="C59" i="3"/>
  <c r="B60" i="3"/>
  <c r="C60" i="3"/>
  <c r="B61" i="3"/>
  <c r="B113" i="3" s="1"/>
  <c r="C61" i="3"/>
  <c r="C113" i="3" s="1"/>
  <c r="B62" i="3"/>
  <c r="B140" i="3" s="1"/>
  <c r="C62" i="3"/>
  <c r="C140" i="3" s="1"/>
  <c r="A64" i="3"/>
  <c r="W64" i="3" s="1"/>
  <c r="B64" i="3"/>
  <c r="X64" i="3" s="1"/>
  <c r="B65" i="3"/>
  <c r="C65" i="3"/>
  <c r="B66" i="3"/>
  <c r="C66" i="3"/>
  <c r="B67" i="3"/>
  <c r="C67" i="3"/>
  <c r="B68" i="3"/>
  <c r="B70" i="3"/>
  <c r="C70" i="3"/>
  <c r="B71" i="3"/>
  <c r="C71" i="3"/>
  <c r="B73" i="3"/>
  <c r="C73" i="3"/>
  <c r="E73" i="3"/>
  <c r="F73" i="3"/>
  <c r="G73" i="3"/>
  <c r="B74" i="3"/>
  <c r="C74" i="3"/>
  <c r="B75" i="3"/>
  <c r="C75" i="3"/>
  <c r="B76" i="3"/>
  <c r="C76" i="3"/>
  <c r="B77" i="3"/>
  <c r="C77" i="3"/>
  <c r="B5" i="3"/>
  <c r="X5" i="3" s="1"/>
  <c r="O4" i="2"/>
  <c r="O15" i="2" s="1"/>
  <c r="Q4" i="2"/>
  <c r="Q15" i="2" s="1"/>
  <c r="R4" i="2"/>
  <c r="R15" i="2" s="1"/>
  <c r="S4" i="2"/>
  <c r="S15" i="2" s="1"/>
  <c r="T4" i="2"/>
  <c r="T15" i="2" s="1"/>
  <c r="U4" i="2"/>
  <c r="U15" i="2" s="1"/>
  <c r="AA4" i="2"/>
  <c r="AA15" i="2" s="1"/>
  <c r="AD4" i="2"/>
  <c r="AD15" i="2" s="1"/>
  <c r="AE4" i="2"/>
  <c r="AE15" i="2" s="1"/>
  <c r="AF4" i="2"/>
  <c r="AF15" i="2" s="1"/>
  <c r="AG4" i="2"/>
  <c r="AG15" i="2" s="1"/>
  <c r="O5" i="2"/>
  <c r="O16" i="2" s="1"/>
  <c r="Q5" i="2"/>
  <c r="Q16" i="2" s="1"/>
  <c r="R5" i="2"/>
  <c r="R16" i="2" s="1"/>
  <c r="S5" i="2"/>
  <c r="S16" i="2" s="1"/>
  <c r="T5" i="2"/>
  <c r="T16" i="2" s="1"/>
  <c r="AA5" i="2"/>
  <c r="AA16" i="2" s="1"/>
  <c r="AD5" i="2"/>
  <c r="AD16" i="2" s="1"/>
  <c r="AE5" i="2"/>
  <c r="AE16" i="2" s="1"/>
  <c r="AF5" i="2"/>
  <c r="AF16" i="2" s="1"/>
  <c r="AG5" i="2"/>
  <c r="AG16" i="2" s="1"/>
  <c r="O6" i="2"/>
  <c r="P6" i="2"/>
  <c r="Q6" i="2"/>
  <c r="R6" i="2"/>
  <c r="S6" i="2"/>
  <c r="T6" i="2"/>
  <c r="AA6" i="2"/>
  <c r="AB6" i="2"/>
  <c r="AD6" i="2"/>
  <c r="AE6" i="2"/>
  <c r="AF6" i="2"/>
  <c r="AG6" i="2"/>
  <c r="O7" i="2"/>
  <c r="P7" i="2"/>
  <c r="AA7" i="2"/>
  <c r="AB7" i="2"/>
  <c r="O8" i="2"/>
  <c r="P8" i="2"/>
  <c r="AA8" i="2"/>
  <c r="AB8" i="2"/>
  <c r="O9" i="2"/>
  <c r="P9" i="2"/>
  <c r="AA9" i="2"/>
  <c r="AB9" i="2"/>
  <c r="O10" i="2"/>
  <c r="P10" i="2"/>
  <c r="AA10" i="2"/>
  <c r="AB10" i="2"/>
  <c r="O11" i="2"/>
  <c r="P11" i="2"/>
  <c r="AA11" i="2"/>
  <c r="AB11" i="2"/>
  <c r="O12" i="2"/>
  <c r="P12" i="2"/>
  <c r="AA12" i="2"/>
  <c r="AB12" i="2"/>
  <c r="O13" i="2"/>
  <c r="P13" i="2"/>
  <c r="AA13" i="2"/>
  <c r="AB13" i="2"/>
  <c r="O17" i="2"/>
  <c r="P17" i="2"/>
  <c r="AA17" i="2"/>
  <c r="AB17" i="2"/>
  <c r="O18" i="2"/>
  <c r="P18" i="2"/>
  <c r="AA18" i="2"/>
  <c r="AB18" i="2"/>
  <c r="O19" i="2"/>
  <c r="P19" i="2"/>
  <c r="AA19" i="2"/>
  <c r="AB19" i="2"/>
  <c r="O20" i="2"/>
  <c r="P20" i="2"/>
  <c r="AA20" i="2"/>
  <c r="AB20" i="2"/>
  <c r="O21" i="2"/>
  <c r="P21" i="2"/>
  <c r="AA21" i="2"/>
  <c r="AB21" i="2"/>
  <c r="O22" i="2"/>
  <c r="P22" i="2"/>
  <c r="AA22" i="2"/>
  <c r="AB22" i="2"/>
  <c r="O23" i="2"/>
  <c r="P23" i="2"/>
  <c r="AA23" i="2"/>
  <c r="AB23" i="2"/>
  <c r="O24" i="2"/>
  <c r="P24" i="2"/>
  <c r="AA24" i="2"/>
  <c r="AB24" i="2"/>
  <c r="O25" i="2"/>
  <c r="P25" i="2"/>
  <c r="AA25" i="2"/>
  <c r="AB25" i="2"/>
  <c r="O26" i="2"/>
  <c r="P26" i="2"/>
  <c r="AA26" i="2"/>
  <c r="AB26" i="2"/>
  <c r="O27" i="2"/>
  <c r="P27" i="2"/>
  <c r="AA27" i="2"/>
  <c r="AB27" i="2"/>
  <c r="O28" i="2"/>
  <c r="P28" i="2"/>
  <c r="AA28" i="2"/>
  <c r="AB28" i="2"/>
  <c r="AG26" i="2"/>
  <c r="Y8" i="3"/>
  <c r="Y107" i="3" s="1"/>
  <c r="N8" i="3"/>
  <c r="N107" i="3" s="1"/>
  <c r="B185" i="1"/>
  <c r="D185" i="1"/>
  <c r="D6" i="3" s="1"/>
  <c r="D103" i="3" s="1"/>
  <c r="E185" i="1"/>
  <c r="E6" i="3" s="1"/>
  <c r="E103" i="3" s="1"/>
  <c r="F185" i="1"/>
  <c r="F6" i="3" s="1"/>
  <c r="F103" i="3" s="1"/>
  <c r="G185" i="1"/>
  <c r="G6" i="3" s="1"/>
  <c r="G103" i="3" s="1"/>
  <c r="H185" i="1"/>
  <c r="H6" i="3" s="1"/>
  <c r="H103" i="3" s="1"/>
  <c r="I185" i="1"/>
  <c r="I6" i="3" s="1"/>
  <c r="I103" i="3" s="1"/>
  <c r="B186" i="1"/>
  <c r="D186" i="1"/>
  <c r="D7" i="3" s="1"/>
  <c r="E186" i="1"/>
  <c r="E7" i="3" s="1"/>
  <c r="F186" i="1"/>
  <c r="F7" i="3" s="1"/>
  <c r="G186" i="1"/>
  <c r="G7" i="3" s="1"/>
  <c r="H186" i="1"/>
  <c r="H7" i="3" s="1"/>
  <c r="I186" i="1"/>
  <c r="I7" i="3" s="1"/>
  <c r="B187" i="1"/>
  <c r="C187" i="1"/>
  <c r="C8" i="3" s="1"/>
  <c r="C107" i="3" s="1"/>
  <c r="D187" i="1"/>
  <c r="D8" i="3" s="1"/>
  <c r="D107" i="3" s="1"/>
  <c r="E187" i="1"/>
  <c r="E8" i="3" s="1"/>
  <c r="E107" i="3" s="1"/>
  <c r="F187" i="1"/>
  <c r="F8" i="3" s="1"/>
  <c r="F107" i="3" s="1"/>
  <c r="G187" i="1"/>
  <c r="G8" i="3" s="1"/>
  <c r="G107" i="3" s="1"/>
  <c r="H187" i="1"/>
  <c r="H8" i="3" s="1"/>
  <c r="H107" i="3" s="1"/>
  <c r="I187" i="1"/>
  <c r="I8" i="3" s="1"/>
  <c r="I107" i="3" s="1"/>
  <c r="D188" i="1"/>
  <c r="D9" i="3" s="1"/>
  <c r="E188" i="1"/>
  <c r="E9" i="3" s="1"/>
  <c r="F188" i="1"/>
  <c r="F9" i="3" s="1"/>
  <c r="G188" i="1"/>
  <c r="G9" i="3" s="1"/>
  <c r="H188" i="1"/>
  <c r="H9" i="3" s="1"/>
  <c r="I188" i="1"/>
  <c r="I9" i="3" s="1"/>
  <c r="B191" i="1"/>
  <c r="B12" i="3" s="1"/>
  <c r="B119" i="3" s="1"/>
  <c r="C191" i="1"/>
  <c r="C12" i="3" s="1"/>
  <c r="C119" i="3" s="1"/>
  <c r="B192" i="1"/>
  <c r="B13" i="3" s="1"/>
  <c r="C192" i="1"/>
  <c r="C13" i="3" s="1"/>
  <c r="D193" i="1"/>
  <c r="E193" i="1"/>
  <c r="F193" i="1"/>
  <c r="G193" i="1"/>
  <c r="H193" i="1"/>
  <c r="I193" i="1"/>
  <c r="D195" i="1"/>
  <c r="D212" i="1" s="1"/>
  <c r="D252" i="1" s="1"/>
  <c r="E195" i="1"/>
  <c r="E16" i="3" s="1"/>
  <c r="E111" i="3" s="1"/>
  <c r="F195" i="1"/>
  <c r="F16" i="3" s="1"/>
  <c r="F111" i="3" s="1"/>
  <c r="G195" i="1"/>
  <c r="G16" i="3" s="1"/>
  <c r="G111" i="3" s="1"/>
  <c r="H195" i="1"/>
  <c r="H16" i="3" s="1"/>
  <c r="H111" i="3" s="1"/>
  <c r="I195" i="1"/>
  <c r="I16" i="3" s="1"/>
  <c r="I111" i="3" s="1"/>
  <c r="D196" i="1"/>
  <c r="D218" i="1" s="1"/>
  <c r="E196" i="1"/>
  <c r="E218" i="1" s="1"/>
  <c r="G25" i="2" s="1"/>
  <c r="F196" i="1"/>
  <c r="F17" i="3" s="1"/>
  <c r="G196" i="1"/>
  <c r="G17" i="3" s="1"/>
  <c r="H196" i="1"/>
  <c r="H17" i="3" s="1"/>
  <c r="I196" i="1"/>
  <c r="I17" i="3" s="1"/>
  <c r="D197" i="1"/>
  <c r="D18" i="3" s="1"/>
  <c r="E197" i="1"/>
  <c r="E214" i="1" s="1"/>
  <c r="E35" i="3" s="1"/>
  <c r="F197" i="1"/>
  <c r="F18" i="3" s="1"/>
  <c r="G197" i="1"/>
  <c r="G18" i="3" s="1"/>
  <c r="H197" i="1"/>
  <c r="H18" i="3" s="1"/>
  <c r="I197" i="1"/>
  <c r="I18" i="3" s="1"/>
  <c r="D198" i="1"/>
  <c r="E198" i="1"/>
  <c r="F198" i="1"/>
  <c r="G198" i="1"/>
  <c r="G199" i="1" s="1"/>
  <c r="H198" i="1"/>
  <c r="H199" i="1" s="1"/>
  <c r="I198" i="1"/>
  <c r="D21" i="3"/>
  <c r="E21" i="3"/>
  <c r="F21" i="3"/>
  <c r="H21" i="3"/>
  <c r="D22" i="3"/>
  <c r="E22" i="3"/>
  <c r="F22" i="3"/>
  <c r="G22" i="3"/>
  <c r="H22" i="3"/>
  <c r="I22" i="3"/>
  <c r="D23" i="3"/>
  <c r="E23" i="3"/>
  <c r="G23" i="3"/>
  <c r="H23" i="3"/>
  <c r="I23" i="3"/>
  <c r="D24" i="3"/>
  <c r="E203" i="1"/>
  <c r="E24" i="3" s="1"/>
  <c r="F203" i="1"/>
  <c r="F24" i="3" s="1"/>
  <c r="G203" i="1"/>
  <c r="G246" i="1" s="1"/>
  <c r="G67" i="3" s="1"/>
  <c r="H203" i="1"/>
  <c r="H24" i="3" s="1"/>
  <c r="I203" i="1"/>
  <c r="I24" i="3" s="1"/>
  <c r="E204" i="1"/>
  <c r="F204" i="1"/>
  <c r="G204" i="1"/>
  <c r="H204" i="1"/>
  <c r="I204" i="1"/>
  <c r="D27" i="3"/>
  <c r="D146" i="3" s="1"/>
  <c r="E206" i="1"/>
  <c r="E27" i="3" s="1"/>
  <c r="E146" i="3" s="1"/>
  <c r="F206" i="1"/>
  <c r="F27" i="3" s="1"/>
  <c r="F146" i="3" s="1"/>
  <c r="G206" i="1"/>
  <c r="G27" i="3" s="1"/>
  <c r="G146" i="3" s="1"/>
  <c r="H206" i="1"/>
  <c r="H27" i="3" s="1"/>
  <c r="H146" i="3" s="1"/>
  <c r="I206" i="1"/>
  <c r="I27" i="3" s="1"/>
  <c r="I146" i="3" s="1"/>
  <c r="D29" i="3"/>
  <c r="E29" i="3"/>
  <c r="F29" i="3"/>
  <c r="G29" i="3"/>
  <c r="H29" i="3"/>
  <c r="I29" i="3"/>
  <c r="D216" i="1"/>
  <c r="D37" i="3" s="1"/>
  <c r="E216" i="1"/>
  <c r="E37" i="3" s="1"/>
  <c r="F216" i="1"/>
  <c r="F37" i="3" s="1"/>
  <c r="G216" i="1"/>
  <c r="G37" i="3" s="1"/>
  <c r="H216" i="1"/>
  <c r="H37" i="3" s="1"/>
  <c r="I216" i="1"/>
  <c r="I37" i="3" s="1"/>
  <c r="D42" i="3"/>
  <c r="E221" i="1"/>
  <c r="F221" i="1"/>
  <c r="G221" i="1"/>
  <c r="G42" i="3" s="1"/>
  <c r="H221" i="1"/>
  <c r="I221" i="1"/>
  <c r="D223" i="1"/>
  <c r="D44" i="3" s="1"/>
  <c r="E223" i="1"/>
  <c r="E44" i="3" s="1"/>
  <c r="F223" i="1"/>
  <c r="F44" i="3" s="1"/>
  <c r="G223" i="1"/>
  <c r="G44" i="3" s="1"/>
  <c r="H223" i="1"/>
  <c r="H44" i="3" s="1"/>
  <c r="I223" i="1"/>
  <c r="I44" i="3" s="1"/>
  <c r="D45" i="3"/>
  <c r="E224" i="1"/>
  <c r="E45" i="3" s="1"/>
  <c r="F224" i="1"/>
  <c r="F45" i="3" s="1"/>
  <c r="G224" i="1"/>
  <c r="G45" i="3" s="1"/>
  <c r="H224" i="1"/>
  <c r="H45" i="3" s="1"/>
  <c r="I224" i="1"/>
  <c r="I45" i="3" s="1"/>
  <c r="E228" i="1"/>
  <c r="F228" i="1"/>
  <c r="G48" i="3"/>
  <c r="G104" i="3" s="1"/>
  <c r="H228" i="1"/>
  <c r="H49" i="3" s="1"/>
  <c r="I228" i="1"/>
  <c r="I49" i="3" s="1"/>
  <c r="H51" i="3"/>
  <c r="I51" i="3"/>
  <c r="E52" i="3"/>
  <c r="F52" i="3"/>
  <c r="G52" i="3"/>
  <c r="H52" i="3"/>
  <c r="I52" i="3"/>
  <c r="E237" i="1"/>
  <c r="F55" i="3"/>
  <c r="G235" i="1"/>
  <c r="H235" i="1"/>
  <c r="I235" i="1"/>
  <c r="I61" i="3"/>
  <c r="I113" i="3" s="1"/>
  <c r="I62" i="3"/>
  <c r="I140" i="3" s="1"/>
  <c r="D248" i="1"/>
  <c r="D70" i="3" s="1"/>
  <c r="E248" i="1"/>
  <c r="E70" i="3" s="1"/>
  <c r="F248" i="1"/>
  <c r="F70" i="3" s="1"/>
  <c r="G248" i="1"/>
  <c r="G70" i="3" s="1"/>
  <c r="H248" i="1"/>
  <c r="H70" i="3" s="1"/>
  <c r="I248" i="1"/>
  <c r="I70" i="3" s="1"/>
  <c r="D52" i="3"/>
  <c r="C1" i="3"/>
  <c r="N1" i="3" s="1"/>
  <c r="Y1" i="3" s="1"/>
  <c r="B1" i="3"/>
  <c r="M1" i="3" s="1"/>
  <c r="X1" i="3" s="1"/>
  <c r="G4" i="2"/>
  <c r="G15" i="2" s="1"/>
  <c r="H4" i="2"/>
  <c r="H15" i="2" s="1"/>
  <c r="I4" i="2"/>
  <c r="I15" i="2" s="1"/>
  <c r="J4" i="2"/>
  <c r="J15" i="2" s="1"/>
  <c r="K4" i="2"/>
  <c r="K15" i="2" s="1"/>
  <c r="F4" i="2"/>
  <c r="F15" i="2" s="1"/>
  <c r="AD9" i="3" l="1"/>
  <c r="AF26" i="2"/>
  <c r="U8" i="2"/>
  <c r="S252" i="1"/>
  <c r="AK54" i="3"/>
  <c r="AK232" i="1"/>
  <c r="AK53" i="3" s="1"/>
  <c r="AN19" i="2"/>
  <c r="AJ232" i="1"/>
  <c r="AJ53" i="3" s="1"/>
  <c r="AJ54" i="3"/>
  <c r="AM19" i="2"/>
  <c r="AC8" i="2"/>
  <c r="Z252" i="1"/>
  <c r="AB33" i="3"/>
  <c r="AB252" i="1"/>
  <c r="AB254" i="1" s="1"/>
  <c r="AB77" i="3" s="1"/>
  <c r="AD8" i="2"/>
  <c r="AA252" i="1"/>
  <c r="AA75" i="3" s="1"/>
  <c r="AB94" i="3"/>
  <c r="AE9" i="2" s="1"/>
  <c r="AA94" i="3"/>
  <c r="AD9" i="2" s="1"/>
  <c r="AD94" i="3"/>
  <c r="AG9" i="2" s="1"/>
  <c r="AC17" i="3"/>
  <c r="AC94" i="3"/>
  <c r="AF9" i="2" s="1"/>
  <c r="H213" i="1"/>
  <c r="H20" i="3"/>
  <c r="G213" i="1"/>
  <c r="G20" i="3"/>
  <c r="AC211" i="1"/>
  <c r="AC15" i="3"/>
  <c r="Z9" i="3"/>
  <c r="AC12" i="2"/>
  <c r="Z44" i="3"/>
  <c r="AC13" i="2"/>
  <c r="Z37" i="3"/>
  <c r="AC23" i="2"/>
  <c r="S211" i="1"/>
  <c r="U7" i="2" s="1"/>
  <c r="S15" i="3"/>
  <c r="S107" i="3"/>
  <c r="S98" i="3"/>
  <c r="S99" i="3" s="1"/>
  <c r="S100" i="3" s="1"/>
  <c r="U10" i="2" s="1"/>
  <c r="R107" i="3"/>
  <c r="R98" i="3"/>
  <c r="R99" i="3" s="1"/>
  <c r="R100" i="3" s="1"/>
  <c r="T10" i="2" s="1"/>
  <c r="Q213" i="1"/>
  <c r="Q20" i="3"/>
  <c r="Q107" i="3"/>
  <c r="Q98" i="3"/>
  <c r="Q99" i="3" s="1"/>
  <c r="Q100" i="3" s="1"/>
  <c r="S10" i="2" s="1"/>
  <c r="P107" i="3"/>
  <c r="P98" i="3"/>
  <c r="P99" i="3" s="1"/>
  <c r="P100" i="3" s="1"/>
  <c r="R10" i="2" s="1"/>
  <c r="O107" i="3"/>
  <c r="O98" i="3"/>
  <c r="O99" i="3" s="1"/>
  <c r="O100" i="3" s="1"/>
  <c r="Q10" i="2" s="1"/>
  <c r="S251" i="1"/>
  <c r="S74" i="3" s="1"/>
  <c r="U23" i="2"/>
  <c r="S9" i="3"/>
  <c r="U12" i="2"/>
  <c r="C170" i="3" a="1"/>
  <c r="J170" i="3" a="1"/>
  <c r="AG90" i="3"/>
  <c r="AG104" i="3"/>
  <c r="AF90" i="3"/>
  <c r="AF104" i="3"/>
  <c r="AH90" i="3"/>
  <c r="AH104" i="3"/>
  <c r="AI90" i="3"/>
  <c r="AI104" i="3"/>
  <c r="AE90" i="3"/>
  <c r="AE104" i="3"/>
  <c r="I114" i="3"/>
  <c r="I122" i="3"/>
  <c r="Z122" i="3"/>
  <c r="Z114" i="3"/>
  <c r="Z115" i="3"/>
  <c r="Z98" i="3"/>
  <c r="Z99" i="3" s="1"/>
  <c r="Z100" i="3" s="1"/>
  <c r="AC10" i="2" s="1"/>
  <c r="Z107" i="3"/>
  <c r="H122" i="3"/>
  <c r="I142" i="3"/>
  <c r="G122" i="3"/>
  <c r="AD98" i="3"/>
  <c r="AD99" i="3" s="1"/>
  <c r="AD100" i="3" s="1"/>
  <c r="AG10" i="2" s="1"/>
  <c r="AD107" i="3"/>
  <c r="I115" i="3"/>
  <c r="I116" i="3" s="1"/>
  <c r="F122" i="3"/>
  <c r="O150" i="3"/>
  <c r="AD122" i="3"/>
  <c r="AD114" i="3"/>
  <c r="AC98" i="3"/>
  <c r="AC99" i="3" s="1"/>
  <c r="AC100" i="3" s="1"/>
  <c r="AF10" i="2" s="1"/>
  <c r="AC107" i="3"/>
  <c r="E122" i="3"/>
  <c r="AD115" i="3"/>
  <c r="AB98" i="3"/>
  <c r="AB99" i="3" s="1"/>
  <c r="AB100" i="3" s="1"/>
  <c r="AE10" i="2" s="1"/>
  <c r="AB107" i="3"/>
  <c r="AA98" i="3"/>
  <c r="AA99" i="3" s="1"/>
  <c r="AA100" i="3" s="1"/>
  <c r="AD10" i="2" s="1"/>
  <c r="AA107" i="3"/>
  <c r="G205" i="1"/>
  <c r="F205" i="1"/>
  <c r="AD205" i="1"/>
  <c r="E205" i="1"/>
  <c r="AC205" i="1"/>
  <c r="Q205" i="1"/>
  <c r="Z205" i="1"/>
  <c r="I205" i="1"/>
  <c r="H205" i="1"/>
  <c r="AA19" i="3"/>
  <c r="AA199" i="1"/>
  <c r="S205" i="1"/>
  <c r="Z19" i="3"/>
  <c r="Z199" i="1"/>
  <c r="AD14" i="3"/>
  <c r="AD194" i="1"/>
  <c r="R205" i="1"/>
  <c r="S19" i="3"/>
  <c r="S199" i="1"/>
  <c r="AB205" i="1"/>
  <c r="R19" i="3"/>
  <c r="R199" i="1"/>
  <c r="R14" i="3"/>
  <c r="R194" i="1"/>
  <c r="AA205" i="1"/>
  <c r="AB14" i="3"/>
  <c r="AB194" i="1"/>
  <c r="AB19" i="3"/>
  <c r="AB199" i="1"/>
  <c r="P205" i="1"/>
  <c r="Q14" i="3"/>
  <c r="Q194" i="1"/>
  <c r="AA14" i="3"/>
  <c r="AA194" i="1"/>
  <c r="P19" i="3"/>
  <c r="P199" i="1"/>
  <c r="P14" i="3"/>
  <c r="P194" i="1"/>
  <c r="AD19" i="3"/>
  <c r="AD199" i="1"/>
  <c r="Z14" i="3"/>
  <c r="Z194" i="1"/>
  <c r="AC19" i="3"/>
  <c r="AC199" i="1"/>
  <c r="Z84" i="3"/>
  <c r="C5" i="11" a="1"/>
  <c r="AC84" i="3"/>
  <c r="AB84" i="3"/>
  <c r="I19" i="3"/>
  <c r="I92" i="3" s="1"/>
  <c r="I199" i="1"/>
  <c r="I14" i="3"/>
  <c r="I194" i="1"/>
  <c r="G34" i="3"/>
  <c r="P214" i="1"/>
  <c r="P35" i="3" s="1"/>
  <c r="G14" i="3"/>
  <c r="G194" i="1"/>
  <c r="H14" i="3"/>
  <c r="H194" i="1"/>
  <c r="F19" i="3"/>
  <c r="F92" i="3" s="1"/>
  <c r="F199" i="1"/>
  <c r="F14" i="3"/>
  <c r="F194" i="1"/>
  <c r="E19" i="3"/>
  <c r="E92" i="3" s="1"/>
  <c r="E199" i="1"/>
  <c r="E20" i="3" s="1"/>
  <c r="E14" i="3"/>
  <c r="E194" i="1"/>
  <c r="G90" i="3"/>
  <c r="D19" i="3"/>
  <c r="D92" i="3" s="1"/>
  <c r="D199" i="1"/>
  <c r="D20" i="3" s="1"/>
  <c r="D14" i="3"/>
  <c r="D194" i="1"/>
  <c r="D15" i="3" s="1"/>
  <c r="AH54" i="3"/>
  <c r="AK19" i="2"/>
  <c r="AE54" i="3"/>
  <c r="AH19" i="2"/>
  <c r="AF54" i="3"/>
  <c r="AI19" i="2"/>
  <c r="O94" i="3"/>
  <c r="Q9" i="2" s="1"/>
  <c r="S94" i="3"/>
  <c r="U9" i="2" s="1"/>
  <c r="Q94" i="3"/>
  <c r="S9" i="2" s="1"/>
  <c r="P94" i="3"/>
  <c r="R9" i="2" s="1"/>
  <c r="R94" i="3"/>
  <c r="T9" i="2" s="1"/>
  <c r="AI54" i="3"/>
  <c r="AL19" i="2"/>
  <c r="AG54" i="3"/>
  <c r="AJ19" i="2"/>
  <c r="AE238" i="1"/>
  <c r="AE59" i="3" s="1"/>
  <c r="AE58" i="3"/>
  <c r="E61" i="3"/>
  <c r="E113" i="3" s="1"/>
  <c r="E115" i="3" s="1"/>
  <c r="E62" i="3"/>
  <c r="E140" i="3" s="1"/>
  <c r="E142" i="3" s="1"/>
  <c r="T21" i="2"/>
  <c r="R61" i="3"/>
  <c r="R113" i="3" s="1"/>
  <c r="AI236" i="1"/>
  <c r="AI56" i="3"/>
  <c r="AE236" i="1"/>
  <c r="AE56" i="3"/>
  <c r="AG56" i="3"/>
  <c r="AG236" i="1"/>
  <c r="H25" i="3"/>
  <c r="P62" i="3"/>
  <c r="P140" i="3" s="1"/>
  <c r="P142" i="3" s="1"/>
  <c r="P61" i="3"/>
  <c r="P113" i="3" s="1"/>
  <c r="AF56" i="3"/>
  <c r="AF236" i="1"/>
  <c r="AG238" i="1"/>
  <c r="AG59" i="3" s="1"/>
  <c r="AG58" i="3"/>
  <c r="G25" i="3"/>
  <c r="AG49" i="3"/>
  <c r="AG229" i="1"/>
  <c r="AG50" i="3" s="1"/>
  <c r="AF49" i="3"/>
  <c r="AF229" i="1"/>
  <c r="AF50" i="3" s="1"/>
  <c r="AH58" i="3"/>
  <c r="AH238" i="1"/>
  <c r="AH59" i="3" s="1"/>
  <c r="AE49" i="3"/>
  <c r="AE229" i="1"/>
  <c r="AE50" i="3" s="1"/>
  <c r="F25" i="3"/>
  <c r="AF238" i="1"/>
  <c r="AF59" i="3" s="1"/>
  <c r="AF58" i="3"/>
  <c r="Q61" i="3"/>
  <c r="Q113" i="3" s="1"/>
  <c r="Q62" i="3"/>
  <c r="Q140" i="3" s="1"/>
  <c r="E25" i="3"/>
  <c r="H61" i="3"/>
  <c r="H113" i="3" s="1"/>
  <c r="H115" i="3" s="1"/>
  <c r="H62" i="3"/>
  <c r="H140" i="3" s="1"/>
  <c r="H142" i="3" s="1"/>
  <c r="AF12" i="2"/>
  <c r="AI229" i="1"/>
  <c r="AI50" i="3" s="1"/>
  <c r="AI49" i="3"/>
  <c r="AH56" i="3"/>
  <c r="AH236" i="1"/>
  <c r="D25" i="3"/>
  <c r="D65" i="3"/>
  <c r="G62" i="3"/>
  <c r="G140" i="3" s="1"/>
  <c r="G142" i="3" s="1"/>
  <c r="G61" i="3"/>
  <c r="G113" i="3" s="1"/>
  <c r="G115" i="3" s="1"/>
  <c r="AI58" i="3"/>
  <c r="AI238" i="1"/>
  <c r="AI59" i="3" s="1"/>
  <c r="D62" i="3"/>
  <c r="D140" i="3" s="1"/>
  <c r="D61" i="3"/>
  <c r="D113" i="3" s="1"/>
  <c r="D115" i="3" s="1"/>
  <c r="F61" i="3"/>
  <c r="F113" i="3" s="1"/>
  <c r="F62" i="3"/>
  <c r="F140" i="3" s="1"/>
  <c r="S62" i="3"/>
  <c r="S140" i="3" s="1"/>
  <c r="AH49" i="3"/>
  <c r="AH229" i="1"/>
  <c r="AH50" i="3" s="1"/>
  <c r="AD25" i="3"/>
  <c r="AC25" i="3"/>
  <c r="I84" i="3"/>
  <c r="B6" i="3"/>
  <c r="B103" i="3" s="1"/>
  <c r="M185" i="1"/>
  <c r="M6" i="3" s="1"/>
  <c r="M103" i="3" s="1"/>
  <c r="X185" i="1"/>
  <c r="X6" i="3" s="1"/>
  <c r="X103" i="3" s="1"/>
  <c r="B8" i="3"/>
  <c r="B107" i="3" s="1"/>
  <c r="X187" i="1"/>
  <c r="X8" i="3" s="1"/>
  <c r="X107" i="3" s="1"/>
  <c r="M187" i="1"/>
  <c r="M8" i="3" s="1"/>
  <c r="M107" i="3" s="1"/>
  <c r="B7" i="3"/>
  <c r="X186" i="1"/>
  <c r="X7" i="3" s="1"/>
  <c r="M186" i="1"/>
  <c r="M7" i="3" s="1"/>
  <c r="AG20" i="2"/>
  <c r="AD24" i="3"/>
  <c r="AB17" i="3"/>
  <c r="F218" i="1"/>
  <c r="H25" i="2" s="1"/>
  <c r="F25" i="2"/>
  <c r="D39" i="3"/>
  <c r="O37" i="3"/>
  <c r="R27" i="3"/>
  <c r="R146" i="3" s="1"/>
  <c r="R169" i="3" s="1"/>
  <c r="AA38" i="3"/>
  <c r="AD37" i="3"/>
  <c r="H218" i="1"/>
  <c r="H39" i="3" s="1"/>
  <c r="Q25" i="3"/>
  <c r="R37" i="3"/>
  <c r="Q16" i="3"/>
  <c r="Q111" i="3" s="1"/>
  <c r="Q29" i="3"/>
  <c r="Q18" i="3"/>
  <c r="AF11" i="2"/>
  <c r="S25" i="3"/>
  <c r="Z222" i="1"/>
  <c r="Z43" i="3" s="1"/>
  <c r="P37" i="3"/>
  <c r="AD17" i="3"/>
  <c r="AB16" i="3"/>
  <c r="AB111" i="3" s="1"/>
  <c r="R21" i="2"/>
  <c r="AA16" i="3"/>
  <c r="AA111" i="3" s="1"/>
  <c r="R17" i="3"/>
  <c r="AA25" i="3"/>
  <c r="Q37" i="3"/>
  <c r="D246" i="1"/>
  <c r="D67" i="3" s="1"/>
  <c r="F38" i="3"/>
  <c r="H214" i="1"/>
  <c r="H35" i="3" s="1"/>
  <c r="O24" i="3"/>
  <c r="H222" i="1"/>
  <c r="H43" i="3" s="1"/>
  <c r="Z29" i="3"/>
  <c r="AB25" i="3"/>
  <c r="AD13" i="2"/>
  <c r="AA22" i="3"/>
  <c r="S27" i="3"/>
  <c r="S146" i="3" s="1"/>
  <c r="S169" i="3" s="1"/>
  <c r="S32" i="3"/>
  <c r="R11" i="2"/>
  <c r="P18" i="3"/>
  <c r="S13" i="2"/>
  <c r="R16" i="3"/>
  <c r="R111" i="3" s="1"/>
  <c r="R25" i="3"/>
  <c r="T8" i="2"/>
  <c r="R33" i="3"/>
  <c r="R27" i="2"/>
  <c r="P67" i="3"/>
  <c r="AD222" i="1"/>
  <c r="AD43" i="3" s="1"/>
  <c r="Q12" i="2"/>
  <c r="Z27" i="3"/>
  <c r="Z146" i="3" s="1"/>
  <c r="Z169" i="3" s="1"/>
  <c r="P24" i="3"/>
  <c r="Z17" i="3"/>
  <c r="S38" i="3"/>
  <c r="AA62" i="3"/>
  <c r="S20" i="2"/>
  <c r="AD12" i="2"/>
  <c r="Z214" i="1"/>
  <c r="Z35" i="3" s="1"/>
  <c r="S21" i="2"/>
  <c r="AB24" i="3"/>
  <c r="AC18" i="3"/>
  <c r="S16" i="3"/>
  <c r="S111" i="3" s="1"/>
  <c r="S122" i="3" s="1"/>
  <c r="S44" i="3"/>
  <c r="R44" i="3"/>
  <c r="F36" i="3"/>
  <c r="O44" i="3"/>
  <c r="D38" i="3"/>
  <c r="O17" i="3"/>
  <c r="AB37" i="3"/>
  <c r="R39" i="3"/>
  <c r="T25" i="2"/>
  <c r="O25" i="3"/>
  <c r="O16" i="3"/>
  <c r="O111" i="3" s="1"/>
  <c r="S222" i="1"/>
  <c r="S43" i="3" s="1"/>
  <c r="O62" i="3"/>
  <c r="Q222" i="1"/>
  <c r="Q43" i="3" s="1"/>
  <c r="E36" i="3"/>
  <c r="R13" i="2"/>
  <c r="S37" i="3"/>
  <c r="AB222" i="1"/>
  <c r="AB43" i="3" s="1"/>
  <c r="R222" i="1"/>
  <c r="R43" i="3" s="1"/>
  <c r="P38" i="3"/>
  <c r="E238" i="1"/>
  <c r="E59" i="3" s="1"/>
  <c r="AF25" i="2"/>
  <c r="AC39" i="3"/>
  <c r="AC124" i="3" s="1"/>
  <c r="Z249" i="1"/>
  <c r="Z71" i="3" s="1"/>
  <c r="Z72" i="3" s="1"/>
  <c r="Z33" i="3"/>
  <c r="AB67" i="3"/>
  <c r="AE27" i="2"/>
  <c r="F222" i="1"/>
  <c r="F43" i="3" s="1"/>
  <c r="R12" i="2"/>
  <c r="T11" i="2"/>
  <c r="AD20" i="2"/>
  <c r="S29" i="3"/>
  <c r="AE20" i="2"/>
  <c r="S22" i="3"/>
  <c r="R214" i="1"/>
  <c r="R35" i="3" s="1"/>
  <c r="AD62" i="3"/>
  <c r="R24" i="3"/>
  <c r="Q24" i="3"/>
  <c r="AA251" i="1"/>
  <c r="AA74" i="3" s="1"/>
  <c r="S8" i="2"/>
  <c r="Q33" i="3"/>
  <c r="AD67" i="3"/>
  <c r="AG27" i="2"/>
  <c r="Z39" i="3"/>
  <c r="Q34" i="3"/>
  <c r="P36" i="3"/>
  <c r="P132" i="3" s="1"/>
  <c r="P134" i="3" s="1"/>
  <c r="H246" i="1"/>
  <c r="H67" i="3" s="1"/>
  <c r="F233" i="1"/>
  <c r="I214" i="1"/>
  <c r="I35" i="3" s="1"/>
  <c r="S42" i="3"/>
  <c r="Q75" i="3"/>
  <c r="AE13" i="2"/>
  <c r="G237" i="1"/>
  <c r="G238" i="1" s="1"/>
  <c r="G59" i="3" s="1"/>
  <c r="G218" i="1"/>
  <c r="I25" i="2" s="1"/>
  <c r="F214" i="1"/>
  <c r="F35" i="3" s="1"/>
  <c r="AC222" i="1"/>
  <c r="AC43" i="3" s="1"/>
  <c r="Z38" i="3"/>
  <c r="I222" i="1"/>
  <c r="I43" i="3" s="1"/>
  <c r="P22" i="3"/>
  <c r="G38" i="3"/>
  <c r="E212" i="1"/>
  <c r="Q38" i="3"/>
  <c r="AA222" i="1"/>
  <c r="AA43" i="3" s="1"/>
  <c r="R75" i="3"/>
  <c r="R237" i="1"/>
  <c r="R58" i="3" s="1"/>
  <c r="H237" i="1"/>
  <c r="H238" i="1" s="1"/>
  <c r="H59" i="3" s="1"/>
  <c r="Q52" i="3"/>
  <c r="S27" i="2"/>
  <c r="R20" i="2"/>
  <c r="Z21" i="3"/>
  <c r="S17" i="2"/>
  <c r="Q36" i="3"/>
  <c r="Q132" i="3" s="1"/>
  <c r="AC246" i="1"/>
  <c r="AC67" i="3" s="1"/>
  <c r="Z56" i="3"/>
  <c r="E251" i="1"/>
  <c r="E74" i="3" s="1"/>
  <c r="S218" i="1"/>
  <c r="U25" i="2" s="1"/>
  <c r="AD233" i="1"/>
  <c r="D214" i="1"/>
  <c r="D35" i="3" s="1"/>
  <c r="AB29" i="3"/>
  <c r="R38" i="3"/>
  <c r="AA48" i="3"/>
  <c r="H36" i="3"/>
  <c r="P25" i="3"/>
  <c r="P16" i="3"/>
  <c r="P111" i="3" s="1"/>
  <c r="Q19" i="3"/>
  <c r="S246" i="1"/>
  <c r="P39" i="3"/>
  <c r="R25" i="2"/>
  <c r="Q25" i="2"/>
  <c r="O39" i="3"/>
  <c r="P27" i="3"/>
  <c r="P146" i="3" s="1"/>
  <c r="P169" i="3" s="1"/>
  <c r="Q21" i="3"/>
  <c r="O34" i="3"/>
  <c r="O35" i="3"/>
  <c r="S18" i="2"/>
  <c r="P52" i="3"/>
  <c r="R17" i="2"/>
  <c r="AF21" i="2"/>
  <c r="S61" i="3"/>
  <c r="S113" i="3" s="1"/>
  <c r="R42" i="3"/>
  <c r="W41" i="3"/>
  <c r="O52" i="3"/>
  <c r="R18" i="2"/>
  <c r="AA36" i="3"/>
  <c r="AA132" i="3" s="1"/>
  <c r="AA134" i="3" s="1"/>
  <c r="AC37" i="3"/>
  <c r="S18" i="3"/>
  <c r="P17" i="3"/>
  <c r="O38" i="3"/>
  <c r="Q18" i="2"/>
  <c r="AD52" i="3"/>
  <c r="AA51" i="3"/>
  <c r="F235" i="1"/>
  <c r="F56" i="3" s="1"/>
  <c r="I251" i="1"/>
  <c r="I74" i="3" s="1"/>
  <c r="O29" i="3"/>
  <c r="O43" i="3"/>
  <c r="AD55" i="3"/>
  <c r="AC52" i="3"/>
  <c r="Z233" i="1"/>
  <c r="AC38" i="3"/>
  <c r="AC36" i="3"/>
  <c r="H251" i="1"/>
  <c r="H74" i="3" s="1"/>
  <c r="O32" i="3"/>
  <c r="AC235" i="1"/>
  <c r="AB52" i="3"/>
  <c r="AC32" i="3"/>
  <c r="S12" i="2"/>
  <c r="G251" i="1"/>
  <c r="G74" i="3" s="1"/>
  <c r="S52" i="3"/>
  <c r="S228" i="1"/>
  <c r="S49" i="3" s="1"/>
  <c r="AA52" i="3"/>
  <c r="F251" i="1"/>
  <c r="F74" i="3" s="1"/>
  <c r="Q74" i="3"/>
  <c r="AC16" i="3"/>
  <c r="AC111" i="3" s="1"/>
  <c r="W47" i="3"/>
  <c r="Q17" i="2"/>
  <c r="R52" i="3"/>
  <c r="AD18" i="2"/>
  <c r="Z52" i="3"/>
  <c r="AD36" i="3"/>
  <c r="AD132" i="3" s="1"/>
  <c r="AD134" i="3" s="1"/>
  <c r="R67" i="3"/>
  <c r="M41" i="3"/>
  <c r="M5" i="3"/>
  <c r="X47" i="3"/>
  <c r="L64" i="3"/>
  <c r="M31" i="3"/>
  <c r="M64" i="3"/>
  <c r="Z75" i="3"/>
  <c r="AD38" i="3"/>
  <c r="AD27" i="2"/>
  <c r="AA67" i="3"/>
  <c r="Z36" i="3"/>
  <c r="Z132" i="3" s="1"/>
  <c r="Z134" i="3" s="1"/>
  <c r="AC249" i="1"/>
  <c r="AC71" i="3" s="1"/>
  <c r="AC72" i="3" s="1"/>
  <c r="AF8" i="2"/>
  <c r="AC33" i="3"/>
  <c r="AC253" i="1"/>
  <c r="AC76" i="3" s="1"/>
  <c r="Z67" i="3"/>
  <c r="AA214" i="1"/>
  <c r="AA35" i="3" s="1"/>
  <c r="AA29" i="3"/>
  <c r="Z251" i="1"/>
  <c r="AB38" i="3"/>
  <c r="AF13" i="2"/>
  <c r="AB74" i="3"/>
  <c r="AD42" i="3"/>
  <c r="AG13" i="2"/>
  <c r="AC42" i="3"/>
  <c r="AB18" i="3"/>
  <c r="AA33" i="3"/>
  <c r="AA24" i="3"/>
  <c r="AB249" i="1"/>
  <c r="AB71" i="3" s="1"/>
  <c r="AB72" i="3" s="1"/>
  <c r="Z24" i="3"/>
  <c r="AD212" i="1"/>
  <c r="AD252" i="1" s="1"/>
  <c r="AB39" i="3"/>
  <c r="AE25" i="2"/>
  <c r="AD25" i="2"/>
  <c r="AA39" i="3"/>
  <c r="AD29" i="3"/>
  <c r="Z23" i="3"/>
  <c r="AD18" i="3"/>
  <c r="AA27" i="3"/>
  <c r="AA146" i="3" s="1"/>
  <c r="AA169" i="3" s="1"/>
  <c r="AA17" i="3"/>
  <c r="AE21" i="2"/>
  <c r="AC14" i="3"/>
  <c r="AG25" i="2"/>
  <c r="AA249" i="1"/>
  <c r="AA71" i="3" s="1"/>
  <c r="AA72" i="3" s="1"/>
  <c r="AE12" i="2"/>
  <c r="S25" i="2"/>
  <c r="Q39" i="3"/>
  <c r="S249" i="1"/>
  <c r="S71" i="3" s="1"/>
  <c r="S72" i="3" s="1"/>
  <c r="S33" i="3"/>
  <c r="P249" i="1"/>
  <c r="P71" i="3" s="1"/>
  <c r="P72" i="3" s="1"/>
  <c r="R8" i="2"/>
  <c r="P33" i="3"/>
  <c r="R9" i="3"/>
  <c r="Q17" i="3"/>
  <c r="R249" i="1"/>
  <c r="R71" i="3" s="1"/>
  <c r="R72" i="3" s="1"/>
  <c r="P222" i="1"/>
  <c r="P43" i="3" s="1"/>
  <c r="S26" i="2"/>
  <c r="Q249" i="1"/>
  <c r="Q71" i="3" s="1"/>
  <c r="Q72" i="3" s="1"/>
  <c r="S14" i="3"/>
  <c r="O74" i="3"/>
  <c r="O67" i="3"/>
  <c r="Q27" i="2"/>
  <c r="O75" i="3"/>
  <c r="O33" i="3"/>
  <c r="O71" i="3"/>
  <c r="O72" i="3" s="1"/>
  <c r="O65" i="3"/>
  <c r="Q28" i="2"/>
  <c r="Z42" i="3"/>
  <c r="AE8" i="2"/>
  <c r="Q8" i="2"/>
  <c r="I218" i="1"/>
  <c r="E222" i="1"/>
  <c r="E43" i="3" s="1"/>
  <c r="D43" i="3"/>
  <c r="H212" i="1"/>
  <c r="H252" i="1" s="1"/>
  <c r="F246" i="1"/>
  <c r="F67" i="3" s="1"/>
  <c r="G212" i="1"/>
  <c r="G252" i="1" s="1"/>
  <c r="E246" i="1"/>
  <c r="E67" i="3" s="1"/>
  <c r="E233" i="1"/>
  <c r="H38" i="3"/>
  <c r="H34" i="3"/>
  <c r="D251" i="1"/>
  <c r="E38" i="3"/>
  <c r="I233" i="1"/>
  <c r="H55" i="3"/>
  <c r="I246" i="1"/>
  <c r="I67" i="3" s="1"/>
  <c r="F237" i="1"/>
  <c r="F58" i="3" s="1"/>
  <c r="H233" i="1"/>
  <c r="G233" i="1"/>
  <c r="G214" i="1"/>
  <c r="G35" i="3" s="1"/>
  <c r="F212" i="1"/>
  <c r="F252" i="1" s="1"/>
  <c r="I36" i="3"/>
  <c r="H56" i="3"/>
  <c r="G56" i="3"/>
  <c r="D33" i="3"/>
  <c r="G24" i="3"/>
  <c r="G19" i="3"/>
  <c r="G92" i="3" s="1"/>
  <c r="E18" i="3"/>
  <c r="I55" i="3"/>
  <c r="G228" i="1"/>
  <c r="I212" i="1"/>
  <c r="I252" i="1" s="1"/>
  <c r="G55" i="3"/>
  <c r="G51" i="3"/>
  <c r="G21" i="3"/>
  <c r="I25" i="3"/>
  <c r="I21" i="3"/>
  <c r="F51" i="3"/>
  <c r="E55" i="3"/>
  <c r="E51" i="3"/>
  <c r="F48" i="3"/>
  <c r="I48" i="3"/>
  <c r="I42" i="3"/>
  <c r="E58" i="3"/>
  <c r="E48" i="3"/>
  <c r="F42" i="3"/>
  <c r="D16" i="3"/>
  <c r="D111" i="3" s="1"/>
  <c r="H48" i="3"/>
  <c r="H42" i="3"/>
  <c r="H19" i="3"/>
  <c r="H92" i="3" s="1"/>
  <c r="AG23" i="2"/>
  <c r="F49" i="3"/>
  <c r="E42" i="3"/>
  <c r="E39" i="3"/>
  <c r="G36" i="3"/>
  <c r="G132" i="3" s="1"/>
  <c r="E17" i="3"/>
  <c r="I56" i="3"/>
  <c r="D249" i="1"/>
  <c r="D71" i="3" s="1"/>
  <c r="D72" i="3" s="1"/>
  <c r="Q23" i="2"/>
  <c r="I38" i="3"/>
  <c r="G222" i="1"/>
  <c r="G43" i="3" s="1"/>
  <c r="E49" i="3"/>
  <c r="F23" i="3"/>
  <c r="D17" i="3"/>
  <c r="AF23" i="2"/>
  <c r="AE26" i="2"/>
  <c r="AE23" i="2"/>
  <c r="AD23" i="2"/>
  <c r="R23" i="2"/>
  <c r="T23" i="2"/>
  <c r="Q26" i="2"/>
  <c r="S23" i="2"/>
  <c r="I237" i="1"/>
  <c r="E235" i="1"/>
  <c r="G12" i="2"/>
  <c r="H12" i="2"/>
  <c r="F12" i="2"/>
  <c r="I12" i="2"/>
  <c r="J12" i="2"/>
  <c r="K12" i="2"/>
  <c r="B1" i="2"/>
  <c r="C1" i="2"/>
  <c r="G5" i="2"/>
  <c r="G16" i="2" s="1"/>
  <c r="H5" i="2"/>
  <c r="H16" i="2" s="1"/>
  <c r="I5" i="2"/>
  <c r="I16" i="2" s="1"/>
  <c r="J5" i="2"/>
  <c r="J16" i="2" s="1"/>
  <c r="K5" i="2"/>
  <c r="K16" i="2" s="1"/>
  <c r="F5" i="2"/>
  <c r="F16" i="2" s="1"/>
  <c r="G6" i="2"/>
  <c r="H6" i="2"/>
  <c r="I6" i="2"/>
  <c r="J6" i="2"/>
  <c r="K6" i="2"/>
  <c r="F6" i="2"/>
  <c r="G13" i="2"/>
  <c r="H13" i="2"/>
  <c r="I13" i="2"/>
  <c r="J13" i="2"/>
  <c r="K13" i="2"/>
  <c r="G21" i="2"/>
  <c r="H21" i="2"/>
  <c r="I21" i="2"/>
  <c r="J21" i="2"/>
  <c r="K21" i="2"/>
  <c r="E33" i="3" l="1"/>
  <c r="E252" i="1"/>
  <c r="Q69" i="3"/>
  <c r="H69" i="3"/>
  <c r="Q124" i="3"/>
  <c r="Q126" i="3" s="1"/>
  <c r="Q86" i="3"/>
  <c r="P124" i="3"/>
  <c r="P126" i="3" s="1"/>
  <c r="AB124" i="3"/>
  <c r="AB126" i="3" s="1"/>
  <c r="H124" i="3"/>
  <c r="H126" i="3" s="1"/>
  <c r="H86" i="3"/>
  <c r="O69" i="3"/>
  <c r="O86" i="3" s="1"/>
  <c r="G69" i="3"/>
  <c r="Z124" i="3"/>
  <c r="Z126" i="3" s="1"/>
  <c r="Z94" i="3"/>
  <c r="AC9" i="2" s="1"/>
  <c r="AA124" i="3"/>
  <c r="AA126" i="3" s="1"/>
  <c r="R124" i="3"/>
  <c r="E124" i="3"/>
  <c r="O124" i="3"/>
  <c r="O126" i="3" s="1"/>
  <c r="D124" i="3"/>
  <c r="I211" i="1"/>
  <c r="I32" i="3" s="1"/>
  <c r="I15" i="3"/>
  <c r="E211" i="1"/>
  <c r="E32" i="3" s="1"/>
  <c r="E15" i="3"/>
  <c r="H211" i="1"/>
  <c r="H32" i="3" s="1"/>
  <c r="H15" i="3"/>
  <c r="I213" i="1"/>
  <c r="I34" i="3" s="1"/>
  <c r="I69" i="3" s="1"/>
  <c r="I20" i="3"/>
  <c r="G211" i="1"/>
  <c r="G32" i="3" s="1"/>
  <c r="G15" i="3"/>
  <c r="F213" i="1"/>
  <c r="F34" i="3" s="1"/>
  <c r="F69" i="3" s="1"/>
  <c r="F20" i="3"/>
  <c r="F39" i="3"/>
  <c r="F211" i="1"/>
  <c r="F32" i="3" s="1"/>
  <c r="F15" i="3"/>
  <c r="AA26" i="3"/>
  <c r="AA244" i="1"/>
  <c r="AD213" i="1"/>
  <c r="AD34" i="3" s="1"/>
  <c r="AD69" i="3" s="1"/>
  <c r="AD86" i="3" s="1"/>
  <c r="AD20" i="3"/>
  <c r="AD211" i="1"/>
  <c r="AD32" i="3" s="1"/>
  <c r="AD15" i="3"/>
  <c r="Z26" i="3"/>
  <c r="Z244" i="1"/>
  <c r="Z245" i="1" s="1"/>
  <c r="Z213" i="1"/>
  <c r="Z34" i="3" s="1"/>
  <c r="Z69" i="3" s="1"/>
  <c r="Z86" i="3" s="1"/>
  <c r="Z20" i="3"/>
  <c r="AB213" i="1"/>
  <c r="AB34" i="3" s="1"/>
  <c r="AB69" i="3" s="1"/>
  <c r="AB86" i="3" s="1"/>
  <c r="AB20" i="3"/>
  <c r="AC26" i="3"/>
  <c r="AC244" i="1"/>
  <c r="AC65" i="3" s="1"/>
  <c r="AC213" i="1"/>
  <c r="AC34" i="3" s="1"/>
  <c r="AC69" i="3" s="1"/>
  <c r="AC86" i="3" s="1"/>
  <c r="AC20" i="3"/>
  <c r="AB26" i="3"/>
  <c r="AB244" i="1"/>
  <c r="AB245" i="1" s="1"/>
  <c r="AB211" i="1"/>
  <c r="AB32" i="3" s="1"/>
  <c r="AB15" i="3"/>
  <c r="AA213" i="1"/>
  <c r="AA34" i="3" s="1"/>
  <c r="AA69" i="3" s="1"/>
  <c r="AA86" i="3" s="1"/>
  <c r="AA20" i="3"/>
  <c r="AD26" i="3"/>
  <c r="AD244" i="1"/>
  <c r="Z232" i="1"/>
  <c r="Z53" i="3" s="1"/>
  <c r="AC19" i="2"/>
  <c r="Z211" i="1"/>
  <c r="Z15" i="3"/>
  <c r="AA211" i="1"/>
  <c r="AA32" i="3" s="1"/>
  <c r="AA15" i="3"/>
  <c r="R26" i="3"/>
  <c r="R244" i="1"/>
  <c r="R245" i="1" s="1"/>
  <c r="Q211" i="1"/>
  <c r="Q32" i="3" s="1"/>
  <c r="Q15" i="3"/>
  <c r="R211" i="1"/>
  <c r="R32" i="3" s="1"/>
  <c r="R15" i="3"/>
  <c r="S67" i="3"/>
  <c r="U27" i="2"/>
  <c r="P211" i="1"/>
  <c r="P32" i="3" s="1"/>
  <c r="P15" i="3"/>
  <c r="P26" i="3"/>
  <c r="P244" i="1"/>
  <c r="R213" i="1"/>
  <c r="R34" i="3" s="1"/>
  <c r="R69" i="3" s="1"/>
  <c r="R86" i="3" s="1"/>
  <c r="R20" i="3"/>
  <c r="Q26" i="3"/>
  <c r="Q244" i="1"/>
  <c r="P213" i="1"/>
  <c r="P34" i="3" s="1"/>
  <c r="P69" i="3" s="1"/>
  <c r="P86" i="3" s="1"/>
  <c r="P20" i="3"/>
  <c r="S26" i="3"/>
  <c r="S244" i="1"/>
  <c r="S213" i="1"/>
  <c r="S34" i="3" s="1"/>
  <c r="S69" i="3" s="1"/>
  <c r="S20" i="3"/>
  <c r="H26" i="3"/>
  <c r="H244" i="1"/>
  <c r="H65" i="3" s="1"/>
  <c r="G26" i="3"/>
  <c r="G244" i="1"/>
  <c r="G65" i="3" s="1"/>
  <c r="F26" i="3"/>
  <c r="F244" i="1"/>
  <c r="F65" i="3" s="1"/>
  <c r="I26" i="3"/>
  <c r="I244" i="1"/>
  <c r="E26" i="3"/>
  <c r="E244" i="1"/>
  <c r="E65" i="3" s="1"/>
  <c r="J170" i="3"/>
  <c r="J172" i="3"/>
  <c r="J175" i="3"/>
  <c r="J174" i="3"/>
  <c r="J173" i="3"/>
  <c r="J171" i="3"/>
  <c r="Z116" i="3"/>
  <c r="Z157" i="3" s="1"/>
  <c r="C171" i="3"/>
  <c r="C175" i="3"/>
  <c r="C170" i="3"/>
  <c r="C174" i="3"/>
  <c r="C172" i="3"/>
  <c r="C173" i="3"/>
  <c r="AD116" i="3"/>
  <c r="AD157" i="3" s="1"/>
  <c r="I90" i="3"/>
  <c r="I104" i="3"/>
  <c r="AB90" i="3"/>
  <c r="AB104" i="3"/>
  <c r="H90" i="3"/>
  <c r="H104" i="3"/>
  <c r="F90" i="3"/>
  <c r="F104" i="3"/>
  <c r="AA90" i="3"/>
  <c r="AA104" i="3"/>
  <c r="AC90" i="3"/>
  <c r="AC104" i="3"/>
  <c r="E90" i="3"/>
  <c r="E104" i="3"/>
  <c r="P114" i="3"/>
  <c r="P122" i="3"/>
  <c r="Q134" i="3"/>
  <c r="S130" i="3"/>
  <c r="F115" i="3"/>
  <c r="F150" i="3"/>
  <c r="P150" i="3"/>
  <c r="AD130" i="3"/>
  <c r="AD125" i="3"/>
  <c r="AD127" i="3" s="1"/>
  <c r="AD166" i="3" s="1"/>
  <c r="O84" i="3"/>
  <c r="O140" i="3"/>
  <c r="O142" i="3" s="1"/>
  <c r="R122" i="3"/>
  <c r="R114" i="3"/>
  <c r="R115" i="3"/>
  <c r="G130" i="3"/>
  <c r="S150" i="3"/>
  <c r="AC122" i="3"/>
  <c r="AC114" i="3"/>
  <c r="AC116" i="3" s="1"/>
  <c r="AC157" i="3" s="1"/>
  <c r="H82" i="3"/>
  <c r="H132" i="3"/>
  <c r="Q142" i="3"/>
  <c r="I150" i="3"/>
  <c r="G114" i="3"/>
  <c r="G116" i="3" s="1"/>
  <c r="E82" i="3"/>
  <c r="E132" i="3"/>
  <c r="D126" i="3"/>
  <c r="F142" i="3"/>
  <c r="O114" i="3"/>
  <c r="O116" i="3" s="1"/>
  <c r="O157" i="3" s="1"/>
  <c r="O122" i="3"/>
  <c r="F82" i="3"/>
  <c r="F132" i="3"/>
  <c r="AA122" i="3"/>
  <c r="AA114" i="3"/>
  <c r="AA116" i="3" s="1"/>
  <c r="AA157" i="3" s="1"/>
  <c r="D142" i="3"/>
  <c r="Q115" i="3"/>
  <c r="AB150" i="3"/>
  <c r="E130" i="3"/>
  <c r="E125" i="3"/>
  <c r="F130" i="3"/>
  <c r="E150" i="3"/>
  <c r="H150" i="3"/>
  <c r="Z150" i="3"/>
  <c r="AA150" i="3"/>
  <c r="E114" i="3"/>
  <c r="E116" i="3" s="1"/>
  <c r="F114" i="3"/>
  <c r="Z130" i="3"/>
  <c r="AA84" i="3"/>
  <c r="AA140" i="3"/>
  <c r="AA142" i="3" s="1"/>
  <c r="P115" i="3"/>
  <c r="D150" i="3"/>
  <c r="G134" i="3"/>
  <c r="D122" i="3"/>
  <c r="D114" i="3"/>
  <c r="D116" i="3" s="1"/>
  <c r="AC150" i="3"/>
  <c r="AC82" i="3"/>
  <c r="AC132" i="3"/>
  <c r="AC134" i="3" s="1"/>
  <c r="AB122" i="3"/>
  <c r="AB114" i="3"/>
  <c r="AB116" i="3" s="1"/>
  <c r="AB157" i="3" s="1"/>
  <c r="S142" i="3"/>
  <c r="H130" i="3"/>
  <c r="I130" i="3"/>
  <c r="I82" i="3"/>
  <c r="I132" i="3"/>
  <c r="E126" i="3"/>
  <c r="S114" i="3"/>
  <c r="S115" i="3"/>
  <c r="AD84" i="3"/>
  <c r="AD140" i="3"/>
  <c r="AC126" i="3"/>
  <c r="R126" i="3"/>
  <c r="Q114" i="3"/>
  <c r="Q122" i="3"/>
  <c r="G150" i="3"/>
  <c r="Q150" i="3"/>
  <c r="R150" i="3"/>
  <c r="AD150" i="3"/>
  <c r="H114" i="3"/>
  <c r="H116" i="3" s="1"/>
  <c r="AD54" i="3"/>
  <c r="AD232" i="1"/>
  <c r="AD53" i="3" s="1"/>
  <c r="I54" i="3"/>
  <c r="I232" i="1"/>
  <c r="I53" i="3" s="1"/>
  <c r="T20" i="2"/>
  <c r="E213" i="1"/>
  <c r="E34" i="3" s="1"/>
  <c r="E69" i="3" s="1"/>
  <c r="E86" i="3" s="1"/>
  <c r="E54" i="3"/>
  <c r="E232" i="1"/>
  <c r="E53" i="3" s="1"/>
  <c r="G54" i="3"/>
  <c r="G232" i="1"/>
  <c r="G53" i="3" s="1"/>
  <c r="D211" i="1"/>
  <c r="D32" i="3" s="1"/>
  <c r="H54" i="3"/>
  <c r="H232" i="1"/>
  <c r="H53" i="3" s="1"/>
  <c r="F54" i="3"/>
  <c r="F232" i="1"/>
  <c r="F53" i="3" s="1"/>
  <c r="D213" i="1"/>
  <c r="D34" i="3" s="1"/>
  <c r="D69" i="3" s="1"/>
  <c r="D86" i="3" s="1"/>
  <c r="E5" i="11" a="1"/>
  <c r="C5" i="11"/>
  <c r="C14" i="11" s="1"/>
  <c r="C8" i="11"/>
  <c r="C17" i="11" s="1"/>
  <c r="C6" i="11"/>
  <c r="C15" i="11" s="1"/>
  <c r="C7" i="11"/>
  <c r="C16" i="11" s="1"/>
  <c r="C9" i="11"/>
  <c r="C18" i="11" s="1"/>
  <c r="C10" i="11"/>
  <c r="E84" i="3"/>
  <c r="H84" i="3"/>
  <c r="P84" i="3"/>
  <c r="Q84" i="3"/>
  <c r="AB1" i="2"/>
  <c r="P1" i="2"/>
  <c r="O1" i="2"/>
  <c r="AA1" i="2"/>
  <c r="D84" i="3"/>
  <c r="Z51" i="3"/>
  <c r="S84" i="3"/>
  <c r="F84" i="3"/>
  <c r="G84" i="3"/>
  <c r="AG57" i="3"/>
  <c r="AG108" i="3" s="1"/>
  <c r="AG239" i="1"/>
  <c r="AG60" i="3" s="1"/>
  <c r="AH239" i="1"/>
  <c r="AH60" i="3" s="1"/>
  <c r="AH57" i="3"/>
  <c r="AH108" i="3" s="1"/>
  <c r="AF239" i="1"/>
  <c r="AF60" i="3" s="1"/>
  <c r="AF57" i="3"/>
  <c r="AF108" i="3" s="1"/>
  <c r="AE57" i="3"/>
  <c r="AE108" i="3" s="1"/>
  <c r="AE239" i="1"/>
  <c r="AE60" i="3" s="1"/>
  <c r="R62" i="3"/>
  <c r="AI57" i="3"/>
  <c r="AI108" i="3" s="1"/>
  <c r="AI239" i="1"/>
  <c r="AI60" i="3" s="1"/>
  <c r="D235" i="1"/>
  <c r="D56" i="3" s="1"/>
  <c r="Q253" i="1"/>
  <c r="Q76" i="3" s="1"/>
  <c r="AD24" i="2"/>
  <c r="D36" i="3"/>
  <c r="D66" i="3"/>
  <c r="AA83" i="3"/>
  <c r="P82" i="3"/>
  <c r="Z82" i="3"/>
  <c r="G81" i="3"/>
  <c r="G83" i="3"/>
  <c r="Q81" i="3"/>
  <c r="Q83" i="3"/>
  <c r="Z81" i="3"/>
  <c r="Z83" i="3"/>
  <c r="AD83" i="3"/>
  <c r="P81" i="3"/>
  <c r="P83" i="3"/>
  <c r="Q82" i="3"/>
  <c r="I81" i="3"/>
  <c r="I83" i="3"/>
  <c r="AA82" i="3"/>
  <c r="E81" i="3"/>
  <c r="E83" i="3"/>
  <c r="F81" i="3"/>
  <c r="F83" i="3"/>
  <c r="AD82" i="3"/>
  <c r="AC81" i="3"/>
  <c r="AC83" i="3"/>
  <c r="H81" i="3"/>
  <c r="H83" i="3"/>
  <c r="G82" i="3"/>
  <c r="AA81" i="3"/>
  <c r="J25" i="2"/>
  <c r="S36" i="3"/>
  <c r="AD17" i="2"/>
  <c r="O36" i="3"/>
  <c r="O132" i="3" s="1"/>
  <c r="O134" i="3" s="1"/>
  <c r="AE24" i="2"/>
  <c r="AG19" i="2"/>
  <c r="R253" i="1"/>
  <c r="R76" i="3" s="1"/>
  <c r="G245" i="1"/>
  <c r="G66" i="3" s="1"/>
  <c r="S48" i="3"/>
  <c r="F245" i="1"/>
  <c r="F66" i="3" s="1"/>
  <c r="Q24" i="2"/>
  <c r="G58" i="3"/>
  <c r="T24" i="2"/>
  <c r="T18" i="2"/>
  <c r="R55" i="3"/>
  <c r="AD237" i="1"/>
  <c r="AD238" i="1" s="1"/>
  <c r="AD59" i="3" s="1"/>
  <c r="R254" i="1"/>
  <c r="R77" i="3" s="1"/>
  <c r="Z55" i="3"/>
  <c r="Z59" i="3"/>
  <c r="AA233" i="1"/>
  <c r="G39" i="3"/>
  <c r="AF27" i="2"/>
  <c r="E245" i="1"/>
  <c r="E66" i="3" s="1"/>
  <c r="R24" i="2"/>
  <c r="R22" i="2"/>
  <c r="S24" i="2"/>
  <c r="Q254" i="1"/>
  <c r="Q77" i="3" s="1"/>
  <c r="AG24" i="2"/>
  <c r="P245" i="1"/>
  <c r="P66" i="3" s="1"/>
  <c r="AF18" i="2"/>
  <c r="AD235" i="1"/>
  <c r="AD56" i="3" s="1"/>
  <c r="AF17" i="2"/>
  <c r="AG18" i="2"/>
  <c r="AD81" i="3"/>
  <c r="E249" i="1"/>
  <c r="E71" i="3" s="1"/>
  <c r="E72" i="3" s="1"/>
  <c r="Q245" i="1"/>
  <c r="Q247" i="1" s="1"/>
  <c r="Q68" i="3" s="1"/>
  <c r="Q87" i="3" s="1"/>
  <c r="R238" i="1"/>
  <c r="R59" i="3" s="1"/>
  <c r="AE17" i="2"/>
  <c r="AF24" i="2"/>
  <c r="AA228" i="1"/>
  <c r="AA49" i="3" s="1"/>
  <c r="H58" i="3"/>
  <c r="S39" i="3"/>
  <c r="H245" i="1"/>
  <c r="H247" i="1" s="1"/>
  <c r="H68" i="3" s="1"/>
  <c r="AD51" i="3"/>
  <c r="Q228" i="1"/>
  <c r="Q49" i="3" s="1"/>
  <c r="Q48" i="3"/>
  <c r="R7" i="2"/>
  <c r="AF22" i="2"/>
  <c r="AC228" i="1"/>
  <c r="AC49" i="3" s="1"/>
  <c r="R235" i="1"/>
  <c r="R56" i="3" s="1"/>
  <c r="AG28" i="2"/>
  <c r="AD65" i="3"/>
  <c r="AB233" i="1"/>
  <c r="AB232" i="1" s="1"/>
  <c r="AB53" i="3" s="1"/>
  <c r="AB51" i="3"/>
  <c r="AA245" i="1"/>
  <c r="AA66" i="3" s="1"/>
  <c r="P233" i="1"/>
  <c r="P232" i="1" s="1"/>
  <c r="P53" i="3" s="1"/>
  <c r="P51" i="3"/>
  <c r="O55" i="3"/>
  <c r="O51" i="3"/>
  <c r="AD245" i="1"/>
  <c r="AA237" i="1"/>
  <c r="AA235" i="1"/>
  <c r="AA55" i="3"/>
  <c r="AD228" i="1"/>
  <c r="AG17" i="2"/>
  <c r="AD48" i="3"/>
  <c r="Q235" i="1"/>
  <c r="Q237" i="1"/>
  <c r="Q55" i="3"/>
  <c r="AB228" i="1"/>
  <c r="AB49" i="3" s="1"/>
  <c r="R48" i="3"/>
  <c r="R228" i="1"/>
  <c r="T17" i="2"/>
  <c r="P237" i="1"/>
  <c r="P235" i="1"/>
  <c r="P55" i="3"/>
  <c r="Z228" i="1"/>
  <c r="Z48" i="3"/>
  <c r="AB235" i="1"/>
  <c r="AB55" i="3"/>
  <c r="AB237" i="1"/>
  <c r="AC237" i="1"/>
  <c r="AC55" i="3"/>
  <c r="AC233" i="1"/>
  <c r="AC232" i="1" s="1"/>
  <c r="AC53" i="3" s="1"/>
  <c r="AC51" i="3"/>
  <c r="AE18" i="2"/>
  <c r="S237" i="1"/>
  <c r="S55" i="3"/>
  <c r="S235" i="1"/>
  <c r="P228" i="1"/>
  <c r="P48" i="3"/>
  <c r="S51" i="3"/>
  <c r="S233" i="1"/>
  <c r="O48" i="3"/>
  <c r="Q233" i="1"/>
  <c r="Q232" i="1" s="1"/>
  <c r="Q53" i="3" s="1"/>
  <c r="Q51" i="3"/>
  <c r="R51" i="3"/>
  <c r="R233" i="1"/>
  <c r="R232" i="1" s="1"/>
  <c r="R53" i="3" s="1"/>
  <c r="I75" i="3"/>
  <c r="I249" i="1"/>
  <c r="I71" i="3" s="1"/>
  <c r="I72" i="3" s="1"/>
  <c r="F249" i="1"/>
  <c r="F71" i="3" s="1"/>
  <c r="F72" i="3" s="1"/>
  <c r="H33" i="3"/>
  <c r="H87" i="3" s="1"/>
  <c r="H249" i="1"/>
  <c r="H71" i="3" s="1"/>
  <c r="H72" i="3" s="1"/>
  <c r="G249" i="1"/>
  <c r="G71" i="3" s="1"/>
  <c r="G72" i="3" s="1"/>
  <c r="AA254" i="1"/>
  <c r="AA77" i="3" s="1"/>
  <c r="AC56" i="3"/>
  <c r="AC254" i="1"/>
  <c r="AC77" i="3" s="1"/>
  <c r="AC75" i="3"/>
  <c r="AG8" i="2"/>
  <c r="AD249" i="1"/>
  <c r="AD71" i="3" s="1"/>
  <c r="AD72" i="3" s="1"/>
  <c r="AD33" i="3"/>
  <c r="AB75" i="3"/>
  <c r="AB253" i="1"/>
  <c r="AB76" i="3" s="1"/>
  <c r="Z253" i="1"/>
  <c r="Z76" i="3" s="1"/>
  <c r="Z74" i="3"/>
  <c r="Z254" i="1"/>
  <c r="Z77" i="3" s="1"/>
  <c r="AA253" i="1"/>
  <c r="AA76" i="3" s="1"/>
  <c r="AB36" i="3"/>
  <c r="AB132" i="3" s="1"/>
  <c r="AB134" i="3" s="1"/>
  <c r="S254" i="1"/>
  <c r="S77" i="3" s="1"/>
  <c r="S75" i="3"/>
  <c r="R36" i="3"/>
  <c r="R132" i="3" s="1"/>
  <c r="P75" i="3"/>
  <c r="P253" i="1"/>
  <c r="P76" i="3" s="1"/>
  <c r="P254" i="1"/>
  <c r="P77" i="3" s="1"/>
  <c r="S253" i="1"/>
  <c r="S76" i="3" s="1"/>
  <c r="O76" i="3"/>
  <c r="O77" i="3"/>
  <c r="O66" i="3"/>
  <c r="O68" i="3"/>
  <c r="O87" i="3" s="1"/>
  <c r="I39" i="3"/>
  <c r="K25" i="2"/>
  <c r="G33" i="3"/>
  <c r="D254" i="1"/>
  <c r="D77" i="3" s="1"/>
  <c r="D74" i="3"/>
  <c r="F238" i="1"/>
  <c r="F59" i="3" s="1"/>
  <c r="F33" i="3"/>
  <c r="G49" i="3"/>
  <c r="D253" i="1"/>
  <c r="D76" i="3" s="1"/>
  <c r="D75" i="3"/>
  <c r="D48" i="3"/>
  <c r="D55" i="3"/>
  <c r="I33" i="3"/>
  <c r="E56" i="3"/>
  <c r="I238" i="1"/>
  <c r="I59" i="3" s="1"/>
  <c r="I58" i="3"/>
  <c r="D51" i="3"/>
  <c r="D233" i="1"/>
  <c r="D232" i="1" s="1"/>
  <c r="AD22" i="2"/>
  <c r="AD7" i="2"/>
  <c r="AG22" i="2"/>
  <c r="AF7" i="2"/>
  <c r="AE22" i="2"/>
  <c r="AE7" i="2"/>
  <c r="S7" i="2"/>
  <c r="S22" i="2"/>
  <c r="Q7" i="2"/>
  <c r="T22" i="2"/>
  <c r="T7" i="2"/>
  <c r="Q22" i="2"/>
  <c r="G24" i="2"/>
  <c r="Z125" i="3" l="1"/>
  <c r="Z127" i="3" s="1"/>
  <c r="Z166" i="3" s="1"/>
  <c r="AF28" i="2"/>
  <c r="AC245" i="1"/>
  <c r="AC247" i="1" s="1"/>
  <c r="AC68" i="3" s="1"/>
  <c r="U19" i="2"/>
  <c r="S232" i="1"/>
  <c r="S53" i="3" s="1"/>
  <c r="Z66" i="3"/>
  <c r="Z247" i="1"/>
  <c r="Z68" i="3" s="1"/>
  <c r="Z87" i="3" s="1"/>
  <c r="I124" i="3"/>
  <c r="I125" i="3" s="1"/>
  <c r="I86" i="3"/>
  <c r="G124" i="3"/>
  <c r="G86" i="3"/>
  <c r="H125" i="3"/>
  <c r="S124" i="3"/>
  <c r="S125" i="3" s="1"/>
  <c r="S86" i="3"/>
  <c r="F124" i="3"/>
  <c r="F86" i="3"/>
  <c r="AG7" i="2"/>
  <c r="AC28" i="2"/>
  <c r="Z65" i="3"/>
  <c r="AC7" i="2"/>
  <c r="Z32" i="3"/>
  <c r="AE28" i="2"/>
  <c r="AB65" i="3"/>
  <c r="AD28" i="2"/>
  <c r="AA65" i="3"/>
  <c r="S28" i="2"/>
  <c r="Q65" i="3"/>
  <c r="U28" i="2"/>
  <c r="S65" i="3"/>
  <c r="S245" i="1"/>
  <c r="P65" i="3"/>
  <c r="R28" i="2"/>
  <c r="R65" i="3"/>
  <c r="T28" i="2"/>
  <c r="I245" i="1"/>
  <c r="I65" i="3"/>
  <c r="E127" i="3"/>
  <c r="F116" i="3"/>
  <c r="E170" i="3" s="1" a="1"/>
  <c r="P116" i="3"/>
  <c r="P157" i="3" s="1"/>
  <c r="R116" i="3"/>
  <c r="R157" i="3" s="1"/>
  <c r="AD90" i="3"/>
  <c r="AD104" i="3"/>
  <c r="H127" i="3"/>
  <c r="O90" i="3"/>
  <c r="O104" i="3"/>
  <c r="R90" i="3"/>
  <c r="R104" i="3"/>
  <c r="Q116" i="3"/>
  <c r="Q157" i="3" s="1"/>
  <c r="P90" i="3"/>
  <c r="P104" i="3"/>
  <c r="D90" i="3"/>
  <c r="D104" i="3"/>
  <c r="I170" i="3" s="1" a="1"/>
  <c r="Z90" i="3"/>
  <c r="Z104" i="3"/>
  <c r="Q90" i="3"/>
  <c r="Q104" i="3"/>
  <c r="S90" i="3"/>
  <c r="S104" i="3"/>
  <c r="Q125" i="3"/>
  <c r="Q127" i="3" s="1"/>
  <c r="Q166" i="3" s="1"/>
  <c r="Q130" i="3"/>
  <c r="I133" i="3"/>
  <c r="I138" i="3"/>
  <c r="I141" i="3" s="1"/>
  <c r="I143" i="3" s="1"/>
  <c r="Z138" i="3"/>
  <c r="Z141" i="3" s="1"/>
  <c r="Z143" i="3" s="1"/>
  <c r="Z160" i="3" s="1"/>
  <c r="Z133" i="3"/>
  <c r="Z135" i="3" s="1"/>
  <c r="AD138" i="3"/>
  <c r="AD141" i="3" s="1"/>
  <c r="AD133" i="3"/>
  <c r="AD135" i="3" s="1"/>
  <c r="G138" i="3"/>
  <c r="G141" i="3" s="1"/>
  <c r="G143" i="3" s="1"/>
  <c r="G133" i="3"/>
  <c r="G135" i="3" s="1"/>
  <c r="G147" i="3" s="1"/>
  <c r="G151" i="3" s="1"/>
  <c r="S116" i="3"/>
  <c r="S157" i="3" s="1"/>
  <c r="E138" i="3"/>
  <c r="E141" i="3" s="1"/>
  <c r="E143" i="3" s="1"/>
  <c r="E133" i="3"/>
  <c r="AA125" i="3"/>
  <c r="AA127" i="3" s="1"/>
  <c r="AA166" i="3" s="1"/>
  <c r="AA130" i="3"/>
  <c r="AC125" i="3"/>
  <c r="AC127" i="3" s="1"/>
  <c r="AC166" i="3" s="1"/>
  <c r="AC130" i="3"/>
  <c r="S138" i="3"/>
  <c r="S141" i="3" s="1"/>
  <c r="S143" i="3" s="1"/>
  <c r="S160" i="3" s="1"/>
  <c r="AB125" i="3"/>
  <c r="AB127" i="3" s="1"/>
  <c r="AB166" i="3" s="1"/>
  <c r="AB130" i="3"/>
  <c r="H133" i="3"/>
  <c r="H138" i="3"/>
  <c r="H141" i="3" s="1"/>
  <c r="H143" i="3" s="1"/>
  <c r="F134" i="3"/>
  <c r="E134" i="3"/>
  <c r="D82" i="3"/>
  <c r="D132" i="3"/>
  <c r="F138" i="3"/>
  <c r="F141" i="3" s="1"/>
  <c r="F143" i="3" s="1"/>
  <c r="F133" i="3"/>
  <c r="G126" i="3"/>
  <c r="S82" i="3"/>
  <c r="S132" i="3"/>
  <c r="R130" i="3"/>
  <c r="R125" i="3"/>
  <c r="R127" i="3" s="1"/>
  <c r="R166" i="3" s="1"/>
  <c r="O125" i="3"/>
  <c r="O127" i="3" s="1"/>
  <c r="O166" i="3" s="1"/>
  <c r="O130" i="3"/>
  <c r="P125" i="3"/>
  <c r="P127" i="3" s="1"/>
  <c r="P166" i="3" s="1"/>
  <c r="P130" i="3"/>
  <c r="S126" i="3"/>
  <c r="S127" i="3" s="1"/>
  <c r="S166" i="3" s="1"/>
  <c r="R134" i="3"/>
  <c r="R84" i="3"/>
  <c r="R140" i="3"/>
  <c r="H134" i="3"/>
  <c r="AD142" i="3"/>
  <c r="I134" i="3"/>
  <c r="D125" i="3"/>
  <c r="D127" i="3" s="1"/>
  <c r="D130" i="3"/>
  <c r="G125" i="3"/>
  <c r="AA54" i="3"/>
  <c r="AA232" i="1"/>
  <c r="AA53" i="3" s="1"/>
  <c r="D54" i="3"/>
  <c r="D53" i="3"/>
  <c r="C19" i="11"/>
  <c r="C11" i="11"/>
  <c r="C20" i="11" s="1"/>
  <c r="E5" i="11"/>
  <c r="E4" i="11" s="1"/>
  <c r="E13" i="11" s="1"/>
  <c r="D13" i="11" s="1"/>
  <c r="E10" i="11"/>
  <c r="E7" i="11"/>
  <c r="E9" i="11"/>
  <c r="E8" i="11"/>
  <c r="E6" i="11"/>
  <c r="AC85" i="3"/>
  <c r="O85" i="3"/>
  <c r="O88" i="3"/>
  <c r="O89" i="3" s="1"/>
  <c r="Q85" i="3"/>
  <c r="Q88" i="3"/>
  <c r="Q89" i="3" s="1"/>
  <c r="D83" i="3"/>
  <c r="H88" i="3"/>
  <c r="D81" i="3"/>
  <c r="H85" i="3"/>
  <c r="R81" i="3"/>
  <c r="R83" i="3"/>
  <c r="O81" i="3"/>
  <c r="O83" i="3"/>
  <c r="O82" i="3"/>
  <c r="AB81" i="3"/>
  <c r="AB83" i="3"/>
  <c r="AB82" i="3"/>
  <c r="S81" i="3"/>
  <c r="S83" i="3"/>
  <c r="R82" i="3"/>
  <c r="D247" i="1"/>
  <c r="D68" i="3" s="1"/>
  <c r="D87" i="3" s="1"/>
  <c r="F247" i="1"/>
  <c r="F68" i="3" s="1"/>
  <c r="F87" i="3" s="1"/>
  <c r="AD58" i="3"/>
  <c r="G247" i="1"/>
  <c r="G68" i="3" s="1"/>
  <c r="G87" i="3" s="1"/>
  <c r="E247" i="1"/>
  <c r="E68" i="3" s="1"/>
  <c r="E87" i="3" s="1"/>
  <c r="Z58" i="3"/>
  <c r="AC66" i="3"/>
  <c r="AD19" i="2"/>
  <c r="P247" i="1"/>
  <c r="P68" i="3" s="1"/>
  <c r="P87" i="3" s="1"/>
  <c r="Q66" i="3"/>
  <c r="E254" i="1"/>
  <c r="E77" i="3" s="1"/>
  <c r="E75" i="3"/>
  <c r="E253" i="1"/>
  <c r="E76" i="3" s="1"/>
  <c r="Z54" i="3"/>
  <c r="AA247" i="1"/>
  <c r="AA68" i="3" s="1"/>
  <c r="AA87" i="3" s="1"/>
  <c r="H66" i="3"/>
  <c r="S238" i="1"/>
  <c r="S59" i="3" s="1"/>
  <c r="S58" i="3"/>
  <c r="AB56" i="3"/>
  <c r="Q56" i="3"/>
  <c r="R54" i="3"/>
  <c r="T19" i="2"/>
  <c r="P54" i="3"/>
  <c r="R19" i="2"/>
  <c r="P49" i="3"/>
  <c r="AC54" i="3"/>
  <c r="AF19" i="2"/>
  <c r="Z49" i="3"/>
  <c r="R49" i="3"/>
  <c r="AD49" i="3"/>
  <c r="O54" i="3"/>
  <c r="Q19" i="2"/>
  <c r="Q54" i="3"/>
  <c r="S19" i="2"/>
  <c r="AC238" i="1"/>
  <c r="AC59" i="3" s="1"/>
  <c r="AC58" i="3"/>
  <c r="P56" i="3"/>
  <c r="AA56" i="3"/>
  <c r="AB54" i="3"/>
  <c r="AE19" i="2"/>
  <c r="S54" i="3"/>
  <c r="S56" i="3"/>
  <c r="AB238" i="1"/>
  <c r="AB59" i="3" s="1"/>
  <c r="AB58" i="3"/>
  <c r="P238" i="1"/>
  <c r="P59" i="3" s="1"/>
  <c r="P58" i="3"/>
  <c r="AA238" i="1"/>
  <c r="AA59" i="3" s="1"/>
  <c r="AA58" i="3"/>
  <c r="O56" i="3"/>
  <c r="O49" i="3"/>
  <c r="Q238" i="1"/>
  <c r="Q59" i="3" s="1"/>
  <c r="Q58" i="3"/>
  <c r="AD66" i="3"/>
  <c r="AD247" i="1"/>
  <c r="AD68" i="3" s="1"/>
  <c r="AD87" i="3" s="1"/>
  <c r="O59" i="3"/>
  <c r="O58" i="3"/>
  <c r="H253" i="1"/>
  <c r="H76" i="3" s="1"/>
  <c r="H254" i="1"/>
  <c r="H77" i="3" s="1"/>
  <c r="G253" i="1"/>
  <c r="G76" i="3" s="1"/>
  <c r="G254" i="1"/>
  <c r="G77" i="3" s="1"/>
  <c r="F253" i="1"/>
  <c r="F76" i="3" s="1"/>
  <c r="F254" i="1"/>
  <c r="F77" i="3" s="1"/>
  <c r="I253" i="1"/>
  <c r="I76" i="3" s="1"/>
  <c r="I254" i="1"/>
  <c r="I77" i="3" s="1"/>
  <c r="AD254" i="1"/>
  <c r="AD77" i="3" s="1"/>
  <c r="AD75" i="3"/>
  <c r="AD253" i="1"/>
  <c r="AD76" i="3" s="1"/>
  <c r="AB247" i="1"/>
  <c r="AB68" i="3" s="1"/>
  <c r="AB87" i="3" s="1"/>
  <c r="AB66" i="3"/>
  <c r="R247" i="1"/>
  <c r="R68" i="3" s="1"/>
  <c r="R87" i="3" s="1"/>
  <c r="R66" i="3"/>
  <c r="G75" i="3"/>
  <c r="H75" i="3"/>
  <c r="F75" i="3"/>
  <c r="D238" i="1"/>
  <c r="D59" i="3" s="1"/>
  <c r="D58" i="3"/>
  <c r="D49" i="3"/>
  <c r="F20" i="2"/>
  <c r="F18" i="2"/>
  <c r="F135" i="3" l="1"/>
  <c r="F147" i="3" s="1"/>
  <c r="F151" i="3" s="1"/>
  <c r="I126" i="3"/>
  <c r="I127" i="3" s="1"/>
  <c r="F125" i="3"/>
  <c r="F126" i="3"/>
  <c r="Z88" i="3"/>
  <c r="Z89" i="3" s="1"/>
  <c r="Z85" i="3"/>
  <c r="S247" i="1"/>
  <c r="S68" i="3" s="1"/>
  <c r="S87" i="3" s="1"/>
  <c r="S66" i="3"/>
  <c r="G127" i="3"/>
  <c r="I66" i="3"/>
  <c r="I247" i="1"/>
  <c r="I68" i="3" s="1"/>
  <c r="I87" i="3" s="1"/>
  <c r="E170" i="3"/>
  <c r="E175" i="3"/>
  <c r="E174" i="3"/>
  <c r="E173" i="3"/>
  <c r="E172" i="3"/>
  <c r="E171" i="3"/>
  <c r="I170" i="3"/>
  <c r="I175" i="3"/>
  <c r="I173" i="3"/>
  <c r="I174" i="3"/>
  <c r="I172" i="3"/>
  <c r="I171" i="3"/>
  <c r="AD147" i="3"/>
  <c r="AD151" i="3" s="1"/>
  <c r="AD163" i="3"/>
  <c r="Z147" i="3"/>
  <c r="Z151" i="3" s="1"/>
  <c r="Z163" i="3"/>
  <c r="I135" i="3"/>
  <c r="I147" i="3" s="1"/>
  <c r="I151" i="3" s="1"/>
  <c r="E135" i="3"/>
  <c r="E147" i="3" s="1"/>
  <c r="E151" i="3" s="1"/>
  <c r="H135" i="3"/>
  <c r="H147" i="3" s="1"/>
  <c r="H151" i="3" s="1"/>
  <c r="AD143" i="3"/>
  <c r="AD160" i="3" s="1"/>
  <c r="AA138" i="3"/>
  <c r="AA141" i="3" s="1"/>
  <c r="AA143" i="3" s="1"/>
  <c r="AA160" i="3" s="1"/>
  <c r="AA133" i="3"/>
  <c r="AA135" i="3" s="1"/>
  <c r="D134" i="3"/>
  <c r="AB138" i="3"/>
  <c r="AB141" i="3" s="1"/>
  <c r="AB143" i="3" s="1"/>
  <c r="AB160" i="3" s="1"/>
  <c r="AB133" i="3"/>
  <c r="AB135" i="3" s="1"/>
  <c r="P133" i="3"/>
  <c r="P135" i="3" s="1"/>
  <c r="P138" i="3"/>
  <c r="P141" i="3" s="1"/>
  <c r="P143" i="3" s="1"/>
  <c r="P160" i="3" s="1"/>
  <c r="R138" i="3"/>
  <c r="R141" i="3" s="1"/>
  <c r="R133" i="3"/>
  <c r="R135" i="3" s="1"/>
  <c r="S134" i="3"/>
  <c r="S133" i="3"/>
  <c r="D138" i="3"/>
  <c r="D141" i="3" s="1"/>
  <c r="D143" i="3" s="1"/>
  <c r="H170" i="3" s="1" a="1"/>
  <c r="D133" i="3"/>
  <c r="R142" i="3"/>
  <c r="Q138" i="3"/>
  <c r="Q141" i="3" s="1"/>
  <c r="Q143" i="3" s="1"/>
  <c r="Q160" i="3" s="1"/>
  <c r="Q133" i="3"/>
  <c r="Q135" i="3" s="1"/>
  <c r="O133" i="3"/>
  <c r="O135" i="3" s="1"/>
  <c r="O138" i="3"/>
  <c r="O141" i="3" s="1"/>
  <c r="O143" i="3" s="1"/>
  <c r="O160" i="3" s="1"/>
  <c r="AC138" i="3"/>
  <c r="AC141" i="3" s="1"/>
  <c r="AC143" i="3" s="1"/>
  <c r="AC160" i="3" s="1"/>
  <c r="AC133" i="3"/>
  <c r="AC135" i="3" s="1"/>
  <c r="E15" i="11"/>
  <c r="D15" i="11" s="1"/>
  <c r="D6" i="11"/>
  <c r="E17" i="11"/>
  <c r="D17" i="11" s="1"/>
  <c r="D8" i="11"/>
  <c r="E18" i="11"/>
  <c r="D18" i="11" s="1"/>
  <c r="D9" i="11"/>
  <c r="E16" i="11"/>
  <c r="D16" i="11" s="1"/>
  <c r="D7" i="11"/>
  <c r="E11" i="11"/>
  <c r="E19" i="11"/>
  <c r="D19" i="11" s="1"/>
  <c r="D10" i="11"/>
  <c r="E14" i="11"/>
  <c r="D14" i="11" s="1"/>
  <c r="D5" i="11"/>
  <c r="AA85" i="3"/>
  <c r="AA88" i="3"/>
  <c r="P85" i="3"/>
  <c r="P88" i="3"/>
  <c r="R85" i="3"/>
  <c r="R88" i="3"/>
  <c r="AD85" i="3"/>
  <c r="AD88" i="3"/>
  <c r="AD89" i="3" s="1"/>
  <c r="AB85" i="3"/>
  <c r="AB88" i="3"/>
  <c r="D88" i="3"/>
  <c r="G85" i="3"/>
  <c r="G88" i="3"/>
  <c r="E88" i="3"/>
  <c r="F85" i="3"/>
  <c r="F88" i="3"/>
  <c r="H89" i="3"/>
  <c r="D85" i="3"/>
  <c r="E85" i="3"/>
  <c r="F24" i="2"/>
  <c r="G7" i="2"/>
  <c r="H7" i="2"/>
  <c r="I7" i="2"/>
  <c r="J7" i="2"/>
  <c r="K7" i="2"/>
  <c r="G8" i="2"/>
  <c r="G22" i="2"/>
  <c r="I22" i="2"/>
  <c r="J22" i="2"/>
  <c r="H24" i="2"/>
  <c r="I24" i="2"/>
  <c r="J24" i="2"/>
  <c r="K24" i="2"/>
  <c r="G27" i="2"/>
  <c r="H27" i="2"/>
  <c r="I27" i="2"/>
  <c r="J27" i="2"/>
  <c r="K27" i="2"/>
  <c r="H28" i="2"/>
  <c r="K28" i="2"/>
  <c r="G26" i="2"/>
  <c r="H26" i="2"/>
  <c r="I26" i="2"/>
  <c r="J26" i="2"/>
  <c r="K26" i="2"/>
  <c r="G11" i="2"/>
  <c r="H11" i="2"/>
  <c r="I11" i="2"/>
  <c r="J11" i="2"/>
  <c r="K11" i="2"/>
  <c r="G20" i="2"/>
  <c r="H20" i="2"/>
  <c r="I20" i="2"/>
  <c r="J20" i="2"/>
  <c r="K20" i="2"/>
  <c r="F127" i="3" l="1"/>
  <c r="F170" i="3" s="1" a="1"/>
  <c r="S85" i="3"/>
  <c r="S88" i="3"/>
  <c r="I85" i="3"/>
  <c r="I88" i="3"/>
  <c r="O147" i="3"/>
  <c r="O151" i="3" s="1"/>
  <c r="O163" i="3"/>
  <c r="R147" i="3"/>
  <c r="R151" i="3" s="1"/>
  <c r="R163" i="3"/>
  <c r="Q147" i="3"/>
  <c r="Q151" i="3" s="1"/>
  <c r="Q163" i="3"/>
  <c r="AA147" i="3"/>
  <c r="AA151" i="3" s="1"/>
  <c r="AA163" i="3"/>
  <c r="R143" i="3"/>
  <c r="R160" i="3" s="1"/>
  <c r="P147" i="3"/>
  <c r="P151" i="3" s="1"/>
  <c r="P163" i="3"/>
  <c r="D135" i="3"/>
  <c r="AB147" i="3"/>
  <c r="AB151" i="3" s="1"/>
  <c r="AB163" i="3"/>
  <c r="AC147" i="3"/>
  <c r="AC151" i="3" s="1"/>
  <c r="AC163" i="3"/>
  <c r="H170" i="3"/>
  <c r="H174" i="3"/>
  <c r="H173" i="3"/>
  <c r="H172" i="3"/>
  <c r="H171" i="3"/>
  <c r="O161" i="3" s="1"/>
  <c r="O162" i="3" s="1"/>
  <c r="H175" i="3"/>
  <c r="AB161" i="3" s="1"/>
  <c r="AB162" i="3" s="1"/>
  <c r="AB178" i="3" s="1"/>
  <c r="S135" i="3"/>
  <c r="D4" i="11"/>
  <c r="E20" i="11"/>
  <c r="D20" i="11" s="1"/>
  <c r="D11" i="11"/>
  <c r="AB89" i="3"/>
  <c r="AA89" i="3"/>
  <c r="R89" i="3"/>
  <c r="P89" i="3"/>
  <c r="E89" i="3"/>
  <c r="G89" i="3"/>
  <c r="F89" i="3"/>
  <c r="D89" i="3"/>
  <c r="K23" i="2"/>
  <c r="I28" i="2"/>
  <c r="K19" i="2"/>
  <c r="K8" i="2"/>
  <c r="J28" i="2"/>
  <c r="J23" i="2"/>
  <c r="J19" i="2"/>
  <c r="K22" i="2"/>
  <c r="J8" i="2"/>
  <c r="H19" i="2"/>
  <c r="H8" i="2"/>
  <c r="I23" i="2"/>
  <c r="G28" i="2"/>
  <c r="I19" i="2"/>
  <c r="I8" i="2"/>
  <c r="H23" i="2"/>
  <c r="G23" i="2"/>
  <c r="G19" i="2"/>
  <c r="H22" i="2"/>
  <c r="J18" i="2"/>
  <c r="H18" i="2"/>
  <c r="G18" i="2"/>
  <c r="K18" i="2"/>
  <c r="I18" i="2"/>
  <c r="F17" i="2"/>
  <c r="F11" i="2"/>
  <c r="F26" i="2"/>
  <c r="F28" i="2"/>
  <c r="F27" i="2"/>
  <c r="F13" i="2"/>
  <c r="F171" i="3" l="1"/>
  <c r="F175" i="3"/>
  <c r="F173" i="3"/>
  <c r="Q167" i="3" s="1"/>
  <c r="Q168" i="3" s="1"/>
  <c r="F170" i="3"/>
  <c r="F174" i="3"/>
  <c r="F172" i="3"/>
  <c r="AF167" i="3" s="1"/>
  <c r="AF168" i="3" s="1"/>
  <c r="AF180" i="3" s="1"/>
  <c r="S89" i="3"/>
  <c r="AD161" i="3"/>
  <c r="AD162" i="3" s="1"/>
  <c r="AD178" i="3" s="1"/>
  <c r="Z161" i="3"/>
  <c r="Z162" i="3" s="1"/>
  <c r="Z178" i="3" s="1"/>
  <c r="I89" i="3"/>
  <c r="S161" i="3"/>
  <c r="S162" i="3" s="1"/>
  <c r="AA161" i="3"/>
  <c r="AA162" i="3" s="1"/>
  <c r="AA178" i="3" s="1"/>
  <c r="AF161" i="3"/>
  <c r="AF162" i="3" s="1"/>
  <c r="AF178" i="3" s="1"/>
  <c r="Q161" i="3"/>
  <c r="Q162" i="3" s="1"/>
  <c r="AI161" i="3"/>
  <c r="AI162" i="3" s="1"/>
  <c r="AI178" i="3" s="1"/>
  <c r="AE161" i="3"/>
  <c r="AE162" i="3" s="1"/>
  <c r="AE178" i="3" s="1"/>
  <c r="AH167" i="3"/>
  <c r="AH168" i="3" s="1"/>
  <c r="AH180" i="3" s="1"/>
  <c r="D147" i="3"/>
  <c r="D151" i="3" s="1"/>
  <c r="G170" i="3" a="1"/>
  <c r="AG161" i="3"/>
  <c r="AG162" i="3" s="1"/>
  <c r="AG178" i="3" s="1"/>
  <c r="AD167" i="3"/>
  <c r="AD168" i="3" s="1"/>
  <c r="AD180" i="3" s="1"/>
  <c r="P161" i="3"/>
  <c r="P162" i="3" s="1"/>
  <c r="AC161" i="3"/>
  <c r="AC162" i="3" s="1"/>
  <c r="AC178" i="3" s="1"/>
  <c r="AH161" i="3"/>
  <c r="AH162" i="3" s="1"/>
  <c r="AH178" i="3" s="1"/>
  <c r="S147" i="3"/>
  <c r="S151" i="3" s="1"/>
  <c r="S163" i="3"/>
  <c r="AA167" i="3"/>
  <c r="AA168" i="3" s="1"/>
  <c r="AA180" i="3" s="1"/>
  <c r="AI167" i="3"/>
  <c r="AI168" i="3" s="1"/>
  <c r="AI180" i="3" s="1"/>
  <c r="AG167" i="3"/>
  <c r="AG168" i="3" s="1"/>
  <c r="AG180" i="3" s="1"/>
  <c r="R161" i="3"/>
  <c r="R162" i="3" s="1"/>
  <c r="O167" i="3"/>
  <c r="O168" i="3" s="1"/>
  <c r="S229" i="1"/>
  <c r="S50" i="3" s="1"/>
  <c r="Q229" i="1"/>
  <c r="Q50" i="3" s="1"/>
  <c r="AD236" i="1"/>
  <c r="AB229" i="1"/>
  <c r="AB50" i="3" s="1"/>
  <c r="AC229" i="1"/>
  <c r="AC50" i="3" s="1"/>
  <c r="R236" i="1"/>
  <c r="AC236" i="1"/>
  <c r="AA229" i="1"/>
  <c r="AA50" i="3" s="1"/>
  <c r="Z229" i="1"/>
  <c r="AA236" i="1"/>
  <c r="O50" i="3"/>
  <c r="AB236" i="1"/>
  <c r="R229" i="1"/>
  <c r="R50" i="3" s="1"/>
  <c r="P229" i="1"/>
  <c r="P50" i="3" s="1"/>
  <c r="Q236" i="1"/>
  <c r="AD229" i="1"/>
  <c r="AD50" i="3" s="1"/>
  <c r="S236" i="1"/>
  <c r="P236" i="1"/>
  <c r="F236" i="1"/>
  <c r="F229" i="1"/>
  <c r="F50" i="3" s="1"/>
  <c r="H229" i="1"/>
  <c r="H50" i="3" s="1"/>
  <c r="H236" i="1"/>
  <c r="G236" i="1"/>
  <c r="I229" i="1"/>
  <c r="I50" i="3" s="1"/>
  <c r="E229" i="1"/>
  <c r="E50" i="3" s="1"/>
  <c r="I236" i="1"/>
  <c r="E236" i="1"/>
  <c r="D236" i="1"/>
  <c r="G229" i="1"/>
  <c r="G50" i="3" s="1"/>
  <c r="D50" i="3"/>
  <c r="F23" i="2"/>
  <c r="F22" i="2"/>
  <c r="K17" i="2"/>
  <c r="H17" i="2"/>
  <c r="J17" i="2"/>
  <c r="I17" i="2"/>
  <c r="G17" i="2"/>
  <c r="F19" i="2"/>
  <c r="S167" i="3" l="1"/>
  <c r="S168" i="3" s="1"/>
  <c r="R167" i="3"/>
  <c r="R168" i="3" s="1"/>
  <c r="AB167" i="3"/>
  <c r="AB168" i="3" s="1"/>
  <c r="AB180" i="3" s="1"/>
  <c r="AC167" i="3"/>
  <c r="AC168" i="3" s="1"/>
  <c r="AC180" i="3" s="1"/>
  <c r="Z167" i="3"/>
  <c r="Z168" i="3" s="1"/>
  <c r="Z180" i="3" s="1"/>
  <c r="P167" i="3"/>
  <c r="P168" i="3" s="1"/>
  <c r="AE167" i="3"/>
  <c r="AE168" i="3" s="1"/>
  <c r="AE180" i="3" s="1"/>
  <c r="G170" i="3"/>
  <c r="G171" i="3"/>
  <c r="G175" i="3"/>
  <c r="G174" i="3"/>
  <c r="G173" i="3"/>
  <c r="G172" i="3"/>
  <c r="D239" i="1"/>
  <c r="D60" i="3" s="1"/>
  <c r="Z50" i="3"/>
  <c r="Z239" i="1"/>
  <c r="Z60" i="3" s="1"/>
  <c r="R239" i="1"/>
  <c r="R60" i="3" s="1"/>
  <c r="R57" i="3"/>
  <c r="R108" i="3" s="1"/>
  <c r="S57" i="3"/>
  <c r="S108" i="3" s="1"/>
  <c r="S239" i="1"/>
  <c r="S60" i="3" s="1"/>
  <c r="AB57" i="3"/>
  <c r="AB108" i="3" s="1"/>
  <c r="AB239" i="1"/>
  <c r="AB60" i="3" s="1"/>
  <c r="Q239" i="1"/>
  <c r="Q60" i="3" s="1"/>
  <c r="Q57" i="3"/>
  <c r="Q108" i="3" s="1"/>
  <c r="AA57" i="3"/>
  <c r="AA108" i="3" s="1"/>
  <c r="AA239" i="1"/>
  <c r="AA60" i="3" s="1"/>
  <c r="AD57" i="3"/>
  <c r="AD108" i="3" s="1"/>
  <c r="AD239" i="1"/>
  <c r="AD60" i="3" s="1"/>
  <c r="O57" i="3"/>
  <c r="O108" i="3" s="1"/>
  <c r="O60" i="3"/>
  <c r="P239" i="1"/>
  <c r="P60" i="3" s="1"/>
  <c r="P57" i="3"/>
  <c r="P108" i="3" s="1"/>
  <c r="AC57" i="3"/>
  <c r="AC108" i="3" s="1"/>
  <c r="AC239" i="1"/>
  <c r="AC60" i="3" s="1"/>
  <c r="Z57" i="3"/>
  <c r="Z108" i="3" s="1"/>
  <c r="I57" i="3"/>
  <c r="I108" i="3" s="1"/>
  <c r="I239" i="1"/>
  <c r="I60" i="3" s="1"/>
  <c r="G239" i="1"/>
  <c r="G60" i="3" s="1"/>
  <c r="G57" i="3"/>
  <c r="G108" i="3" s="1"/>
  <c r="F239" i="1"/>
  <c r="F60" i="3" s="1"/>
  <c r="F57" i="3"/>
  <c r="F108" i="3" s="1"/>
  <c r="D57" i="3"/>
  <c r="D108" i="3" s="1"/>
  <c r="H239" i="1"/>
  <c r="H60" i="3" s="1"/>
  <c r="H57" i="3"/>
  <c r="H108" i="3" s="1"/>
  <c r="E239" i="1"/>
  <c r="E60" i="3" s="1"/>
  <c r="E57" i="3"/>
  <c r="E108" i="3" s="1"/>
  <c r="F8" i="2"/>
  <c r="F21" i="2"/>
  <c r="AI170" i="3" l="1"/>
  <c r="AI171" i="3" s="1"/>
  <c r="AI181" i="3" s="1"/>
  <c r="AH170" i="3"/>
  <c r="AH171" i="3" s="1"/>
  <c r="AH181" i="3" s="1"/>
  <c r="AG170" i="3"/>
  <c r="AG171" i="3" s="1"/>
  <c r="AG181" i="3" s="1"/>
  <c r="AE170" i="3"/>
  <c r="AE171" i="3" s="1"/>
  <c r="AE181" i="3" s="1"/>
  <c r="AF170" i="3"/>
  <c r="AF171" i="3" s="1"/>
  <c r="AF181" i="3" s="1"/>
  <c r="Z170" i="3"/>
  <c r="Z171" i="3" s="1"/>
  <c r="Z181" i="3" s="1"/>
  <c r="R164" i="3"/>
  <c r="R165" i="3" s="1"/>
  <c r="AD170" i="3"/>
  <c r="AD171" i="3" s="1"/>
  <c r="AD181" i="3" s="1"/>
  <c r="AH164" i="3"/>
  <c r="AH165" i="3" s="1"/>
  <c r="AH179" i="3" s="1"/>
  <c r="S164" i="3"/>
  <c r="S165" i="3" s="1"/>
  <c r="P170" i="3"/>
  <c r="P171" i="3" s="1"/>
  <c r="AB170" i="3"/>
  <c r="AB171" i="3" s="1"/>
  <c r="AB181" i="3" s="1"/>
  <c r="Z164" i="3"/>
  <c r="Z165" i="3" s="1"/>
  <c r="Z179" i="3" s="1"/>
  <c r="AC170" i="3"/>
  <c r="AC171" i="3" s="1"/>
  <c r="AC181" i="3" s="1"/>
  <c r="O170" i="3"/>
  <c r="O171" i="3" s="1"/>
  <c r="Q164" i="3"/>
  <c r="Q165" i="3" s="1"/>
  <c r="AG164" i="3"/>
  <c r="AG165" i="3" s="1"/>
  <c r="AG179" i="3" s="1"/>
  <c r="AI164" i="3"/>
  <c r="AI165" i="3" s="1"/>
  <c r="AI179" i="3" s="1"/>
  <c r="Q170" i="3"/>
  <c r="Q171" i="3" s="1"/>
  <c r="AA164" i="3"/>
  <c r="AA165" i="3" s="1"/>
  <c r="AA179" i="3" s="1"/>
  <c r="AA170" i="3"/>
  <c r="AA171" i="3" s="1"/>
  <c r="AA181" i="3" s="1"/>
  <c r="AF164" i="3"/>
  <c r="AF165" i="3" s="1"/>
  <c r="AF179" i="3" s="1"/>
  <c r="AB164" i="3"/>
  <c r="AB165" i="3" s="1"/>
  <c r="AB179" i="3" s="1"/>
  <c r="R170" i="3"/>
  <c r="R171" i="3" s="1"/>
  <c r="S170" i="3"/>
  <c r="S171" i="3" s="1"/>
  <c r="D170" i="3" a="1"/>
  <c r="AD164" i="3"/>
  <c r="AD165" i="3" s="1"/>
  <c r="AD179" i="3" s="1"/>
  <c r="AC164" i="3"/>
  <c r="AC165" i="3" s="1"/>
  <c r="AC179" i="3" s="1"/>
  <c r="P164" i="3"/>
  <c r="P165" i="3" s="1"/>
  <c r="O164" i="3"/>
  <c r="O165" i="3" s="1"/>
  <c r="AE164" i="3"/>
  <c r="AE165" i="3" s="1"/>
  <c r="AE179" i="3" s="1"/>
  <c r="F7" i="2"/>
  <c r="D171" i="3" l="1"/>
  <c r="D175" i="3"/>
  <c r="D174" i="3"/>
  <c r="D170" i="3"/>
  <c r="D173" i="3"/>
  <c r="D172" i="3"/>
  <c r="AE158" i="3" l="1"/>
  <c r="AE159" i="3" s="1"/>
  <c r="AE177" i="3" s="1"/>
  <c r="AH158" i="3"/>
  <c r="AH159" i="3" s="1"/>
  <c r="AH177" i="3" s="1"/>
  <c r="AI158" i="3"/>
  <c r="AI159" i="3" s="1"/>
  <c r="AI177" i="3" s="1"/>
  <c r="AG158" i="3"/>
  <c r="AG159" i="3" s="1"/>
  <c r="AG177" i="3" s="1"/>
  <c r="AF158" i="3"/>
  <c r="AF159" i="3" s="1"/>
  <c r="AF177" i="3" s="1"/>
  <c r="Q158" i="3"/>
  <c r="Q159" i="3" s="1"/>
  <c r="O158" i="3"/>
  <c r="O159" i="3" s="1"/>
  <c r="P158" i="3"/>
  <c r="P159" i="3" s="1"/>
  <c r="AB158" i="3"/>
  <c r="AB159" i="3" s="1"/>
  <c r="AB177" i="3" s="1"/>
  <c r="Z158" i="3"/>
  <c r="Z159" i="3" s="1"/>
  <c r="Z177" i="3" s="1"/>
  <c r="AC158" i="3"/>
  <c r="AC159" i="3" s="1"/>
  <c r="AC177" i="3" s="1"/>
  <c r="R158" i="3"/>
  <c r="R159" i="3" s="1"/>
  <c r="AD158" i="3"/>
  <c r="AD159" i="3" s="1"/>
  <c r="AD177" i="3" s="1"/>
  <c r="AA158" i="3"/>
  <c r="AA159" i="3" s="1"/>
  <c r="AA177" i="3" s="1"/>
  <c r="S158" i="3"/>
  <c r="S159" i="3" s="1"/>
</calcChain>
</file>

<file path=xl/sharedStrings.xml><?xml version="1.0" encoding="utf-8"?>
<sst xmlns="http://schemas.openxmlformats.org/spreadsheetml/2006/main" count="713" uniqueCount="269">
  <si>
    <t>MCR Power</t>
  </si>
  <si>
    <t>MCR Speed</t>
  </si>
  <si>
    <t>No of cylinders</t>
  </si>
  <si>
    <t>Cylinder Constant</t>
  </si>
  <si>
    <t>Dynamometer constant</t>
  </si>
  <si>
    <t>DATE</t>
  </si>
  <si>
    <t>Load</t>
  </si>
  <si>
    <t>Engine Speed</t>
  </si>
  <si>
    <t>General Data</t>
  </si>
  <si>
    <t>Water Brake</t>
  </si>
  <si>
    <t>Brake Power</t>
  </si>
  <si>
    <t>Indicated Power</t>
  </si>
  <si>
    <t>Mechanical Efficiency</t>
  </si>
  <si>
    <t>bhp</t>
  </si>
  <si>
    <t>rpm</t>
  </si>
  <si>
    <t>-</t>
  </si>
  <si>
    <t>mm</t>
  </si>
  <si>
    <r>
      <t>kg/cm</t>
    </r>
    <r>
      <rPr>
        <vertAlign val="superscript"/>
        <sz val="11"/>
        <color theme="1"/>
        <rFont val="Calibri"/>
        <family val="2"/>
        <scheme val="minor"/>
      </rPr>
      <t>2</t>
    </r>
  </si>
  <si>
    <t>Cylinder</t>
  </si>
  <si>
    <t>Pmax</t>
  </si>
  <si>
    <t>bar</t>
  </si>
  <si>
    <t>Pcomp</t>
  </si>
  <si>
    <t>IMEP</t>
  </si>
  <si>
    <t>Fuel Pump Index</t>
  </si>
  <si>
    <t>VIT index</t>
  </si>
  <si>
    <t>Exhaust Gas Outlet</t>
  </si>
  <si>
    <t>°C</t>
  </si>
  <si>
    <t>Cooling Water Outlet</t>
  </si>
  <si>
    <t>CAM Lub Oil Outlet</t>
  </si>
  <si>
    <t>Piston Cooling Oil Outlet</t>
  </si>
  <si>
    <t>Air Cooler</t>
  </si>
  <si>
    <t>mmHg</t>
  </si>
  <si>
    <t>Scavenge - Exhaust</t>
  </si>
  <si>
    <t xml:space="preserve">Scavenge Pressure </t>
  </si>
  <si>
    <t xml:space="preserve">Scavenge Temperature </t>
  </si>
  <si>
    <t xml:space="preserve">Exhaust Pressure </t>
  </si>
  <si>
    <t>Specific Fuel Consumption</t>
  </si>
  <si>
    <t>Fuel Consumption</t>
  </si>
  <si>
    <t>kg/h</t>
  </si>
  <si>
    <t>bsfc</t>
  </si>
  <si>
    <t>g/bhph</t>
  </si>
  <si>
    <t>bsfc corrected</t>
  </si>
  <si>
    <t>Turbocharger</t>
  </si>
  <si>
    <t xml:space="preserve">Speed </t>
  </si>
  <si>
    <t>Blower Inlet Temperature</t>
  </si>
  <si>
    <t>Air Filter Pressure Drop</t>
  </si>
  <si>
    <t>mmW</t>
  </si>
  <si>
    <t>Temperature Before Turbine</t>
  </si>
  <si>
    <t>Temperature After Turbine</t>
  </si>
  <si>
    <t>AC Pressure Drop</t>
  </si>
  <si>
    <t>Air Outlet Temperature</t>
  </si>
  <si>
    <t>Air Inlet Temperature</t>
  </si>
  <si>
    <t>Sea Water In Temperature</t>
  </si>
  <si>
    <t>Sea Water Out Temperature</t>
  </si>
  <si>
    <t>Inlet  F.O. Pressure</t>
  </si>
  <si>
    <t>Inlet F.O. Temperature</t>
  </si>
  <si>
    <t>Piston Cooling Oil Pressure</t>
  </si>
  <si>
    <t>bhp x rpm</t>
  </si>
  <si>
    <t>RESULTS</t>
  </si>
  <si>
    <t>P Inlet Fixed Fluid</t>
  </si>
  <si>
    <t>T Inlet Fixed Fluid</t>
  </si>
  <si>
    <t>P scavenge receiver</t>
  </si>
  <si>
    <t>P Exhaust Fixed Fluid</t>
  </si>
  <si>
    <t>T Exhaust Fixed Fluid</t>
  </si>
  <si>
    <t>T scavenge receiver</t>
  </si>
  <si>
    <t>P Exhaust receiver</t>
  </si>
  <si>
    <t>T Exhaust receiver</t>
  </si>
  <si>
    <t>Cylinder Data</t>
  </si>
  <si>
    <t>WFCY</t>
  </si>
  <si>
    <t>kg/cycle</t>
  </si>
  <si>
    <t xml:space="preserve">System / Fuel </t>
  </si>
  <si>
    <t>Fuel LHV</t>
  </si>
  <si>
    <t>kcal/kg</t>
  </si>
  <si>
    <t>Fuel Specific Gravity (@15°C)</t>
  </si>
  <si>
    <t>cst</t>
  </si>
  <si>
    <t>WFCY corrected</t>
  </si>
  <si>
    <t>K</t>
  </si>
  <si>
    <t>Diameter of cylinder (Bore)</t>
  </si>
  <si>
    <t>Stroke</t>
  </si>
  <si>
    <t>Turbocharger Data</t>
  </si>
  <si>
    <t>Fixed Fluid Data</t>
  </si>
  <si>
    <t>Performance Data</t>
  </si>
  <si>
    <t>kW</t>
  </si>
  <si>
    <t>Brake Power/cylinder</t>
  </si>
  <si>
    <t>BMEP</t>
  </si>
  <si>
    <t>Indicated Power/cylinder</t>
  </si>
  <si>
    <t>FMEP</t>
  </si>
  <si>
    <t>g/kWh</t>
  </si>
  <si>
    <t>isfc</t>
  </si>
  <si>
    <t>Isfc corrected</t>
  </si>
  <si>
    <t>E/R Temperature</t>
  </si>
  <si>
    <t>Ambient Pressure</t>
  </si>
  <si>
    <t>mbar</t>
  </si>
  <si>
    <t>Turbine outlet Temperature</t>
  </si>
  <si>
    <t>Scavenge pressure (gauge)</t>
  </si>
  <si>
    <t xml:space="preserve">Exhaust Backpressure </t>
  </si>
  <si>
    <t>Exhaust rec. Pressure (gauge)</t>
  </si>
  <si>
    <t>Heating Value</t>
  </si>
  <si>
    <t>kJ/kg</t>
  </si>
  <si>
    <t>ps to kW</t>
  </si>
  <si>
    <t>bhp to kW</t>
  </si>
  <si>
    <t>Saction volume/cylinder</t>
  </si>
  <si>
    <t>bsfc corrected (recorded)</t>
  </si>
  <si>
    <t>Compressor Delivery Temp</t>
  </si>
  <si>
    <t xml:space="preserve">Air Cooler Air Inlet </t>
  </si>
  <si>
    <t>Compressor Pressure Ratio (π)</t>
  </si>
  <si>
    <t>Compressor Outlet Pressure</t>
  </si>
  <si>
    <t>Air Cooler Pressure Drop</t>
  </si>
  <si>
    <t>TC speed corrected</t>
  </si>
  <si>
    <t>TC Speed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</si>
  <si>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</si>
  <si>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Corrected flow rate - map</t>
  </si>
  <si>
    <t>Actual volumetric rate</t>
  </si>
  <si>
    <t>Air Density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</si>
  <si>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</si>
  <si>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Compressor Flow Rate</t>
  </si>
  <si>
    <t>kg/s</t>
  </si>
  <si>
    <t>No of TC's</t>
  </si>
  <si>
    <t>Actual Flow Rate/cylinder</t>
  </si>
  <si>
    <t>Air Cooler CW Inlet Temp.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</si>
  <si>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</si>
  <si>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Pressure After Turbine</t>
  </si>
  <si>
    <t>(bar&amp;bhp)</t>
  </si>
  <si>
    <t>Mitsubishi MET-66-SE</t>
  </si>
  <si>
    <t>Humidity</t>
  </si>
  <si>
    <r>
      <t>kg/cm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to bar</t>
    </r>
  </si>
  <si>
    <t>FPI</t>
  </si>
  <si>
    <t>VIT</t>
  </si>
  <si>
    <t>A/C cool. water Inlet Temp</t>
  </si>
  <si>
    <t>Inlet FF Pressure</t>
  </si>
  <si>
    <t>Inlet FF Temperature</t>
  </si>
  <si>
    <t>Cooling Water Temperature</t>
  </si>
  <si>
    <t>Crank Shaft</t>
  </si>
  <si>
    <t>Inlet Fixed Fluid</t>
  </si>
  <si>
    <t>Extra Control Parameters (Simulation Data)</t>
  </si>
  <si>
    <t>ECP 02</t>
  </si>
  <si>
    <t>ECP 03</t>
  </si>
  <si>
    <t>ECP 07</t>
  </si>
  <si>
    <t>ECP 08</t>
  </si>
  <si>
    <t>ECP 09</t>
  </si>
  <si>
    <t>INPUT</t>
  </si>
  <si>
    <t>DP Air Cooler</t>
  </si>
  <si>
    <t>Pscav</t>
  </si>
  <si>
    <t>Tscav</t>
  </si>
  <si>
    <t>Pexh</t>
  </si>
  <si>
    <t>T_turb_IN</t>
  </si>
  <si>
    <t xml:space="preserve">Brake power </t>
  </si>
  <si>
    <t>TC speed</t>
  </si>
  <si>
    <t>Pressure drop Cooler</t>
  </si>
  <si>
    <t>Air temperature before cooler</t>
  </si>
  <si>
    <t>Temperature Turbine inlet</t>
  </si>
  <si>
    <t xml:space="preserve">Pressure Exhaust receiver </t>
  </si>
  <si>
    <t>Temperature scavenge receiver</t>
  </si>
  <si>
    <t>Pressure scavenge receiver</t>
  </si>
  <si>
    <t>BSFC corrected</t>
  </si>
  <si>
    <t>Shaft</t>
  </si>
  <si>
    <t>Indicated</t>
  </si>
  <si>
    <t>T_inl_cooler</t>
  </si>
  <si>
    <t>Turbine inlet Temperature</t>
  </si>
  <si>
    <t xml:space="preserve">Air Cooler Pressure Drop </t>
  </si>
  <si>
    <t>mmHg to bar</t>
  </si>
  <si>
    <t>mmW to bar</t>
  </si>
  <si>
    <t>Used Power Corr.</t>
  </si>
  <si>
    <t>SHOP TESTS</t>
  </si>
  <si>
    <t>SEA TRIALS</t>
  </si>
  <si>
    <t>OPERATION</t>
  </si>
  <si>
    <t>Reference Temp</t>
  </si>
  <si>
    <t>EXTRA</t>
  </si>
  <si>
    <t>Pcomp/Pscav</t>
  </si>
  <si>
    <t>MAN 6s70mcc7</t>
  </si>
  <si>
    <t>TC speed/Pscav</t>
  </si>
  <si>
    <t>Pscav - Pexh</t>
  </si>
  <si>
    <t>kcal to Kj</t>
  </si>
  <si>
    <t>rps</t>
  </si>
  <si>
    <t xml:space="preserve">γAIR = </t>
  </si>
  <si>
    <t>(γ-1)/γAIR</t>
  </si>
  <si>
    <t>γG =</t>
  </si>
  <si>
    <t>(γ-1)/γG</t>
  </si>
  <si>
    <t>T_compressor_out_IS</t>
  </si>
  <si>
    <t>T_turbine_inlet_IS</t>
  </si>
  <si>
    <t>Turbine Pressure Ratio (π)</t>
  </si>
  <si>
    <t>T_turbine_out_IS</t>
  </si>
  <si>
    <t>ηIS_TC</t>
  </si>
  <si>
    <t>ηIS_turb</t>
  </si>
  <si>
    <t>ηIS_comp</t>
  </si>
  <si>
    <t>Compressor impeller tip Diam.</t>
  </si>
  <si>
    <t>m</t>
  </si>
  <si>
    <t>Compressor slip factor μ</t>
  </si>
  <si>
    <t>ton</t>
  </si>
  <si>
    <t>Endurance</t>
  </si>
  <si>
    <t>leg. 1</t>
  </si>
  <si>
    <t>leg. 2</t>
  </si>
  <si>
    <t xml:space="preserve">Pmax - Pcomp </t>
  </si>
  <si>
    <t>Governor index</t>
  </si>
  <si>
    <t>Pmax control</t>
  </si>
  <si>
    <t>(bar)</t>
  </si>
  <si>
    <t>Piston Cooling Oil Inlet Temp.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</si>
  <si>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</si>
  <si>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</si>
  <si>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</si>
  <si>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</si>
  <si>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</si>
  <si>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</si>
  <si>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</si>
  <si>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</si>
  <si>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</si>
  <si>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</si>
  <si>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Fuel Viscosity (@50°C)</t>
  </si>
  <si>
    <t>Exhaust Fixed Fluid</t>
  </si>
  <si>
    <t>FPI factor 1 (fuel LHV)</t>
  </si>
  <si>
    <t>FPI factor 2 (fuel density)</t>
  </si>
  <si>
    <t>FPI new</t>
  </si>
  <si>
    <t>Torque</t>
  </si>
  <si>
    <t>kNm</t>
  </si>
  <si>
    <t>Compressor Map</t>
  </si>
  <si>
    <t>ps</t>
  </si>
  <si>
    <t>kg/cm2</t>
  </si>
  <si>
    <t>atm</t>
  </si>
  <si>
    <t>Power</t>
  </si>
  <si>
    <t>Sc press.</t>
  </si>
  <si>
    <t>press drop</t>
  </si>
  <si>
    <t>g/psh</t>
  </si>
  <si>
    <t>atm to bar</t>
  </si>
  <si>
    <t>Speed</t>
  </si>
  <si>
    <t>Pressure Ratio</t>
  </si>
  <si>
    <t>Air Flow</t>
  </si>
  <si>
    <t xml:space="preserve">Points per speed curve </t>
  </si>
  <si>
    <t>LHV</t>
  </si>
  <si>
    <t xml:space="preserve">Ambient Pressure </t>
  </si>
  <si>
    <t>CCAI</t>
  </si>
  <si>
    <t>DCCAI</t>
  </si>
  <si>
    <t>DIGN_delay (ms)</t>
  </si>
  <si>
    <t>DIGN_delay (deg CA)</t>
  </si>
  <si>
    <t>D_VIT</t>
  </si>
  <si>
    <t>VIT new</t>
  </si>
  <si>
    <t>bsfc corrected (LHV)</t>
  </si>
  <si>
    <t>bsfc corrected (ISO)</t>
  </si>
  <si>
    <t>1. Mean draught</t>
  </si>
  <si>
    <t>2. Average Pmax_corr.</t>
  </si>
  <si>
    <t>correction 1</t>
  </si>
  <si>
    <t>correction 2</t>
  </si>
  <si>
    <t>Pmax corr.</t>
  </si>
  <si>
    <t>3. FPI</t>
  </si>
  <si>
    <t>CORRECTION to ISO CONDITIONS</t>
  </si>
  <si>
    <t>4. Avg Texh_corr</t>
  </si>
  <si>
    <t>T Exhaust corr.</t>
  </si>
  <si>
    <t>5. Avg Pscav_corr</t>
  </si>
  <si>
    <t>6. Avg Pcomp_corr</t>
  </si>
  <si>
    <t>P scavenge corr.</t>
  </si>
  <si>
    <t>Pcomp corr.</t>
  </si>
  <si>
    <t>7. TC speed</t>
  </si>
  <si>
    <t>8. AF_pressure drop</t>
  </si>
  <si>
    <t>Brake Power (bhp)</t>
  </si>
  <si>
    <t>SHOP</t>
  </si>
  <si>
    <t>Operation</t>
  </si>
  <si>
    <t>Dev.</t>
  </si>
  <si>
    <t>FORECAST(NewX;OFFSET(KnownY;MATCH(NewX;KnownX;1)-1;0;2);OFFSET(KnownX;MATCH(NewX;KnownX;1)-1;0;2))</t>
  </si>
  <si>
    <t>JAN</t>
  </si>
  <si>
    <t>Piston Cooling Oil Temperature</t>
  </si>
  <si>
    <t>OCT</t>
  </si>
  <si>
    <t>CAP GUILLAUME</t>
  </si>
  <si>
    <t>viscosity</t>
  </si>
  <si>
    <t>Fuel Viscosity (@40°C)</t>
  </si>
  <si>
    <t xml:space="preserve">Minimum Engine Revolutions </t>
  </si>
  <si>
    <t>Maximum TC speed</t>
  </si>
  <si>
    <t>TC Max rpm</t>
  </si>
  <si>
    <t>load</t>
  </si>
  <si>
    <t>torque</t>
  </si>
  <si>
    <t>OUTPUT to Screen Observed vs Expected)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</si>
</sst>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%"/>
    <numFmt numFmtId="165" formatCode="0.0"/>
    <numFmt numFmtId="166" formatCode="0.0000"/>
    <numFmt numFmtId="167" formatCode="0.000"/>
    <numFmt numFmtId="168" formatCode="dd/mm/yy;@"/>
    <numFmt numFmtId="169" formatCode="0.00000"/>
    <numFmt numFmtId="170" formatCode="0.0000000000"/>
    <numFmt numFmtId="171" formatCode="0.000000"/>
    <numFmt numFmtId="172" formatCode="0.000000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gency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9" fillId="10" borderId="0" applyNumberFormat="0" applyBorder="0" applyAlignment="0" applyProtection="0"/>
  </cellStyleXfs>
  <cellXfs count="128">
    <xf numFmtId="0" fontId="0" fillId="0" borderId="0" xfId="0"/>
    <xf numFmtId="0" fontId="2" fillId="2" borderId="0" xfId="0" applyFont="1" applyFill="1"/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10" fontId="0" fillId="0" borderId="0" xfId="1" applyNumberFormat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/>
    <xf numFmtId="165" fontId="0" fillId="0" borderId="0" xfId="0" applyNumberFormat="1"/>
    <xf numFmtId="0" fontId="0" fillId="0" borderId="0" xfId="0" applyFont="1"/>
    <xf numFmtId="0" fontId="5" fillId="0" borderId="1" xfId="2" applyFont="1" applyBorder="1"/>
    <xf numFmtId="0" fontId="0" fillId="0" borderId="0" xfId="0" applyFill="1" applyBorder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 applyAlignment="1">
      <alignment horizontal="right"/>
    </xf>
    <xf numFmtId="0" fontId="6" fillId="0" borderId="0" xfId="0" applyFont="1"/>
    <xf numFmtId="164" fontId="0" fillId="0" borderId="0" xfId="0" applyNumberFormat="1" applyFont="1"/>
    <xf numFmtId="168" fontId="0" fillId="0" borderId="0" xfId="0" applyNumberFormat="1" applyFont="1"/>
    <xf numFmtId="0" fontId="6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69" fontId="0" fillId="3" borderId="0" xfId="0" applyNumberFormat="1" applyFill="1" applyAlignment="1">
      <alignment horizontal="right"/>
    </xf>
    <xf numFmtId="0" fontId="0" fillId="0" borderId="0" xfId="0" applyAlignment="1">
      <alignment wrapText="1"/>
    </xf>
    <xf numFmtId="2" fontId="0" fillId="0" borderId="0" xfId="0" applyNumberFormat="1" applyFont="1"/>
    <xf numFmtId="0" fontId="7" fillId="2" borderId="0" xfId="0" applyFont="1" applyFill="1"/>
    <xf numFmtId="0" fontId="7" fillId="0" borderId="0" xfId="0" applyFont="1"/>
    <xf numFmtId="170" fontId="0" fillId="6" borderId="2" xfId="0" applyNumberFormat="1" applyFill="1" applyBorder="1"/>
    <xf numFmtId="170" fontId="0" fillId="5" borderId="2" xfId="0" applyNumberFormat="1" applyFill="1" applyBorder="1"/>
    <xf numFmtId="1" fontId="7" fillId="0" borderId="0" xfId="0" applyNumberFormat="1" applyFont="1" applyAlignment="1">
      <alignment horizontal="left"/>
    </xf>
    <xf numFmtId="0" fontId="7" fillId="7" borderId="0" xfId="0" applyFont="1" applyFill="1"/>
    <xf numFmtId="1" fontId="0" fillId="6" borderId="2" xfId="0" applyNumberFormat="1" applyFill="1" applyBorder="1"/>
    <xf numFmtId="0" fontId="0" fillId="6" borderId="2" xfId="0" applyFill="1" applyBorder="1"/>
    <xf numFmtId="0" fontId="6" fillId="7" borderId="0" xfId="0" applyFont="1" applyFill="1"/>
    <xf numFmtId="0" fontId="6" fillId="8" borderId="0" xfId="0" applyFont="1" applyFill="1"/>
    <xf numFmtId="2" fontId="0" fillId="0" borderId="0" xfId="0" applyNumberFormat="1" applyAlignment="1">
      <alignment horizontal="left"/>
    </xf>
    <xf numFmtId="2" fontId="0" fillId="4" borderId="0" xfId="0" applyNumberFormat="1" applyFill="1"/>
    <xf numFmtId="0" fontId="0" fillId="0" borderId="0" xfId="0" applyFill="1"/>
    <xf numFmtId="1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left"/>
    </xf>
    <xf numFmtId="170" fontId="0" fillId="0" borderId="0" xfId="0" applyNumberFormat="1" applyFill="1" applyBorder="1"/>
    <xf numFmtId="2" fontId="0" fillId="0" borderId="0" xfId="0" applyNumberFormat="1" applyFill="1" applyAlignment="1">
      <alignment horizontal="right"/>
    </xf>
    <xf numFmtId="171" fontId="0" fillId="0" borderId="0" xfId="0" applyNumberFormat="1"/>
    <xf numFmtId="10" fontId="0" fillId="0" borderId="0" xfId="0" applyNumberFormat="1"/>
    <xf numFmtId="1" fontId="6" fillId="0" borderId="0" xfId="0" applyNumberFormat="1" applyFont="1"/>
    <xf numFmtId="1" fontId="0" fillId="0" borderId="0" xfId="0" applyNumberFormat="1" applyFill="1"/>
    <xf numFmtId="1" fontId="7" fillId="0" borderId="0" xfId="0" applyNumberFormat="1" applyFont="1"/>
    <xf numFmtId="1" fontId="2" fillId="2" borderId="0" xfId="0" applyNumberFormat="1" applyFont="1" applyFill="1"/>
    <xf numFmtId="0" fontId="8" fillId="0" borderId="0" xfId="0" applyFont="1"/>
    <xf numFmtId="169" fontId="0" fillId="0" borderId="0" xfId="0" applyNumberFormat="1"/>
    <xf numFmtId="0" fontId="9" fillId="10" borderId="0" xfId="3"/>
    <xf numFmtId="164" fontId="2" fillId="0" borderId="0" xfId="0" applyNumberFormat="1" applyFont="1"/>
    <xf numFmtId="165" fontId="0" fillId="0" borderId="0" xfId="0" applyNumberFormat="1" applyAlignment="1">
      <alignment horizontal="left"/>
    </xf>
    <xf numFmtId="165" fontId="0" fillId="0" borderId="0" xfId="1" applyNumberFormat="1" applyFont="1"/>
    <xf numFmtId="164" fontId="0" fillId="0" borderId="0" xfId="0" applyNumberFormat="1" applyFill="1"/>
    <xf numFmtId="171" fontId="0" fillId="0" borderId="0" xfId="1" applyNumberFormat="1" applyFont="1"/>
    <xf numFmtId="2" fontId="0" fillId="0" borderId="0" xfId="0" applyNumberFormat="1" applyFill="1"/>
    <xf numFmtId="0" fontId="0" fillId="2" borderId="0" xfId="0" applyFill="1" applyAlignment="1">
      <alignment horizontal="left"/>
    </xf>
    <xf numFmtId="166" fontId="0" fillId="6" borderId="2" xfId="0" applyNumberFormat="1" applyFill="1" applyBorder="1"/>
    <xf numFmtId="172" fontId="0" fillId="0" borderId="0" xfId="0" applyNumberFormat="1"/>
    <xf numFmtId="2" fontId="0" fillId="2" borderId="0" xfId="0" applyNumberFormat="1" applyFill="1"/>
    <xf numFmtId="10" fontId="2" fillId="0" borderId="0" xfId="0" applyNumberFormat="1" applyFont="1"/>
    <xf numFmtId="0" fontId="2" fillId="2" borderId="2" xfId="0" applyFont="1" applyFill="1" applyBorder="1"/>
    <xf numFmtId="9" fontId="0" fillId="0" borderId="0" xfId="0" applyNumberFormat="1"/>
    <xf numFmtId="2" fontId="0" fillId="0" borderId="0" xfId="0" applyNumberFormat="1" applyFont="1" applyAlignment="1"/>
    <xf numFmtId="0" fontId="0" fillId="0" borderId="0" xfId="0" applyNumberFormat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2" fontId="0" fillId="0" borderId="0" xfId="0" applyNumberFormat="1" applyBorder="1"/>
    <xf numFmtId="0" fontId="0" fillId="0" borderId="7" xfId="0" applyBorder="1"/>
    <xf numFmtId="14" fontId="0" fillId="0" borderId="0" xfId="0" applyNumberFormat="1" applyFont="1" applyBorder="1" applyAlignment="1"/>
    <xf numFmtId="2" fontId="0" fillId="0" borderId="0" xfId="0" applyNumberFormat="1" applyFont="1" applyBorder="1" applyAlignment="1"/>
    <xf numFmtId="10" fontId="2" fillId="0" borderId="0" xfId="0" applyNumberFormat="1" applyFont="1" applyBorder="1"/>
    <xf numFmtId="169" fontId="0" fillId="0" borderId="0" xfId="0" applyNumberFormat="1" applyBorder="1"/>
    <xf numFmtId="1" fontId="0" fillId="0" borderId="0" xfId="0" applyNumberFormat="1" applyBorder="1"/>
    <xf numFmtId="0" fontId="0" fillId="0" borderId="8" xfId="0" applyBorder="1"/>
    <xf numFmtId="0" fontId="0" fillId="0" borderId="9" xfId="0" applyBorder="1"/>
    <xf numFmtId="10" fontId="2" fillId="0" borderId="9" xfId="0" applyNumberFormat="1" applyFont="1" applyBorder="1"/>
    <xf numFmtId="0" fontId="0" fillId="0" borderId="10" xfId="0" applyBorder="1"/>
    <xf numFmtId="168" fontId="0" fillId="0" borderId="0" xfId="0" applyNumberFormat="1"/>
    <xf numFmtId="0" fontId="0" fillId="11" borderId="0" xfId="0" applyFill="1"/>
    <xf numFmtId="0" fontId="0" fillId="5" borderId="0" xfId="0" applyFill="1"/>
    <xf numFmtId="0" fontId="0" fillId="12" borderId="0" xfId="0" applyFill="1"/>
    <xf numFmtId="0" fontId="0" fillId="13" borderId="0" xfId="0" applyFill="1"/>
    <xf numFmtId="1" fontId="0" fillId="0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10" fillId="0" borderId="0" xfId="0" applyFont="1"/>
    <xf numFmtId="0" fontId="0" fillId="14" borderId="0" xfId="0" applyFill="1"/>
    <xf numFmtId="0" fontId="11" fillId="0" borderId="0" xfId="0" applyFont="1"/>
    <xf numFmtId="0" fontId="5" fillId="0" borderId="0" xfId="0" applyFont="1"/>
    <xf numFmtId="0" fontId="5" fillId="0" borderId="0" xfId="0" applyFont="1" applyFill="1"/>
    <xf numFmtId="0" fontId="12" fillId="0" borderId="0" xfId="0" applyFont="1"/>
    <xf numFmtId="0" fontId="13" fillId="0" borderId="0" xfId="0" applyFont="1"/>
    <xf numFmtId="164" fontId="5" fillId="0" borderId="0" xfId="0" applyNumberFormat="1" applyFont="1" applyFill="1"/>
    <xf numFmtId="164" fontId="5" fillId="0" borderId="0" xfId="0" applyNumberFormat="1" applyFont="1"/>
    <xf numFmtId="14" fontId="5" fillId="0" borderId="0" xfId="0" applyNumberFormat="1" applyFont="1" applyFill="1"/>
    <xf numFmtId="14" fontId="5" fillId="0" borderId="0" xfId="3" applyNumberFormat="1" applyFont="1" applyFill="1"/>
    <xf numFmtId="165" fontId="5" fillId="0" borderId="0" xfId="0" applyNumberFormat="1" applyFont="1" applyFill="1"/>
    <xf numFmtId="165" fontId="5" fillId="0" borderId="0" xfId="0" applyNumberFormat="1" applyFont="1"/>
    <xf numFmtId="1" fontId="5" fillId="0" borderId="0" xfId="0" applyNumberFormat="1" applyFont="1" applyFill="1"/>
    <xf numFmtId="10" fontId="5" fillId="0" borderId="0" xfId="1" applyNumberFormat="1" applyFont="1" applyFill="1"/>
    <xf numFmtId="165" fontId="5" fillId="0" borderId="0" xfId="1" applyNumberFormat="1" applyFont="1" applyFill="1"/>
    <xf numFmtId="165" fontId="5" fillId="0" borderId="0" xfId="3" applyNumberFormat="1" applyFont="1" applyFill="1"/>
    <xf numFmtId="0" fontId="5" fillId="0" borderId="0" xfId="3" applyFont="1" applyFill="1"/>
    <xf numFmtId="168" fontId="5" fillId="0" borderId="0" xfId="0" applyNumberFormat="1" applyFont="1"/>
    <xf numFmtId="2" fontId="5" fillId="0" borderId="0" xfId="0" applyNumberFormat="1" applyFont="1"/>
    <xf numFmtId="1" fontId="5" fillId="0" borderId="0" xfId="0" applyNumberFormat="1" applyFont="1"/>
    <xf numFmtId="167" fontId="5" fillId="0" borderId="0" xfId="0" applyNumberFormat="1" applyFont="1"/>
    <xf numFmtId="2" fontId="5" fillId="4" borderId="0" xfId="0" applyNumberFormat="1" applyFont="1" applyFill="1"/>
    <xf numFmtId="166" fontId="5" fillId="0" borderId="0" xfId="0" applyNumberFormat="1" applyFont="1"/>
    <xf numFmtId="0" fontId="4" fillId="0" borderId="0" xfId="2"/>
    <xf numFmtId="2" fontId="2" fillId="0" borderId="0" xfId="0" applyNumberFormat="1" applyFont="1"/>
    <xf numFmtId="14" fontId="7" fillId="0" borderId="0" xfId="0" applyNumberFormat="1" applyFont="1"/>
    <xf numFmtId="0" fontId="0" fillId="6" borderId="2" xfId="0" applyFill="1" applyBorder="1" applyAlignment="1">
      <alignment horizontal="left"/>
    </xf>
    <xf numFmtId="0" fontId="6" fillId="9" borderId="2" xfId="0" applyFont="1" applyFill="1" applyBorder="1" applyAlignment="1">
      <alignment horizontal="left" vertical="top"/>
    </xf>
    <xf numFmtId="1" fontId="0" fillId="0" borderId="0" xfId="0" applyNumberFormat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/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4">
    <cellStyle name="Bad" xfId="3" builtinId="27"/>
    <cellStyle name="Normal" xfId="0" builtinId="0"/>
    <cellStyle name="Normal 2" xfId="2"/>
    <cellStyle name="Percent" xfId="1" builtinId="5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  <color rgb="FFFFCCCC"/>
      <color rgb="FFCCCCFF"/>
      <color rgb="FFCC99FF"/>
      <color rgb="FFCC66FF"/>
      <color rgb="FFFF7C8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9.xml"/><Relationship Id="rId1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8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15" Type="http://schemas.openxmlformats.org/officeDocument/2006/relationships/theme" Target="theme/theme1.xml"/><Relationship Id="rId10" Type="http://schemas.openxmlformats.org/officeDocument/2006/relationships/chartsheet" Target="chartsheets/sheet4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9.xml"/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2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3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4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5.xml"/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6.xml"/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7.xml"/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8.xml"/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9.xml"/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0.xml"/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1.xml"/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Gas Outlet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'INPUT DATA'!$D$110:$J$110</c:f>
              <c:numCache>
                <c:formatCode>General</c:formatCode>
                <c:ptCount val="7"/>
                <c:pt idx="0">
                  <c:v>239.5</c:v>
                </c:pt>
                <c:pt idx="1">
                  <c:v>247.2</c:v>
                </c:pt>
                <c:pt idx="2">
                  <c:v>269.7</c:v>
                </c:pt>
                <c:pt idx="3">
                  <c:v>282.3</c:v>
                </c:pt>
                <c:pt idx="4">
                  <c:v>298.5</c:v>
                </c:pt>
                <c:pt idx="5">
                  <c:v>322.3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'INPUT DATA'!$O$110:$U$110</c:f>
              <c:numCache>
                <c:formatCode>General</c:formatCode>
                <c:ptCount val="7"/>
                <c:pt idx="0">
                  <c:v>300.8</c:v>
                </c:pt>
                <c:pt idx="1">
                  <c:v>300.7</c:v>
                </c:pt>
                <c:pt idx="2">
                  <c:v>319</c:v>
                </c:pt>
                <c:pt idx="3">
                  <c:v>326.7</c:v>
                </c:pt>
                <c:pt idx="4">
                  <c:v>325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'INPUT DATA'!$Z$110:$AN$110</c:f>
              <c:numCache>
                <c:formatCode>General</c:formatCode>
                <c:ptCount val="15"/>
                <c:pt idx="0">
                  <c:v>314.16666666666669</c:v>
                </c:pt>
                <c:pt idx="1">
                  <c:v>302.5</c:v>
                </c:pt>
                <c:pt idx="2">
                  <c:v>310.83333333333331</c:v>
                </c:pt>
                <c:pt idx="3">
                  <c:v>306.66666666666669</c:v>
                </c:pt>
                <c:pt idx="4">
                  <c:v>338.33333333333331</c:v>
                </c:pt>
                <c:pt idx="5">
                  <c:v>320</c:v>
                </c:pt>
                <c:pt idx="6">
                  <c:v>310</c:v>
                </c:pt>
                <c:pt idx="7">
                  <c:v>320.83333333333331</c:v>
                </c:pt>
                <c:pt idx="8">
                  <c:v>348.83333333333331</c:v>
                </c:pt>
                <c:pt idx="9">
                  <c:v>344.83333333333331</c:v>
                </c:pt>
                <c:pt idx="10">
                  <c:v>333</c:v>
                </c:pt>
                <c:pt idx="11">
                  <c:v>323.33333333333331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86528"/>
        <c:axId val="735079456"/>
      </c:scatterChart>
      <c:valAx>
        <c:axId val="73508652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79456"/>
        <c:crosses val="autoZero"/>
        <c:crossBetween val="midCat"/>
      </c:valAx>
      <c:valAx>
        <c:axId val="735079456"/>
        <c:scaling>
          <c:orientation val="minMax"/>
          <c:max val="4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8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"/>
          <c:y val="0.18623541848935549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Receiver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RESULTS!$D$39:$J$39</c:f>
              <c:numCache>
                <c:formatCode>General</c:formatCode>
                <c:ptCount val="7"/>
                <c:pt idx="0">
                  <c:v>526.65</c:v>
                </c:pt>
                <c:pt idx="1">
                  <c:v>582.65</c:v>
                </c:pt>
                <c:pt idx="2">
                  <c:v>603.15</c:v>
                </c:pt>
                <c:pt idx="3">
                  <c:v>623.65</c:v>
                </c:pt>
                <c:pt idx="4">
                  <c:v>642.65</c:v>
                </c:pt>
                <c:pt idx="5">
                  <c:v>670.15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RESULTS!$O$39:$U$39</c:f>
              <c:numCache>
                <c:formatCode>General</c:formatCode>
                <c:ptCount val="7"/>
                <c:pt idx="0">
                  <c:v>623.15</c:v>
                </c:pt>
                <c:pt idx="1">
                  <c:v>633.15</c:v>
                </c:pt>
                <c:pt idx="2">
                  <c:v>665.15</c:v>
                </c:pt>
                <c:pt idx="3">
                  <c:v>668.15</c:v>
                </c:pt>
                <c:pt idx="4">
                  <c:v>669.65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RESULTS!$Z$39:$AL$39</c:f>
              <c:numCache>
                <c:formatCode>General</c:formatCode>
                <c:ptCount val="13"/>
                <c:pt idx="0">
                  <c:v>643.15</c:v>
                </c:pt>
                <c:pt idx="1">
                  <c:v>630.65</c:v>
                </c:pt>
                <c:pt idx="2">
                  <c:v>640.65</c:v>
                </c:pt>
                <c:pt idx="3">
                  <c:v>638.15</c:v>
                </c:pt>
                <c:pt idx="4">
                  <c:v>663.15</c:v>
                </c:pt>
                <c:pt idx="5">
                  <c:v>645.65</c:v>
                </c:pt>
                <c:pt idx="6">
                  <c:v>648.15</c:v>
                </c:pt>
                <c:pt idx="7">
                  <c:v>660.65</c:v>
                </c:pt>
                <c:pt idx="8">
                  <c:v>664.15</c:v>
                </c:pt>
                <c:pt idx="9">
                  <c:v>658.15</c:v>
                </c:pt>
                <c:pt idx="10">
                  <c:v>649.65</c:v>
                </c:pt>
                <c:pt idx="11">
                  <c:v>648.15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87616"/>
        <c:axId val="735080000"/>
      </c:scatterChart>
      <c:valAx>
        <c:axId val="73508761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80000"/>
        <c:crosses val="autoZero"/>
        <c:crossBetween val="midCat"/>
      </c:valAx>
      <c:valAx>
        <c:axId val="735080000"/>
        <c:scaling>
          <c:orientation val="minMax"/>
          <c:max val="7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8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99510956395639"/>
          <c:y val="0.70027581853835896"/>
          <c:w val="0.13589213692446914"/>
          <c:h val="0.18728933496172565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Draught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7.9136484901711039</c:v>
                </c:pt>
                <c:pt idx="1">
                  <c:v>11.996009974073447</c:v>
                </c:pt>
                <c:pt idx="2">
                  <c:v>15.388104552764926</c:v>
                </c:pt>
                <c:pt idx="3">
                  <c:v>17.269065608443821</c:v>
                </c:pt>
                <c:pt idx="4">
                  <c:v>18.446576263229034</c:v>
                </c:pt>
                <c:pt idx="5">
                  <c:v>19.65196030982408</c:v>
                </c:pt>
              </c:numCache>
            </c:numRef>
          </c:xVal>
          <c:yVal>
            <c:numRef>
              <c:f>RESULTS!$D$107:$I$107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RESULTS!$Z$108:$AN$108</c:f>
              <c:numCache>
                <c:formatCode>0.00</c:formatCode>
                <c:ptCount val="15"/>
                <c:pt idx="0">
                  <c:v>15.715010568681349</c:v>
                </c:pt>
                <c:pt idx="1">
                  <c:v>15.022264786406216</c:v>
                </c:pt>
                <c:pt idx="2">
                  <c:v>14.836153774485394</c:v>
                </c:pt>
                <c:pt idx="3">
                  <c:v>15.545975124405166</c:v>
                </c:pt>
                <c:pt idx="4">
                  <c:v>15.157260503827672</c:v>
                </c:pt>
                <c:pt idx="5">
                  <c:v>14.735458043579818</c:v>
                </c:pt>
                <c:pt idx="6">
                  <c:v>14.819467769402769</c:v>
                </c:pt>
                <c:pt idx="7">
                  <c:v>15.393923017955338</c:v>
                </c:pt>
                <c:pt idx="8">
                  <c:v>16.086585096936503</c:v>
                </c:pt>
                <c:pt idx="9">
                  <c:v>15.968391722147295</c:v>
                </c:pt>
                <c:pt idx="10">
                  <c:v>15.41077384828011</c:v>
                </c:pt>
                <c:pt idx="11">
                  <c:v>16.204989287287564</c:v>
                </c:pt>
              </c:numCache>
            </c:numRef>
          </c:xVal>
          <c:yVal>
            <c:numRef>
              <c:f>RESULTS!$Z$107:$AN$107</c:f>
              <c:numCache>
                <c:formatCode>General</c:formatCode>
                <c:ptCount val="15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76192"/>
        <c:axId val="735072384"/>
      </c:scatterChart>
      <c:valAx>
        <c:axId val="735076192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72384"/>
        <c:crosses val="autoZero"/>
        <c:crossBetween val="midCat"/>
      </c:valAx>
      <c:valAx>
        <c:axId val="73507238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7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FPI - IMEP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7.9136484901711039</c:v>
                </c:pt>
                <c:pt idx="1">
                  <c:v>11.996009974073447</c:v>
                </c:pt>
                <c:pt idx="2">
                  <c:v>15.388104552764926</c:v>
                </c:pt>
                <c:pt idx="3">
                  <c:v>17.269065608443821</c:v>
                </c:pt>
                <c:pt idx="4">
                  <c:v>18.446576263229034</c:v>
                </c:pt>
                <c:pt idx="5">
                  <c:v>19.65196030982408</c:v>
                </c:pt>
              </c:numCache>
            </c:numRef>
          </c:xVal>
          <c:yVal>
            <c:numRef>
              <c:f>RESULTS!$D$119:$I$119</c:f>
              <c:numCache>
                <c:formatCode>0.00</c:formatCode>
                <c:ptCount val="6"/>
                <c:pt idx="0">
                  <c:v>41.5</c:v>
                </c:pt>
                <c:pt idx="1">
                  <c:v>56.5</c:v>
                </c:pt>
                <c:pt idx="2">
                  <c:v>69.666666666666671</c:v>
                </c:pt>
                <c:pt idx="3">
                  <c:v>78.5</c:v>
                </c:pt>
                <c:pt idx="4">
                  <c:v>84.5</c:v>
                </c:pt>
                <c:pt idx="5">
                  <c:v>90.666666666666671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RESULTS!$Z$108:$AN$108</c:f>
              <c:numCache>
                <c:formatCode>0.00</c:formatCode>
                <c:ptCount val="15"/>
                <c:pt idx="0">
                  <c:v>15.715010568681349</c:v>
                </c:pt>
                <c:pt idx="1">
                  <c:v>15.022264786406216</c:v>
                </c:pt>
                <c:pt idx="2">
                  <c:v>14.836153774485394</c:v>
                </c:pt>
                <c:pt idx="3">
                  <c:v>15.545975124405166</c:v>
                </c:pt>
                <c:pt idx="4">
                  <c:v>15.157260503827672</c:v>
                </c:pt>
                <c:pt idx="5">
                  <c:v>14.735458043579818</c:v>
                </c:pt>
                <c:pt idx="6">
                  <c:v>14.819467769402769</c:v>
                </c:pt>
                <c:pt idx="7">
                  <c:v>15.393923017955338</c:v>
                </c:pt>
                <c:pt idx="8">
                  <c:v>16.086585096936503</c:v>
                </c:pt>
                <c:pt idx="9">
                  <c:v>15.968391722147295</c:v>
                </c:pt>
                <c:pt idx="10">
                  <c:v>15.41077384828011</c:v>
                </c:pt>
                <c:pt idx="11">
                  <c:v>16.204989287287564</c:v>
                </c:pt>
              </c:numCache>
            </c:numRef>
          </c:xVal>
          <c:yVal>
            <c:numRef>
              <c:f>RESULTS!$Z$119:$AN$119</c:f>
              <c:numCache>
                <c:formatCode>0.00</c:formatCode>
                <c:ptCount val="15"/>
                <c:pt idx="0">
                  <c:v>83.166666666666671</c:v>
                </c:pt>
                <c:pt idx="1">
                  <c:v>81</c:v>
                </c:pt>
                <c:pt idx="2">
                  <c:v>77.833333333333329</c:v>
                </c:pt>
                <c:pt idx="3">
                  <c:v>86</c:v>
                </c:pt>
                <c:pt idx="4">
                  <c:v>85.333333333333329</c:v>
                </c:pt>
                <c:pt idx="5">
                  <c:v>82.833333333333329</c:v>
                </c:pt>
                <c:pt idx="6">
                  <c:v>81.166666666666671</c:v>
                </c:pt>
                <c:pt idx="7">
                  <c:v>85</c:v>
                </c:pt>
                <c:pt idx="8">
                  <c:v>88.5</c:v>
                </c:pt>
                <c:pt idx="9">
                  <c:v>88.166666666666671</c:v>
                </c:pt>
                <c:pt idx="10">
                  <c:v>84.833333333333329</c:v>
                </c:pt>
                <c:pt idx="11">
                  <c:v>80.666666666666671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89248"/>
        <c:axId val="735085984"/>
      </c:scatterChart>
      <c:valAx>
        <c:axId val="735089248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85984"/>
        <c:crosses val="autoZero"/>
        <c:crossBetween val="midCat"/>
      </c:valAx>
      <c:valAx>
        <c:axId val="73508598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</a:t>
                </a:r>
                <a:r>
                  <a:rPr lang="en-US" baseline="0"/>
                  <a:t> Pump Index (-)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8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IMEP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7.9136484901711039</c:v>
                </c:pt>
                <c:pt idx="1">
                  <c:v>11.996009974073447</c:v>
                </c:pt>
                <c:pt idx="2">
                  <c:v>15.388104552764926</c:v>
                </c:pt>
                <c:pt idx="3">
                  <c:v>17.269065608443821</c:v>
                </c:pt>
                <c:pt idx="4">
                  <c:v>18.446576263229034</c:v>
                </c:pt>
                <c:pt idx="5">
                  <c:v>19.65196030982408</c:v>
                </c:pt>
              </c:numCache>
            </c:numRef>
          </c:xVal>
          <c:yVal>
            <c:numRef>
              <c:f>RESULTS!$D$116:$I$116</c:f>
              <c:numCache>
                <c:formatCode>0.00</c:formatCode>
                <c:ptCount val="6"/>
                <c:pt idx="0">
                  <c:v>74.310040027580882</c:v>
                </c:pt>
                <c:pt idx="1">
                  <c:v>103.30363160155197</c:v>
                </c:pt>
                <c:pt idx="2">
                  <c:v>132.83999648609642</c:v>
                </c:pt>
                <c:pt idx="3">
                  <c:v>147.89653415779426</c:v>
                </c:pt>
                <c:pt idx="4">
                  <c:v>148.27169348025743</c:v>
                </c:pt>
                <c:pt idx="5">
                  <c:v>148.51909748984636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RESULTS!$Z$108:$AK$108</c:f>
              <c:numCache>
                <c:formatCode>0.00</c:formatCode>
                <c:ptCount val="12"/>
                <c:pt idx="0">
                  <c:v>15.715010568681349</c:v>
                </c:pt>
                <c:pt idx="1">
                  <c:v>15.022264786406216</c:v>
                </c:pt>
                <c:pt idx="2">
                  <c:v>14.836153774485394</c:v>
                </c:pt>
                <c:pt idx="3">
                  <c:v>15.545975124405166</c:v>
                </c:pt>
                <c:pt idx="4">
                  <c:v>15.157260503827672</c:v>
                </c:pt>
                <c:pt idx="5">
                  <c:v>14.735458043579818</c:v>
                </c:pt>
                <c:pt idx="6">
                  <c:v>14.819467769402769</c:v>
                </c:pt>
                <c:pt idx="7">
                  <c:v>15.393923017955338</c:v>
                </c:pt>
                <c:pt idx="8">
                  <c:v>16.086585096936503</c:v>
                </c:pt>
                <c:pt idx="9">
                  <c:v>15.968391722147295</c:v>
                </c:pt>
                <c:pt idx="10">
                  <c:v>15.41077384828011</c:v>
                </c:pt>
                <c:pt idx="11">
                  <c:v>16.204989287287564</c:v>
                </c:pt>
              </c:numCache>
            </c:numRef>
          </c:xVal>
          <c:yVal>
            <c:numRef>
              <c:f>RESULTS!$Z$116:$AK$116</c:f>
              <c:numCache>
                <c:formatCode>0.00</c:formatCode>
                <c:ptCount val="12"/>
                <c:pt idx="0">
                  <c:v>135.94442622933337</c:v>
                </c:pt>
                <c:pt idx="1">
                  <c:v>137.38071269333332</c:v>
                </c:pt>
                <c:pt idx="2">
                  <c:v>136.202490144</c:v>
                </c:pt>
                <c:pt idx="3">
                  <c:v>138.83145213600002</c:v>
                </c:pt>
                <c:pt idx="4">
                  <c:v>137.944290408</c:v>
                </c:pt>
                <c:pt idx="5">
                  <c:v>136.03572514133333</c:v>
                </c:pt>
                <c:pt idx="6">
                  <c:v>134.32586132000003</c:v>
                </c:pt>
                <c:pt idx="7">
                  <c:v>137.75826531600001</c:v>
                </c:pt>
                <c:pt idx="8">
                  <c:v>139.00587503599999</c:v>
                </c:pt>
                <c:pt idx="9">
                  <c:v>146.45944895399998</c:v>
                </c:pt>
                <c:pt idx="10">
                  <c:v>144.49716372</c:v>
                </c:pt>
                <c:pt idx="11">
                  <c:v>138.35811886400001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90336"/>
        <c:axId val="735090880"/>
      </c:scatterChart>
      <c:valAx>
        <c:axId val="735090336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90880"/>
        <c:crosses val="autoZero"/>
        <c:crossBetween val="midCat"/>
      </c:valAx>
      <c:valAx>
        <c:axId val="73509088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9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 - Shaft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5720</c:v>
                </c:pt>
                <c:pt idx="1">
                  <c:v>11471</c:v>
                </c:pt>
                <c:pt idx="2">
                  <c:v>17214</c:v>
                </c:pt>
                <c:pt idx="3">
                  <c:v>20654</c:v>
                </c:pt>
                <c:pt idx="4">
                  <c:v>22918</c:v>
                </c:pt>
                <c:pt idx="5">
                  <c:v>25307.999999999996</c:v>
                </c:pt>
              </c:numCache>
            </c:numRef>
          </c:xVal>
          <c:yVal>
            <c:numRef>
              <c:f>RESULTS!$D$143:$I$143</c:f>
              <c:numCache>
                <c:formatCode>0.00</c:formatCode>
                <c:ptCount val="6"/>
                <c:pt idx="0">
                  <c:v>47.41727744062576</c:v>
                </c:pt>
                <c:pt idx="1">
                  <c:v>73.549761857422965</c:v>
                </c:pt>
                <c:pt idx="2">
                  <c:v>103.19345161453167</c:v>
                </c:pt>
                <c:pt idx="3">
                  <c:v>120.68147729858079</c:v>
                </c:pt>
                <c:pt idx="4">
                  <c:v>133.71351746982305</c:v>
                </c:pt>
                <c:pt idx="5">
                  <c:v>142.90295502769325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18743.988299469082</c:v>
                </c:pt>
                <c:pt idx="1">
                  <c:v>18309.360132596503</c:v>
                </c:pt>
                <c:pt idx="2">
                  <c:v>17796.765296052065</c:v>
                </c:pt>
                <c:pt idx="3">
                  <c:v>19183.023915096997</c:v>
                </c:pt>
                <c:pt idx="4">
                  <c:v>18526.924500518893</c:v>
                </c:pt>
                <c:pt idx="5">
                  <c:v>17798.409441294119</c:v>
                </c:pt>
                <c:pt idx="6">
                  <c:v>17771.683941777734</c:v>
                </c:pt>
                <c:pt idx="7">
                  <c:v>18753.694453930268</c:v>
                </c:pt>
                <c:pt idx="8">
                  <c:v>19490.234895376194</c:v>
                </c:pt>
                <c:pt idx="9">
                  <c:v>19301.26807353293</c:v>
                </c:pt>
                <c:pt idx="10">
                  <c:v>18616.233330561117</c:v>
                </c:pt>
                <c:pt idx="11">
                  <c:v>19098.049279814171</c:v>
                </c:pt>
              </c:numCache>
            </c:numRef>
          </c:xVal>
          <c:yVal>
            <c:numRef>
              <c:f>RESULTS!$Z$143:$AK$143</c:f>
              <c:numCache>
                <c:formatCode>0.00</c:formatCode>
                <c:ptCount val="12"/>
                <c:pt idx="0">
                  <c:v>117.60371047466664</c:v>
                </c:pt>
                <c:pt idx="1">
                  <c:v>119.48114434666667</c:v>
                </c:pt>
                <c:pt idx="2">
                  <c:v>117.16298297866668</c:v>
                </c:pt>
                <c:pt idx="3">
                  <c:v>126.45926092800002</c:v>
                </c:pt>
                <c:pt idx="4">
                  <c:v>121.346536984</c:v>
                </c:pt>
                <c:pt idx="5">
                  <c:v>118.59130065066665</c:v>
                </c:pt>
                <c:pt idx="6">
                  <c:v>115.88816986</c:v>
                </c:pt>
                <c:pt idx="7">
                  <c:v>122.40565136800001</c:v>
                </c:pt>
                <c:pt idx="8">
                  <c:v>126.33954896133332</c:v>
                </c:pt>
                <c:pt idx="9">
                  <c:v>122.46974284199999</c:v>
                </c:pt>
                <c:pt idx="10">
                  <c:v>118.70225456</c:v>
                </c:pt>
                <c:pt idx="11">
                  <c:v>110.096263772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91424"/>
        <c:axId val="735091968"/>
      </c:scatterChart>
      <c:valAx>
        <c:axId val="73509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91968"/>
        <c:crosses val="autoZero"/>
        <c:crossBetween val="midCat"/>
      </c:valAx>
      <c:valAx>
        <c:axId val="73509196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91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Pscav - Shaft</a:t>
            </a:r>
            <a:r>
              <a:rPr lang="en-US" baseline="0"/>
              <a:t>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5720</c:v>
                </c:pt>
                <c:pt idx="1">
                  <c:v>11471</c:v>
                </c:pt>
                <c:pt idx="2">
                  <c:v>17214</c:v>
                </c:pt>
                <c:pt idx="3">
                  <c:v>20654</c:v>
                </c:pt>
                <c:pt idx="4">
                  <c:v>22918</c:v>
                </c:pt>
                <c:pt idx="5">
                  <c:v>25307.999999999996</c:v>
                </c:pt>
              </c:numCache>
            </c:numRef>
          </c:xVal>
          <c:yVal>
            <c:numRef>
              <c:f>RESULTS!$D$135:$I$135</c:f>
              <c:numCache>
                <c:formatCode>0.00000</c:formatCode>
                <c:ptCount val="6"/>
                <c:pt idx="0">
                  <c:v>1.3543320128217464</c:v>
                </c:pt>
                <c:pt idx="1">
                  <c:v>2.0495579112915405</c:v>
                </c:pt>
                <c:pt idx="2">
                  <c:v>2.8566492360307971</c:v>
                </c:pt>
                <c:pt idx="3">
                  <c:v>3.2817779136590555</c:v>
                </c:pt>
                <c:pt idx="4">
                  <c:v>3.6487882583982683</c:v>
                </c:pt>
                <c:pt idx="5">
                  <c:v>3.8986751333778566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18743.988299469082</c:v>
                </c:pt>
                <c:pt idx="1">
                  <c:v>18309.360132596503</c:v>
                </c:pt>
                <c:pt idx="2">
                  <c:v>17796.765296052065</c:v>
                </c:pt>
                <c:pt idx="3">
                  <c:v>19183.023915096997</c:v>
                </c:pt>
                <c:pt idx="4">
                  <c:v>18526.924500518893</c:v>
                </c:pt>
                <c:pt idx="5">
                  <c:v>17798.409441294119</c:v>
                </c:pt>
                <c:pt idx="6">
                  <c:v>17771.683941777734</c:v>
                </c:pt>
                <c:pt idx="7">
                  <c:v>18753.694453930268</c:v>
                </c:pt>
                <c:pt idx="8">
                  <c:v>19490.234895376194</c:v>
                </c:pt>
                <c:pt idx="9">
                  <c:v>19301.26807353293</c:v>
                </c:pt>
                <c:pt idx="10">
                  <c:v>18616.233330561117</c:v>
                </c:pt>
                <c:pt idx="11">
                  <c:v>19098.049279814171</c:v>
                </c:pt>
              </c:numCache>
            </c:numRef>
          </c:xVal>
          <c:yVal>
            <c:numRef>
              <c:f>RESULTS!$Z$135:$AK$135</c:f>
              <c:numCache>
                <c:formatCode>0.00000</c:formatCode>
                <c:ptCount val="12"/>
                <c:pt idx="0">
                  <c:v>3.3077297119999995</c:v>
                </c:pt>
                <c:pt idx="1">
                  <c:v>3.3516725199999997</c:v>
                </c:pt>
                <c:pt idx="2">
                  <c:v>3.4952101679999998</c:v>
                </c:pt>
                <c:pt idx="3">
                  <c:v>3.4813467920000001</c:v>
                </c:pt>
                <c:pt idx="4">
                  <c:v>3.3842849759999996</c:v>
                </c:pt>
                <c:pt idx="5">
                  <c:v>3.544171376</c:v>
                </c:pt>
                <c:pt idx="6">
                  <c:v>3.2517234400000001</c:v>
                </c:pt>
                <c:pt idx="7">
                  <c:v>3.612571752</c:v>
                </c:pt>
                <c:pt idx="8">
                  <c:v>3.7557991920000005</c:v>
                </c:pt>
                <c:pt idx="9">
                  <c:v>3.6750542880000001</c:v>
                </c:pt>
                <c:pt idx="10">
                  <c:v>3.2394728400000004</c:v>
                </c:pt>
                <c:pt idx="11">
                  <c:v>3.1171022080000004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93600"/>
        <c:axId val="735094144"/>
      </c:scatterChart>
      <c:valAx>
        <c:axId val="73509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94144"/>
        <c:crosses val="autoZero"/>
        <c:crossBetween val="midCat"/>
      </c:valAx>
      <c:valAx>
        <c:axId val="73509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Scavenge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9360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Texh - Shaft</a:t>
            </a:r>
            <a:r>
              <a:rPr lang="en-US" baseline="0"/>
              <a:t>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5720</c:v>
                </c:pt>
                <c:pt idx="1">
                  <c:v>11471</c:v>
                </c:pt>
                <c:pt idx="2">
                  <c:v>17214</c:v>
                </c:pt>
                <c:pt idx="3">
                  <c:v>20654</c:v>
                </c:pt>
                <c:pt idx="4">
                  <c:v>22918</c:v>
                </c:pt>
                <c:pt idx="5">
                  <c:v>25307.999999999996</c:v>
                </c:pt>
              </c:numCache>
            </c:numRef>
          </c:xVal>
          <c:yVal>
            <c:numRef>
              <c:f>RESULTS!$D$127:$I$127</c:f>
              <c:numCache>
                <c:formatCode>General</c:formatCode>
                <c:ptCount val="6"/>
                <c:pt idx="0">
                  <c:v>268.62055349999997</c:v>
                </c:pt>
                <c:pt idx="1">
                  <c:v>323.03555249999999</c:v>
                </c:pt>
                <c:pt idx="2">
                  <c:v>344.011911</c:v>
                </c:pt>
                <c:pt idx="3">
                  <c:v>363.85786400000001</c:v>
                </c:pt>
                <c:pt idx="4">
                  <c:v>380.52851249999998</c:v>
                </c:pt>
                <c:pt idx="5">
                  <c:v>406.89053999999999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18743.988299469082</c:v>
                </c:pt>
                <c:pt idx="1">
                  <c:v>18309.360132596503</c:v>
                </c:pt>
                <c:pt idx="2">
                  <c:v>17796.765296052065</c:v>
                </c:pt>
                <c:pt idx="3">
                  <c:v>19183.023915096997</c:v>
                </c:pt>
                <c:pt idx="4">
                  <c:v>18526.924500518893</c:v>
                </c:pt>
                <c:pt idx="5">
                  <c:v>17798.409441294119</c:v>
                </c:pt>
                <c:pt idx="6">
                  <c:v>17771.683941777734</c:v>
                </c:pt>
                <c:pt idx="7">
                  <c:v>18753.694453930268</c:v>
                </c:pt>
                <c:pt idx="8">
                  <c:v>19490.234895376194</c:v>
                </c:pt>
                <c:pt idx="9">
                  <c:v>19301.26807353293</c:v>
                </c:pt>
                <c:pt idx="10">
                  <c:v>18616.233330561117</c:v>
                </c:pt>
                <c:pt idx="11">
                  <c:v>19098.049279814171</c:v>
                </c:pt>
              </c:numCache>
            </c:numRef>
          </c:xVal>
          <c:yVal>
            <c:numRef>
              <c:f>RESULTS!$Z$127:$AK$127</c:f>
              <c:numCache>
                <c:formatCode>General</c:formatCode>
                <c:ptCount val="12"/>
                <c:pt idx="0">
                  <c:v>356.39026200000001</c:v>
                </c:pt>
                <c:pt idx="1">
                  <c:v>355.69424799999996</c:v>
                </c:pt>
                <c:pt idx="2">
                  <c:v>354.32107200000002</c:v>
                </c:pt>
                <c:pt idx="3">
                  <c:v>360.051672</c:v>
                </c:pt>
                <c:pt idx="4">
                  <c:v>359.35879200000005</c:v>
                </c:pt>
                <c:pt idx="5">
                  <c:v>354.86235799999997</c:v>
                </c:pt>
                <c:pt idx="6">
                  <c:v>351.774384</c:v>
                </c:pt>
                <c:pt idx="7">
                  <c:v>358.143417</c:v>
                </c:pt>
                <c:pt idx="8">
                  <c:v>367.59267199999999</c:v>
                </c:pt>
                <c:pt idx="9">
                  <c:v>360.19471599999997</c:v>
                </c:pt>
                <c:pt idx="10">
                  <c:v>356.78118000000001</c:v>
                </c:pt>
                <c:pt idx="11">
                  <c:v>360.08174400000001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94688"/>
        <c:axId val="735095232"/>
      </c:scatterChart>
      <c:valAx>
        <c:axId val="73509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95232"/>
        <c:crosses val="autoZero"/>
        <c:crossBetween val="midCat"/>
      </c:valAx>
      <c:valAx>
        <c:axId val="73509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Exhaust 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94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</a:t>
            </a:r>
            <a:r>
              <a:rPr lang="en-US" baseline="0"/>
              <a:t> - Pscav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Sheet1!$E$9</c:f>
              <c:strCache>
                <c:ptCount val="1"/>
                <c:pt idx="0">
                  <c:v>TC Max rpm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Sheet1!$E$10:$E$11</c:f>
              <c:numCache>
                <c:formatCode>0</c:formatCode>
                <c:ptCount val="2"/>
                <c:pt idx="0">
                  <c:v>14800</c:v>
                </c:pt>
                <c:pt idx="1">
                  <c:v>14800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97952"/>
        <c:axId val="735096320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RESULTS!$D$135:$I$135</c:f>
              <c:numCache>
                <c:formatCode>0.00000</c:formatCode>
                <c:ptCount val="6"/>
                <c:pt idx="0">
                  <c:v>1.3543320128217464</c:v>
                </c:pt>
                <c:pt idx="1">
                  <c:v>2.0495579112915405</c:v>
                </c:pt>
                <c:pt idx="2">
                  <c:v>2.8566492360307971</c:v>
                </c:pt>
                <c:pt idx="3">
                  <c:v>3.2817779136590555</c:v>
                </c:pt>
                <c:pt idx="4">
                  <c:v>3.6487882583982683</c:v>
                </c:pt>
                <c:pt idx="5">
                  <c:v>3.8986751333778566</c:v>
                </c:pt>
              </c:numCache>
            </c:numRef>
          </c:xVal>
          <c:yVal>
            <c:numRef>
              <c:f>RESULTS!$D$146:$I$146</c:f>
              <c:numCache>
                <c:formatCode>General</c:formatCode>
                <c:ptCount val="6"/>
                <c:pt idx="0">
                  <c:v>5399</c:v>
                </c:pt>
                <c:pt idx="1">
                  <c:v>9112</c:v>
                </c:pt>
                <c:pt idx="2">
                  <c:v>11268.5</c:v>
                </c:pt>
                <c:pt idx="3">
                  <c:v>12216.5</c:v>
                </c:pt>
                <c:pt idx="4">
                  <c:v>12860.5</c:v>
                </c:pt>
                <c:pt idx="5">
                  <c:v>13468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RESULTS!$Z$135:$AK$135</c:f>
              <c:numCache>
                <c:formatCode>0.00000</c:formatCode>
                <c:ptCount val="12"/>
                <c:pt idx="0">
                  <c:v>3.3077297119999995</c:v>
                </c:pt>
                <c:pt idx="1">
                  <c:v>3.3516725199999997</c:v>
                </c:pt>
                <c:pt idx="2">
                  <c:v>3.4952101679999998</c:v>
                </c:pt>
                <c:pt idx="3">
                  <c:v>3.4813467920000001</c:v>
                </c:pt>
                <c:pt idx="4">
                  <c:v>3.3842849759999996</c:v>
                </c:pt>
                <c:pt idx="5">
                  <c:v>3.544171376</c:v>
                </c:pt>
                <c:pt idx="6">
                  <c:v>3.2517234400000001</c:v>
                </c:pt>
                <c:pt idx="7">
                  <c:v>3.612571752</c:v>
                </c:pt>
                <c:pt idx="8">
                  <c:v>3.7557991920000005</c:v>
                </c:pt>
                <c:pt idx="9">
                  <c:v>3.6750542880000001</c:v>
                </c:pt>
                <c:pt idx="10">
                  <c:v>3.2394728400000004</c:v>
                </c:pt>
                <c:pt idx="11">
                  <c:v>3.1171022080000004</c:v>
                </c:pt>
              </c:numCache>
            </c:numRef>
          </c:xVal>
          <c:yVal>
            <c:numRef>
              <c:f>RESULTS!$Z$146:$AK$146</c:f>
              <c:numCache>
                <c:formatCode>General</c:formatCode>
                <c:ptCount val="12"/>
                <c:pt idx="0">
                  <c:v>12275</c:v>
                </c:pt>
                <c:pt idx="1">
                  <c:v>12306</c:v>
                </c:pt>
                <c:pt idx="2">
                  <c:v>12405</c:v>
                </c:pt>
                <c:pt idx="3">
                  <c:v>12500</c:v>
                </c:pt>
                <c:pt idx="4">
                  <c:v>12640</c:v>
                </c:pt>
                <c:pt idx="5">
                  <c:v>12375</c:v>
                </c:pt>
                <c:pt idx="6">
                  <c:v>12279</c:v>
                </c:pt>
                <c:pt idx="7">
                  <c:v>12630</c:v>
                </c:pt>
                <c:pt idx="8">
                  <c:v>12862.5</c:v>
                </c:pt>
                <c:pt idx="9">
                  <c:v>12515</c:v>
                </c:pt>
                <c:pt idx="10">
                  <c:v>12365.5</c:v>
                </c:pt>
                <c:pt idx="11">
                  <c:v>11860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97952"/>
        <c:axId val="735096320"/>
      </c:scatterChart>
      <c:valAx>
        <c:axId val="735097952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Scavenge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96320"/>
        <c:crosses val="autoZero"/>
        <c:crossBetween val="midCat"/>
        <c:majorUnit val="1"/>
      </c:valAx>
      <c:valAx>
        <c:axId val="7350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9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4708260425780098"/>
          <c:w val="0.20616710411198599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Break Power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4265.4032678399999</c:v>
                </c:pt>
                <c:pt idx="1">
                  <c:v>8553.9232317120004</c:v>
                </c:pt>
                <c:pt idx="2">
                  <c:v>12836.477596608</c:v>
                </c:pt>
                <c:pt idx="3">
                  <c:v>15401.685156288</c:v>
                </c:pt>
                <c:pt idx="4">
                  <c:v>17089.949666495999</c:v>
                </c:pt>
                <c:pt idx="5">
                  <c:v>18872.172360575998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763767302766879E-2"/>
                  <c:y val="0.263268096314862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8265.3373812480004</c:v>
                </c:pt>
                <c:pt idx="1">
                  <c:v>8826.8493848639991</c:v>
                </c:pt>
                <c:pt idx="2">
                  <c:v>15227.19138624</c:v>
                </c:pt>
                <c:pt idx="3">
                  <c:v>15769.315193184</c:v>
                </c:pt>
                <c:pt idx="4">
                  <c:v>15644.78331456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13977.389675683591</c:v>
                </c:pt>
                <c:pt idx="1">
                  <c:v>13653.287507279116</c:v>
                </c:pt>
                <c:pt idx="2">
                  <c:v>13271.045603280067</c:v>
                </c:pt>
                <c:pt idx="3">
                  <c:v>14304.778478060769</c:v>
                </c:pt>
                <c:pt idx="4">
                  <c:v>13815.525228590603</c:v>
                </c:pt>
                <c:pt idx="5">
                  <c:v>13272.271642176616</c:v>
                </c:pt>
                <c:pt idx="6">
                  <c:v>13252.34244060811</c:v>
                </c:pt>
                <c:pt idx="7">
                  <c:v>13984.627553822911</c:v>
                </c:pt>
                <c:pt idx="8">
                  <c:v>14533.865666731961</c:v>
                </c:pt>
                <c:pt idx="9">
                  <c:v>14392.953131871192</c:v>
                </c:pt>
                <c:pt idx="10">
                  <c:v>13882.122811721558</c:v>
                </c:pt>
                <c:pt idx="11">
                  <c:v>14241.412903407119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102848"/>
        <c:axId val="735099040"/>
      </c:scatterChart>
      <c:valAx>
        <c:axId val="73510284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Speed</a:t>
                </a:r>
                <a:r>
                  <a:rPr lang="en-US" sz="1100" baseline="0"/>
                  <a:t> (rpm)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99040"/>
        <c:crosses val="autoZero"/>
        <c:crossBetween val="midCat"/>
      </c:valAx>
      <c:valAx>
        <c:axId val="73509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Break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0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1148482499398817E-2"/>
          <c:y val="9.5008728680483878E-2"/>
          <c:w val="0.13073836435830413"/>
          <c:h val="0.1940609422695754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Power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4265.4032678399999</c:v>
                </c:pt>
                <c:pt idx="1">
                  <c:v>8553.9232317120004</c:v>
                </c:pt>
                <c:pt idx="2">
                  <c:v>12836.477596608</c:v>
                </c:pt>
                <c:pt idx="3">
                  <c:v>15401.685156288</c:v>
                </c:pt>
                <c:pt idx="4">
                  <c:v>17089.949666495999</c:v>
                </c:pt>
                <c:pt idx="5">
                  <c:v>18872.172360575998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8265.3373812480004</c:v>
                </c:pt>
                <c:pt idx="1">
                  <c:v>8826.8493848639991</c:v>
                </c:pt>
                <c:pt idx="2">
                  <c:v>15227.19138624</c:v>
                </c:pt>
                <c:pt idx="3">
                  <c:v>15769.315193184</c:v>
                </c:pt>
                <c:pt idx="4">
                  <c:v>15644.78331456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13977.389675683591</c:v>
                </c:pt>
                <c:pt idx="1">
                  <c:v>13653.287507279116</c:v>
                </c:pt>
                <c:pt idx="2">
                  <c:v>13271.045603280067</c:v>
                </c:pt>
                <c:pt idx="3">
                  <c:v>14304.778478060769</c:v>
                </c:pt>
                <c:pt idx="4">
                  <c:v>13815.525228590603</c:v>
                </c:pt>
                <c:pt idx="5">
                  <c:v>13272.271642176616</c:v>
                </c:pt>
                <c:pt idx="6">
                  <c:v>13252.34244060811</c:v>
                </c:pt>
                <c:pt idx="7">
                  <c:v>13984.627553822911</c:v>
                </c:pt>
                <c:pt idx="8">
                  <c:v>14533.865666731961</c:v>
                </c:pt>
                <c:pt idx="9">
                  <c:v>14392.953131871192</c:v>
                </c:pt>
                <c:pt idx="10">
                  <c:v>13882.122811721558</c:v>
                </c:pt>
                <c:pt idx="11">
                  <c:v>14241.412903407119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101216"/>
        <c:axId val="735104480"/>
      </c:scatterChart>
      <c:valAx>
        <c:axId val="73510121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04480"/>
        <c:crosses val="autoZero"/>
        <c:crossBetween val="midCat"/>
      </c:valAx>
      <c:valAx>
        <c:axId val="73510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01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7234652960046659"/>
          <c:w val="0.20999037620297462"/>
          <c:h val="0.2964811169437153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41.5</c:v>
                </c:pt>
                <c:pt idx="1">
                  <c:v>56.5</c:v>
                </c:pt>
                <c:pt idx="2">
                  <c:v>69.666666666666671</c:v>
                </c:pt>
                <c:pt idx="3">
                  <c:v>78.5</c:v>
                </c:pt>
                <c:pt idx="4">
                  <c:v>84.5</c:v>
                </c:pt>
                <c:pt idx="5">
                  <c:v>90.666666666666671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RESULTS!$O$12:$U$12</c:f>
              <c:numCache>
                <c:formatCode>0.00</c:formatCode>
                <c:ptCount val="7"/>
                <c:pt idx="0">
                  <c:v>62.166666666666664</c:v>
                </c:pt>
                <c:pt idx="1">
                  <c:v>64.5</c:v>
                </c:pt>
                <c:pt idx="2">
                  <c:v>84.5</c:v>
                </c:pt>
                <c:pt idx="3">
                  <c:v>87.5</c:v>
                </c:pt>
                <c:pt idx="4">
                  <c:v>85.5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RESULTS!$Z$12:$AL$12</c:f>
              <c:numCache>
                <c:formatCode>0.00</c:formatCode>
                <c:ptCount val="13"/>
                <c:pt idx="0">
                  <c:v>83.166666666666671</c:v>
                </c:pt>
                <c:pt idx="1">
                  <c:v>81</c:v>
                </c:pt>
                <c:pt idx="2">
                  <c:v>77.833333333333329</c:v>
                </c:pt>
                <c:pt idx="3">
                  <c:v>86</c:v>
                </c:pt>
                <c:pt idx="4">
                  <c:v>85.333333333333329</c:v>
                </c:pt>
                <c:pt idx="5">
                  <c:v>82.833333333333329</c:v>
                </c:pt>
                <c:pt idx="6">
                  <c:v>81.166666666666671</c:v>
                </c:pt>
                <c:pt idx="7">
                  <c:v>85</c:v>
                </c:pt>
                <c:pt idx="8">
                  <c:v>88.5</c:v>
                </c:pt>
                <c:pt idx="9">
                  <c:v>88.166666666666671</c:v>
                </c:pt>
                <c:pt idx="10">
                  <c:v>84.833333333333329</c:v>
                </c:pt>
                <c:pt idx="11">
                  <c:v>80.666666666666671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103936"/>
        <c:axId val="851610640"/>
      </c:scatterChart>
      <c:valAx>
        <c:axId val="73510393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0640"/>
        <c:crosses val="autoZero"/>
        <c:crossBetween val="midCat"/>
      </c:valAx>
      <c:valAx>
        <c:axId val="8516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03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RESULTS!$D$8:$K$8</c:f>
              <c:numCache>
                <c:formatCode>General</c:formatCode>
                <c:ptCount val="8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RESULTS!$D$60:$K$60</c:f>
              <c:numCache>
                <c:formatCode>0.00</c:formatCode>
                <c:ptCount val="8"/>
                <c:pt idx="0">
                  <c:v>1.017537983806279</c:v>
                </c:pt>
                <c:pt idx="1">
                  <c:v>1.0164974541184062</c:v>
                </c:pt>
                <c:pt idx="2">
                  <c:v>1.0184163802958253</c:v>
                </c:pt>
                <c:pt idx="3">
                  <c:v>1.0085102823987455</c:v>
                </c:pt>
                <c:pt idx="4">
                  <c:v>1.0182613520412183</c:v>
                </c:pt>
                <c:pt idx="5">
                  <c:v>1.0203647632208046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RESULTS!$O$60:$S$60</c:f>
              <c:numCache>
                <c:formatCode>0.00</c:formatCode>
                <c:ptCount val="5"/>
                <c:pt idx="0">
                  <c:v>-10.242188450137684</c:v>
                </c:pt>
                <c:pt idx="1">
                  <c:v>-10.936538992933329</c:v>
                </c:pt>
                <c:pt idx="2">
                  <c:v>-15.578320933217329</c:v>
                </c:pt>
                <c:pt idx="3">
                  <c:v>-16.134724492491895</c:v>
                </c:pt>
                <c:pt idx="4">
                  <c:v>-15.989677746971083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RESULTS!$Z$60:$AL$60</c:f>
              <c:numCache>
                <c:formatCode>0.00</c:formatCode>
                <c:ptCount val="13"/>
                <c:pt idx="0">
                  <c:v>1.013925396689503</c:v>
                </c:pt>
                <c:pt idx="1">
                  <c:v>1.0139893753932974</c:v>
                </c:pt>
                <c:pt idx="2">
                  <c:v>1.0137541530034113</c:v>
                </c:pt>
                <c:pt idx="3">
                  <c:v>1.0138679428959829</c:v>
                </c:pt>
                <c:pt idx="4">
                  <c:v>1.0138027004286236</c:v>
                </c:pt>
                <c:pt idx="5">
                  <c:v>1.0144452163874327</c:v>
                </c:pt>
                <c:pt idx="6">
                  <c:v>1.0139659469690514</c:v>
                </c:pt>
                <c:pt idx="7">
                  <c:v>1.0138960278805538</c:v>
                </c:pt>
                <c:pt idx="8">
                  <c:v>1.0137483458827923</c:v>
                </c:pt>
                <c:pt idx="9">
                  <c:v>1.0138395644314553</c:v>
                </c:pt>
                <c:pt idx="10">
                  <c:v>1.0138490591570637</c:v>
                </c:pt>
                <c:pt idx="11">
                  <c:v>1.0138679428959918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04656"/>
        <c:axId val="851617712"/>
      </c:scatterChart>
      <c:valAx>
        <c:axId val="85160465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7712"/>
        <c:crosses val="autoZero"/>
        <c:crossBetween val="midCat"/>
      </c:valAx>
      <c:valAx>
        <c:axId val="851617712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FMEP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04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01290463692044"/>
          <c:y val="0.49179097404491107"/>
          <c:w val="0.2555240594925634"/>
          <c:h val="0.289763779527559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Turbocharger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Sheet1!$E$9</c:f>
              <c:strCache>
                <c:ptCount val="1"/>
                <c:pt idx="0">
                  <c:v>TC Max rpm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Sheet1!$E$10:$E$11</c:f>
              <c:numCache>
                <c:formatCode>0</c:formatCode>
                <c:ptCount val="2"/>
                <c:pt idx="0">
                  <c:v>14800</c:v>
                </c:pt>
                <c:pt idx="1">
                  <c:v>14800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18256"/>
        <c:axId val="851604112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RESULTS!$D$27:$I$27</c:f>
              <c:numCache>
                <c:formatCode>General</c:formatCode>
                <c:ptCount val="6"/>
                <c:pt idx="0">
                  <c:v>5399</c:v>
                </c:pt>
                <c:pt idx="1">
                  <c:v>9112</c:v>
                </c:pt>
                <c:pt idx="2">
                  <c:v>11268.5</c:v>
                </c:pt>
                <c:pt idx="3">
                  <c:v>12216.5</c:v>
                </c:pt>
                <c:pt idx="4">
                  <c:v>12860.5</c:v>
                </c:pt>
                <c:pt idx="5">
                  <c:v>13468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RESULTS!$O$27:$U$27</c:f>
              <c:numCache>
                <c:formatCode>General</c:formatCode>
                <c:ptCount val="7"/>
                <c:pt idx="0">
                  <c:v>9549.5</c:v>
                </c:pt>
                <c:pt idx="1">
                  <c:v>9897.5</c:v>
                </c:pt>
                <c:pt idx="2">
                  <c:v>12645</c:v>
                </c:pt>
                <c:pt idx="3">
                  <c:v>12880</c:v>
                </c:pt>
                <c:pt idx="4">
                  <c:v>12960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RESULTS!$Z$27:$AL$27</c:f>
              <c:numCache>
                <c:formatCode>General</c:formatCode>
                <c:ptCount val="13"/>
                <c:pt idx="0">
                  <c:v>12275</c:v>
                </c:pt>
                <c:pt idx="1">
                  <c:v>12306</c:v>
                </c:pt>
                <c:pt idx="2">
                  <c:v>12405</c:v>
                </c:pt>
                <c:pt idx="3">
                  <c:v>12500</c:v>
                </c:pt>
                <c:pt idx="4">
                  <c:v>12640</c:v>
                </c:pt>
                <c:pt idx="5">
                  <c:v>12375</c:v>
                </c:pt>
                <c:pt idx="6">
                  <c:v>12279</c:v>
                </c:pt>
                <c:pt idx="7">
                  <c:v>12630</c:v>
                </c:pt>
                <c:pt idx="8">
                  <c:v>12862.5</c:v>
                </c:pt>
                <c:pt idx="9">
                  <c:v>12515</c:v>
                </c:pt>
                <c:pt idx="10">
                  <c:v>12365.5</c:v>
                </c:pt>
                <c:pt idx="11">
                  <c:v>11860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18256"/>
        <c:axId val="851604112"/>
      </c:scatterChart>
      <c:valAx>
        <c:axId val="851618256"/>
        <c:scaling>
          <c:orientation val="minMax"/>
          <c:max val="10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04112"/>
        <c:crosses val="autoZero"/>
        <c:crossBetween val="midCat"/>
      </c:valAx>
      <c:valAx>
        <c:axId val="851604112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8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9017935258093"/>
          <c:y val="0.46401319626713328"/>
          <c:w val="0.20616710411198599"/>
          <c:h val="0.3125021872265967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35.077309642738541</c:v>
                </c:pt>
                <c:pt idx="1">
                  <c:v>35.920045670515364</c:v>
                </c:pt>
                <c:pt idx="2">
                  <c:v>36.158551550493506</c:v>
                </c:pt>
                <c:pt idx="3">
                  <c:v>36.780465234389965</c:v>
                </c:pt>
                <c:pt idx="4">
                  <c:v>36.621758200823407</c:v>
                </c:pt>
                <c:pt idx="5">
                  <c:v>36.576120940644337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RESULTS!$O$81:$U$81</c:f>
              <c:numCache>
                <c:formatCode>0.00</c:formatCode>
                <c:ptCount val="7"/>
                <c:pt idx="0">
                  <c:v>35.185316289179553</c:v>
                </c:pt>
                <c:pt idx="1">
                  <c:v>35.282262565040973</c:v>
                </c:pt>
                <c:pt idx="2">
                  <c:v>35.618841128685929</c:v>
                </c:pt>
                <c:pt idx="3">
                  <c:v>35.715946919288349</c:v>
                </c:pt>
                <c:pt idx="4">
                  <c:v>36.126279072289499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RESULTS!$Z$81:$AL$81</c:f>
              <c:numCache>
                <c:formatCode>0.00</c:formatCode>
                <c:ptCount val="13"/>
                <c:pt idx="0">
                  <c:v>35.263705482192876</c:v>
                </c:pt>
                <c:pt idx="1">
                  <c:v>35.426627793974738</c:v>
                </c:pt>
                <c:pt idx="2">
                  <c:v>33.270613910238168</c:v>
                </c:pt>
                <c:pt idx="3">
                  <c:v>36.093167701863358</c:v>
                </c:pt>
                <c:pt idx="4">
                  <c:v>35.512696978821644</c:v>
                </c:pt>
                <c:pt idx="5">
                  <c:v>33.226636398032539</c:v>
                </c:pt>
                <c:pt idx="6">
                  <c:v>35.33229813664596</c:v>
                </c:pt>
                <c:pt idx="7">
                  <c:v>33.628241529434035</c:v>
                </c:pt>
                <c:pt idx="8">
                  <c:v>33.372226713374644</c:v>
                </c:pt>
                <c:pt idx="9">
                  <c:v>33.058363251403847</c:v>
                </c:pt>
                <c:pt idx="10">
                  <c:v>36.357771564668113</c:v>
                </c:pt>
                <c:pt idx="11">
                  <c:v>35.053563807084934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16624"/>
        <c:axId val="851613904"/>
      </c:scatterChart>
      <c:valAx>
        <c:axId val="85161662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3904"/>
        <c:crosses val="autoZero"/>
        <c:crossBetween val="midCat"/>
      </c:valAx>
      <c:valAx>
        <c:axId val="85161390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/ Pscav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467957130358705"/>
          <c:y val="0.51493912219305915"/>
          <c:w val="0.22350524934383201"/>
          <c:h val="0.2742421259842519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Indicated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RESULTS!$D$55:$J$55</c:f>
              <c:numCache>
                <c:formatCode>0</c:formatCode>
                <c:ptCount val="7"/>
                <c:pt idx="0">
                  <c:v>4894.7739598079997</c:v>
                </c:pt>
                <c:pt idx="1">
                  <c:v>9345.8564957759991</c:v>
                </c:pt>
                <c:pt idx="2">
                  <c:v>13746.231440448</c:v>
                </c:pt>
                <c:pt idx="3">
                  <c:v>16356.926692319999</c:v>
                </c:pt>
                <c:pt idx="4">
                  <c:v>18088.441795104001</c:v>
                </c:pt>
                <c:pt idx="5">
                  <c:v>19905.712383168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RESULTS!$O$55:$U$55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RESULTS!$Z$55:$AL$55</c:f>
              <c:numCache>
                <c:formatCode>0</c:formatCode>
                <c:ptCount val="13"/>
                <c:pt idx="0">
                  <c:v>14941.402209846818</c:v>
                </c:pt>
                <c:pt idx="1">
                  <c:v>14641.581074143671</c:v>
                </c:pt>
                <c:pt idx="2">
                  <c:v>14244.362680158238</c:v>
                </c:pt>
                <c:pt idx="3">
                  <c:v>15302.786278855705</c:v>
                </c:pt>
                <c:pt idx="4">
                  <c:v>14805.821730286169</c:v>
                </c:pt>
                <c:pt idx="5">
                  <c:v>14253.539763383938</c:v>
                </c:pt>
                <c:pt idx="6">
                  <c:v>14225.680760734489</c:v>
                </c:pt>
                <c:pt idx="7">
                  <c:v>14970.645058379507</c:v>
                </c:pt>
                <c:pt idx="8">
                  <c:v>15511.364628757294</c:v>
                </c:pt>
                <c:pt idx="9">
                  <c:v>15368.719251792729</c:v>
                </c:pt>
                <c:pt idx="10">
                  <c:v>14859.718885738695</c:v>
                </c:pt>
                <c:pt idx="11">
                  <c:v>15191.896523211824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19344"/>
        <c:axId val="851609552"/>
      </c:scatterChart>
      <c:valAx>
        <c:axId val="85161934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09552"/>
        <c:crosses val="autoZero"/>
        <c:crossBetween val="midCat"/>
      </c:valAx>
      <c:valAx>
        <c:axId val="8516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Indicated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RESULTS!$D$61:$J$61</c:f>
              <c:numCache>
                <c:formatCode>0.00</c:formatCode>
                <c:ptCount val="7"/>
                <c:pt idx="0">
                  <c:v>76.17378400072667</c:v>
                </c:pt>
                <c:pt idx="1">
                  <c:v>105.50671736689</c:v>
                </c:pt>
                <c:pt idx="2">
                  <c:v>135.67298406638665</c:v>
                </c:pt>
                <c:pt idx="3">
                  <c:v>151.00605075493999</c:v>
                </c:pt>
                <c:pt idx="4">
                  <c:v>151.00565078777001</c:v>
                </c:pt>
                <c:pt idx="5">
                  <c:v>151.33791754198333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RESULTS!$O$61:$U$61</c:f>
              <c:numCache>
                <c:formatCode>0.00</c:formatCode>
                <c:ptCount val="7"/>
                <c:pt idx="0">
                  <c:v>99.170584263366678</c:v>
                </c:pt>
                <c:pt idx="1">
                  <c:v>101.67058426336668</c:v>
                </c:pt>
                <c:pt idx="2">
                  <c:v>135.17058426336666</c:v>
                </c:pt>
                <c:pt idx="3">
                  <c:v>142.00391759670001</c:v>
                </c:pt>
                <c:pt idx="4">
                  <c:v>141.17058426336666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RESULTS!$Z$61:$AL$61</c:f>
              <c:numCache>
                <c:formatCode>0.00</c:formatCode>
                <c:ptCount val="13"/>
                <c:pt idx="0">
                  <c:v>135.36533333333335</c:v>
                </c:pt>
                <c:pt idx="1">
                  <c:v>138.69666666666666</c:v>
                </c:pt>
                <c:pt idx="2">
                  <c:v>135.51300000000001</c:v>
                </c:pt>
                <c:pt idx="3">
                  <c:v>139.542</c:v>
                </c:pt>
                <c:pt idx="4">
                  <c:v>134.52099999999999</c:v>
                </c:pt>
                <c:pt idx="5">
                  <c:v>134.35733333333334</c:v>
                </c:pt>
                <c:pt idx="6">
                  <c:v>132.02000000000001</c:v>
                </c:pt>
                <c:pt idx="7">
                  <c:v>134.02199999999999</c:v>
                </c:pt>
                <c:pt idx="8">
                  <c:v>136.511</c:v>
                </c:pt>
                <c:pt idx="9">
                  <c:v>143.52099999999999</c:v>
                </c:pt>
                <c:pt idx="10">
                  <c:v>142.51900000000001</c:v>
                </c:pt>
                <c:pt idx="11">
                  <c:v>137.35733333333334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19888"/>
        <c:axId val="851617168"/>
      </c:scatterChart>
      <c:valAx>
        <c:axId val="85161988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7168"/>
        <c:crosses val="autoZero"/>
        <c:crossBetween val="midCat"/>
      </c:valAx>
      <c:valAx>
        <c:axId val="851617168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690179352580926"/>
          <c:y val="0.19549467774861476"/>
          <c:w val="0.22072747156605424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RESULTS!$D$62:$J$62</c:f>
              <c:numCache>
                <c:formatCode>0.00</c:formatCode>
                <c:ptCount val="7"/>
                <c:pt idx="0">
                  <c:v>49.007117334059998</c:v>
                </c:pt>
                <c:pt idx="1">
                  <c:v>75.673384033556673</c:v>
                </c:pt>
                <c:pt idx="2">
                  <c:v>106.17298406638668</c:v>
                </c:pt>
                <c:pt idx="3">
                  <c:v>124.17271742160668</c:v>
                </c:pt>
                <c:pt idx="4">
                  <c:v>137.17231745443667</c:v>
                </c:pt>
                <c:pt idx="5">
                  <c:v>146.83791754198333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RESULTS!$O$62:$U$62</c:f>
              <c:numCache>
                <c:formatCode>0.00</c:formatCode>
                <c:ptCount val="7"/>
                <c:pt idx="0">
                  <c:v>75.003917596700006</c:v>
                </c:pt>
                <c:pt idx="1">
                  <c:v>78.670584263366678</c:v>
                </c:pt>
                <c:pt idx="2">
                  <c:v>121.33725093003333</c:v>
                </c:pt>
                <c:pt idx="3">
                  <c:v>125.17058426336668</c:v>
                </c:pt>
                <c:pt idx="4">
                  <c:v>124.83725093003333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RESULTS!$Z$62:$AL$62</c:f>
              <c:numCache>
                <c:formatCode>0.00</c:formatCode>
                <c:ptCount val="13"/>
                <c:pt idx="0">
                  <c:v>117.49866666666665</c:v>
                </c:pt>
                <c:pt idx="1">
                  <c:v>121.51333333333334</c:v>
                </c:pt>
                <c:pt idx="2">
                  <c:v>116.87966666666668</c:v>
                </c:pt>
                <c:pt idx="3">
                  <c:v>127.84200000000001</c:v>
                </c:pt>
                <c:pt idx="4">
                  <c:v>117.93766666666667</c:v>
                </c:pt>
                <c:pt idx="5">
                  <c:v>117.09066666666666</c:v>
                </c:pt>
                <c:pt idx="6">
                  <c:v>113.77</c:v>
                </c:pt>
                <c:pt idx="7">
                  <c:v>118.43866666666668</c:v>
                </c:pt>
                <c:pt idx="8">
                  <c:v>123.84433333333332</c:v>
                </c:pt>
                <c:pt idx="9">
                  <c:v>119.70433333333332</c:v>
                </c:pt>
                <c:pt idx="10">
                  <c:v>117.03566666666667</c:v>
                </c:pt>
                <c:pt idx="11">
                  <c:v>109.50733333333334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09008"/>
        <c:axId val="851621520"/>
      </c:scatterChart>
      <c:valAx>
        <c:axId val="85160900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21520"/>
        <c:crosses val="autoZero"/>
        <c:crossBetween val="midCat"/>
      </c:valAx>
      <c:valAx>
        <c:axId val="85162152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0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967957130358706"/>
          <c:y val="0.18623541848935549"/>
          <c:w val="0.2262830271216097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Specific</a:t>
            </a:r>
            <a:r>
              <a:rPr lang="en-US" baseline="0"/>
              <a:t> Fuel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RESULTS!$D$54:$J$54</c:f>
              <c:numCache>
                <c:formatCode>0.00</c:formatCode>
                <c:ptCount val="7"/>
                <c:pt idx="0">
                  <c:v>181.16111890762971</c:v>
                </c:pt>
                <c:pt idx="1">
                  <c:v>170.48047796801899</c:v>
                </c:pt>
                <c:pt idx="2">
                  <c:v>167.453415127461</c:v>
                </c:pt>
                <c:pt idx="3">
                  <c:v>166.09189777996113</c:v>
                </c:pt>
                <c:pt idx="4">
                  <c:v>168.70918355476672</c:v>
                </c:pt>
                <c:pt idx="5">
                  <c:v>171.26037625445096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RESULTS!$O$54:$U$54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164.30532562991715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RESULTS!$Z$54:$AI$54</c:f>
              <c:numCache>
                <c:formatCode>0.00</c:formatCode>
                <c:ptCount val="10"/>
                <c:pt idx="0">
                  <c:v>199.71286841735613</c:v>
                </c:pt>
                <c:pt idx="1">
                  <c:v>188.55859803197944</c:v>
                </c:pt>
                <c:pt idx="2">
                  <c:v>191.85771715923889</c:v>
                </c:pt>
                <c:pt idx="3">
                  <c:v>213.35212514013108</c:v>
                </c:pt>
                <c:pt idx="4">
                  <c:v>227.53955396523349</c:v>
                </c:pt>
                <c:pt idx="5">
                  <c:v>207.15806904525238</c:v>
                </c:pt>
                <c:pt idx="6">
                  <c:v>204.94475251554911</c:v>
                </c:pt>
                <c:pt idx="7">
                  <c:v>227.79214773900512</c:v>
                </c:pt>
                <c:pt idx="8">
                  <c:v>210.18474123060957</c:v>
                </c:pt>
                <c:pt idx="9">
                  <c:v>205.51717484875292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22064"/>
        <c:axId val="851611728"/>
      </c:scatterChart>
      <c:valAx>
        <c:axId val="85162206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1728"/>
        <c:crosses val="autoZero"/>
        <c:crossBetween val="midCat"/>
      </c:valAx>
      <c:valAx>
        <c:axId val="851611728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bsfc</a:t>
                </a:r>
                <a:r>
                  <a:rPr lang="en-US" baseline="0"/>
                  <a:t> (g/kWh)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2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8623541848935549"/>
          <c:w val="0.21517191601049868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RESULTS!$D$36:$J$36</c:f>
              <c:numCache>
                <c:formatCode>0.00</c:formatCode>
                <c:ptCount val="7"/>
                <c:pt idx="0">
                  <c:v>1.3971173340599998</c:v>
                </c:pt>
                <c:pt idx="1">
                  <c:v>2.1067173668899999</c:v>
                </c:pt>
                <c:pt idx="2">
                  <c:v>2.9363173997200001</c:v>
                </c:pt>
                <c:pt idx="3">
                  <c:v>3.3760507549400001</c:v>
                </c:pt>
                <c:pt idx="4">
                  <c:v>3.7456507877700003</c:v>
                </c:pt>
                <c:pt idx="5">
                  <c:v>4.0145842086499997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RESULTS!$O$36:$U$36</c:f>
              <c:numCache>
                <c:formatCode>0.00</c:formatCode>
                <c:ptCount val="7"/>
                <c:pt idx="0">
                  <c:v>2.1316823466999999</c:v>
                </c:pt>
                <c:pt idx="1">
                  <c:v>2.2297488466999997</c:v>
                </c:pt>
                <c:pt idx="2">
                  <c:v>3.4065468467000004</c:v>
                </c:pt>
                <c:pt idx="3">
                  <c:v>3.5046133466999998</c:v>
                </c:pt>
                <c:pt idx="4">
                  <c:v>3.4555800966999999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RESULTS!$Z$36:$AL$36</c:f>
              <c:numCache>
                <c:formatCode>0.00</c:formatCode>
                <c:ptCount val="13"/>
                <c:pt idx="0">
                  <c:v>3.3319999999999999</c:v>
                </c:pt>
                <c:pt idx="1">
                  <c:v>3.4299999999999997</c:v>
                </c:pt>
                <c:pt idx="2">
                  <c:v>3.5129999999999999</c:v>
                </c:pt>
                <c:pt idx="3">
                  <c:v>3.5419999999999998</c:v>
                </c:pt>
                <c:pt idx="4">
                  <c:v>3.3209999999999997</c:v>
                </c:pt>
                <c:pt idx="5">
                  <c:v>3.524</c:v>
                </c:pt>
                <c:pt idx="6">
                  <c:v>3.22</c:v>
                </c:pt>
                <c:pt idx="7">
                  <c:v>3.5220000000000002</c:v>
                </c:pt>
                <c:pt idx="8">
                  <c:v>3.7110000000000003</c:v>
                </c:pt>
                <c:pt idx="9">
                  <c:v>3.621</c:v>
                </c:pt>
                <c:pt idx="10">
                  <c:v>3.2190000000000003</c:v>
                </c:pt>
                <c:pt idx="11">
                  <c:v>3.1240000000000001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10096"/>
        <c:axId val="851623152"/>
      </c:scatterChart>
      <c:valAx>
        <c:axId val="85161009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23152"/>
        <c:crosses val="autoZero"/>
        <c:crossBetween val="midCat"/>
      </c:valAx>
      <c:valAx>
        <c:axId val="851623152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9068241469818"/>
          <c:y val="0.27419838145231845"/>
          <c:w val="0.21794969378827647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Receiver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RESULTS!$D$38:$J$38</c:f>
              <c:numCache>
                <c:formatCode>0.00</c:formatCode>
                <c:ptCount val="7"/>
                <c:pt idx="0">
                  <c:v>1.31711733406</c:v>
                </c:pt>
                <c:pt idx="1">
                  <c:v>1.94671736689</c:v>
                </c:pt>
                <c:pt idx="2">
                  <c:v>2.7363173997199999</c:v>
                </c:pt>
                <c:pt idx="3">
                  <c:v>3.1660507549400001</c:v>
                </c:pt>
                <c:pt idx="4">
                  <c:v>3.48565078777</c:v>
                </c:pt>
                <c:pt idx="5">
                  <c:v>3.7945842086499999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RESULTS!$O$38:$U$38</c:f>
              <c:numCache>
                <c:formatCode>0.00</c:formatCode>
                <c:ptCount val="7"/>
                <c:pt idx="0">
                  <c:v>1.0039175967</c:v>
                </c:pt>
                <c:pt idx="1">
                  <c:v>1.0039175967</c:v>
                </c:pt>
                <c:pt idx="2">
                  <c:v>1.0039175967</c:v>
                </c:pt>
                <c:pt idx="3">
                  <c:v>1.0039175967</c:v>
                </c:pt>
                <c:pt idx="4">
                  <c:v>1.0039175967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RESULTS!$Z$38:$AL$38</c:f>
              <c:numCache>
                <c:formatCode>0.00</c:formatCode>
                <c:ptCount val="13"/>
                <c:pt idx="0">
                  <c:v>3.2320000000000002</c:v>
                </c:pt>
                <c:pt idx="1">
                  <c:v>3.5300000000000002</c:v>
                </c:pt>
                <c:pt idx="2">
                  <c:v>3.5129999999999999</c:v>
                </c:pt>
                <c:pt idx="3">
                  <c:v>3.1420000000000003</c:v>
                </c:pt>
                <c:pt idx="4">
                  <c:v>3.2210000000000001</c:v>
                </c:pt>
                <c:pt idx="5">
                  <c:v>1.024</c:v>
                </c:pt>
                <c:pt idx="6">
                  <c:v>3.02</c:v>
                </c:pt>
                <c:pt idx="7">
                  <c:v>1.022</c:v>
                </c:pt>
                <c:pt idx="8">
                  <c:v>1.0109999999999999</c:v>
                </c:pt>
                <c:pt idx="9">
                  <c:v>3.3209999999999997</c:v>
                </c:pt>
                <c:pt idx="10">
                  <c:v>2.819</c:v>
                </c:pt>
                <c:pt idx="11">
                  <c:v>2.6240000000000001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23696"/>
        <c:axId val="851607376"/>
      </c:scatterChart>
      <c:valAx>
        <c:axId val="85162369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07376"/>
        <c:crosses val="autoZero"/>
        <c:crossBetween val="midCat"/>
      </c:valAx>
      <c:valAx>
        <c:axId val="851607376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Pexh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23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5"/>
          <c:y val="0.18160578885972584"/>
          <c:w val="0.23461636045494313"/>
          <c:h val="0.306649533391659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RESULTS!$D$37:$J$37</c:f>
              <c:numCache>
                <c:formatCode>General</c:formatCode>
                <c:ptCount val="7"/>
                <c:pt idx="0">
                  <c:v>303.14999999999998</c:v>
                </c:pt>
                <c:pt idx="1">
                  <c:v>301.14999999999998</c:v>
                </c:pt>
                <c:pt idx="2">
                  <c:v>301.14999999999998</c:v>
                </c:pt>
                <c:pt idx="3">
                  <c:v>303.14999999999998</c:v>
                </c:pt>
                <c:pt idx="4">
                  <c:v>305.14999999999998</c:v>
                </c:pt>
                <c:pt idx="5">
                  <c:v>309.14999999999998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RESULTS!$O$37:$U$37</c:f>
              <c:numCache>
                <c:formatCode>General</c:formatCode>
                <c:ptCount val="7"/>
                <c:pt idx="0">
                  <c:v>311.14999999999998</c:v>
                </c:pt>
                <c:pt idx="1">
                  <c:v>312.14999999999998</c:v>
                </c:pt>
                <c:pt idx="2">
                  <c:v>316.14999999999998</c:v>
                </c:pt>
                <c:pt idx="3">
                  <c:v>317.14999999999998</c:v>
                </c:pt>
                <c:pt idx="4">
                  <c:v>315.14999999999998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RESULTS!$Z$37:$AL$37</c:f>
              <c:numCache>
                <c:formatCode>General</c:formatCode>
                <c:ptCount val="13"/>
                <c:pt idx="0">
                  <c:v>316.14999999999998</c:v>
                </c:pt>
                <c:pt idx="1">
                  <c:v>314.14999999999998</c:v>
                </c:pt>
                <c:pt idx="2">
                  <c:v>314.14999999999998</c:v>
                </c:pt>
                <c:pt idx="3">
                  <c:v>315.14999999999998</c:v>
                </c:pt>
                <c:pt idx="4">
                  <c:v>318.14999999999998</c:v>
                </c:pt>
                <c:pt idx="5">
                  <c:v>314.14999999999998</c:v>
                </c:pt>
                <c:pt idx="6">
                  <c:v>314.14999999999998</c:v>
                </c:pt>
                <c:pt idx="7">
                  <c:v>317.14999999999998</c:v>
                </c:pt>
                <c:pt idx="8">
                  <c:v>317.14999999999998</c:v>
                </c:pt>
                <c:pt idx="9">
                  <c:v>316.14999999999998</c:v>
                </c:pt>
                <c:pt idx="10">
                  <c:v>315.14999999999998</c:v>
                </c:pt>
                <c:pt idx="11">
                  <c:v>313.14999999999998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26960"/>
        <c:axId val="851628048"/>
      </c:scatterChart>
      <c:valAx>
        <c:axId val="85162696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28048"/>
        <c:crosses val="autoZero"/>
        <c:crossBetween val="midCat"/>
      </c:valAx>
      <c:valAx>
        <c:axId val="85162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Tscav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26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8623541848935549"/>
          <c:w val="0.22072747156605424"/>
          <c:h val="0.2094273111694371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Receiver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RESULTS!$D$39:$J$39</c:f>
              <c:numCache>
                <c:formatCode>General</c:formatCode>
                <c:ptCount val="7"/>
                <c:pt idx="0">
                  <c:v>526.65</c:v>
                </c:pt>
                <c:pt idx="1">
                  <c:v>582.65</c:v>
                </c:pt>
                <c:pt idx="2">
                  <c:v>603.15</c:v>
                </c:pt>
                <c:pt idx="3">
                  <c:v>623.65</c:v>
                </c:pt>
                <c:pt idx="4">
                  <c:v>642.65</c:v>
                </c:pt>
                <c:pt idx="5">
                  <c:v>670.15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RESULTS!$O$39:$U$39</c:f>
              <c:numCache>
                <c:formatCode>General</c:formatCode>
                <c:ptCount val="7"/>
                <c:pt idx="0">
                  <c:v>623.15</c:v>
                </c:pt>
                <c:pt idx="1">
                  <c:v>633.15</c:v>
                </c:pt>
                <c:pt idx="2">
                  <c:v>665.15</c:v>
                </c:pt>
                <c:pt idx="3">
                  <c:v>668.15</c:v>
                </c:pt>
                <c:pt idx="4">
                  <c:v>669.65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RESULTS!$Z$39:$AL$39</c:f>
              <c:numCache>
                <c:formatCode>General</c:formatCode>
                <c:ptCount val="13"/>
                <c:pt idx="0">
                  <c:v>643.15</c:v>
                </c:pt>
                <c:pt idx="1">
                  <c:v>630.65</c:v>
                </c:pt>
                <c:pt idx="2">
                  <c:v>640.65</c:v>
                </c:pt>
                <c:pt idx="3">
                  <c:v>638.15</c:v>
                </c:pt>
                <c:pt idx="4">
                  <c:v>663.15</c:v>
                </c:pt>
                <c:pt idx="5">
                  <c:v>645.65</c:v>
                </c:pt>
                <c:pt idx="6">
                  <c:v>648.15</c:v>
                </c:pt>
                <c:pt idx="7">
                  <c:v>660.65</c:v>
                </c:pt>
                <c:pt idx="8">
                  <c:v>664.15</c:v>
                </c:pt>
                <c:pt idx="9">
                  <c:v>658.15</c:v>
                </c:pt>
                <c:pt idx="10">
                  <c:v>649.65</c:v>
                </c:pt>
                <c:pt idx="11">
                  <c:v>648.15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30768"/>
        <c:axId val="851627504"/>
      </c:scatterChart>
      <c:valAx>
        <c:axId val="85163076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27504"/>
        <c:crosses val="autoZero"/>
        <c:crossBetween val="midCat"/>
      </c:valAx>
      <c:valAx>
        <c:axId val="851627504"/>
        <c:scaling>
          <c:orientation val="minMax"/>
          <c:max val="7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3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351268591426"/>
          <c:y val="0.51030949256342961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RESULTS!$D$88:$I$88</c:f>
              <c:numCache>
                <c:formatCode>0.00%</c:formatCode>
                <c:ptCount val="6"/>
                <c:pt idx="0">
                  <c:v>0.93383372783923657</c:v>
                </c:pt>
                <c:pt idx="1">
                  <c:v>0.78698366195837388</c:v>
                </c:pt>
                <c:pt idx="2">
                  <c:v>0.78293237573628882</c:v>
                </c:pt>
                <c:pt idx="3">
                  <c:v>0.77022332563351137</c:v>
                </c:pt>
                <c:pt idx="4">
                  <c:v>0.7707318730872893</c:v>
                </c:pt>
                <c:pt idx="5">
                  <c:v>0.74956102629783694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RESULTS!$O$88:$U$88</c:f>
              <c:numCache>
                <c:formatCode>0.00%</c:formatCode>
                <c:ptCount val="7"/>
                <c:pt idx="0">
                  <c:v>0.78874423185555675</c:v>
                </c:pt>
                <c:pt idx="1">
                  <c:v>0.78053558672234813</c:v>
                </c:pt>
                <c:pt idx="2">
                  <c:v>0.77973805764266801</c:v>
                </c:pt>
                <c:pt idx="3">
                  <c:v>0.77302651460487393</c:v>
                </c:pt>
                <c:pt idx="4">
                  <c:v>0.75319179915890166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RESULTS!$Z$88:$AL$88</c:f>
              <c:numCache>
                <c:formatCode>0.00%</c:formatCode>
                <c:ptCount val="13"/>
                <c:pt idx="0">
                  <c:v>0.77455733364337309</c:v>
                </c:pt>
                <c:pt idx="1">
                  <c:v>0.77412246628416259</c:v>
                </c:pt>
                <c:pt idx="2">
                  <c:v>0.81087928706305157</c:v>
                </c:pt>
                <c:pt idx="3">
                  <c:v>0.77191709170354394</c:v>
                </c:pt>
                <c:pt idx="4">
                  <c:v>0.75872607906465372</c:v>
                </c:pt>
                <c:pt idx="5">
                  <c:v>0.8181730073981115</c:v>
                </c:pt>
                <c:pt idx="6">
                  <c:v>0.76955941823505392</c:v>
                </c:pt>
                <c:pt idx="7">
                  <c:v>0.80378190473348676</c:v>
                </c:pt>
                <c:pt idx="8">
                  <c:v>0.81061350361208273</c:v>
                </c:pt>
                <c:pt idx="9">
                  <c:v>0.83084003515091076</c:v>
                </c:pt>
                <c:pt idx="10">
                  <c:v>0.75493343237686139</c:v>
                </c:pt>
                <c:pt idx="11">
                  <c:v>0.7843429451381182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25872"/>
        <c:axId val="851629680"/>
      </c:scatterChart>
      <c:valAx>
        <c:axId val="85162587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29680"/>
        <c:crosses val="autoZero"/>
        <c:crossBetween val="midCat"/>
      </c:valAx>
      <c:valAx>
        <c:axId val="85162968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Compressor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2587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45734908136481"/>
          <c:y val="0.20012430737824438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RESULTS!$D$89:$I$89</c:f>
              <c:numCache>
                <c:formatCode>0.00%</c:formatCode>
                <c:ptCount val="6"/>
                <c:pt idx="0">
                  <c:v>0.77116515874834268</c:v>
                </c:pt>
                <c:pt idx="1">
                  <c:v>0.84976562954779333</c:v>
                </c:pt>
                <c:pt idx="2">
                  <c:v>0.86663226228444512</c:v>
                </c:pt>
                <c:pt idx="3">
                  <c:v>0.87751338826391589</c:v>
                </c:pt>
                <c:pt idx="4">
                  <c:v>0.88183123106132766</c:v>
                </c:pt>
                <c:pt idx="5">
                  <c:v>0.87729572578599657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RESULTS!$O$89:$U$89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RESULTS!$Z$89:$AL$89</c:f>
              <c:numCache>
                <c:formatCode>0.00%</c:formatCode>
                <c:ptCount val="13"/>
                <c:pt idx="0">
                  <c:v>0.85221803374280214</c:v>
                </c:pt>
                <c:pt idx="1">
                  <c:v>0.81878874482414743</c:v>
                </c:pt>
                <c:pt idx="2">
                  <c:v>0.81244745466283608</c:v>
                </c:pt>
                <c:pt idx="3">
                  <c:v>0.91686258071350224</c:v>
                </c:pt>
                <c:pt idx="4">
                  <c:v>0.87162629134317882</c:v>
                </c:pt>
                <c:pt idx="5">
                  <c:v>0</c:v>
                </c:pt>
                <c:pt idx="6">
                  <c:v>0.88369983142021913</c:v>
                </c:pt>
                <c:pt idx="7">
                  <c:v>0</c:v>
                </c:pt>
                <c:pt idx="8">
                  <c:v>0</c:v>
                </c:pt>
                <c:pt idx="9">
                  <c:v>0.84187182331584043</c:v>
                </c:pt>
                <c:pt idx="10">
                  <c:v>0.94564420433936214</c:v>
                </c:pt>
                <c:pt idx="11">
                  <c:v>0.93377936291996244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31312"/>
        <c:axId val="851632400"/>
      </c:scatterChart>
      <c:valAx>
        <c:axId val="85163131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32400"/>
        <c:crosses val="autoZero"/>
        <c:crossBetween val="midCat"/>
      </c:valAx>
      <c:valAx>
        <c:axId val="85163240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3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RESULTS!$D$82:$I$82</c:f>
              <c:numCache>
                <c:formatCode>0.0</c:formatCode>
                <c:ptCount val="6"/>
                <c:pt idx="0">
                  <c:v>3864.3855232334677</c:v>
                </c:pt>
                <c:pt idx="1">
                  <c:v>4325.2123627059718</c:v>
                </c:pt>
                <c:pt idx="2">
                  <c:v>3837.6300876310361</c:v>
                </c:pt>
                <c:pt idx="3">
                  <c:v>3618.5771147321257</c:v>
                </c:pt>
                <c:pt idx="4">
                  <c:v>3433.4487459405123</c:v>
                </c:pt>
                <c:pt idx="5">
                  <c:v>3354.7683396405673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RESULTS!$O$82:$U$82</c:f>
              <c:numCache>
                <c:formatCode>0.0</c:formatCode>
                <c:ptCount val="7"/>
                <c:pt idx="0">
                  <c:v>4479.7950383101515</c:v>
                </c:pt>
                <c:pt idx="1">
                  <c:v>4438.8407307164553</c:v>
                </c:pt>
                <c:pt idx="2">
                  <c:v>3711.9700884928384</c:v>
                </c:pt>
                <c:pt idx="3">
                  <c:v>3675.1557806306978</c:v>
                </c:pt>
                <c:pt idx="4">
                  <c:v>3750.4556796054312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RESULTS!$Z$82:$AL$82</c:f>
              <c:numCache>
                <c:formatCode>0.0</c:formatCode>
                <c:ptCount val="13"/>
                <c:pt idx="0">
                  <c:v>3683.9735894357746</c:v>
                </c:pt>
                <c:pt idx="1">
                  <c:v>3587.7551020408168</c:v>
                </c:pt>
                <c:pt idx="2">
                  <c:v>3531.1699402220324</c:v>
                </c:pt>
                <c:pt idx="3">
                  <c:v>3529.0796160361378</c:v>
                </c:pt>
                <c:pt idx="4">
                  <c:v>3806.0825052694972</c:v>
                </c:pt>
                <c:pt idx="5">
                  <c:v>3511.6345062429059</c:v>
                </c:pt>
                <c:pt idx="6">
                  <c:v>3813.3540372670805</c:v>
                </c:pt>
                <c:pt idx="7">
                  <c:v>3586.0306643952299</c:v>
                </c:pt>
                <c:pt idx="8">
                  <c:v>3466.0468876313657</c:v>
                </c:pt>
                <c:pt idx="9">
                  <c:v>3456.2275614471141</c:v>
                </c:pt>
                <c:pt idx="10">
                  <c:v>3841.4103758931342</c:v>
                </c:pt>
                <c:pt idx="11">
                  <c:v>3796.414852752881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32944"/>
        <c:axId val="851633488"/>
      </c:scatterChart>
      <c:valAx>
        <c:axId val="85163294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33488"/>
        <c:crosses val="autoZero"/>
        <c:crossBetween val="midCat"/>
      </c:valAx>
      <c:valAx>
        <c:axId val="851633488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 Speed/Pscav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3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34623797025369"/>
          <c:y val="0.46864282589676293"/>
          <c:w val="0.24850524934383203"/>
          <c:h val="0.2233162000583260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 - Exhaust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RESULTS!$D$83:$I$83</c:f>
              <c:numCache>
                <c:formatCode>General</c:formatCode>
                <c:ptCount val="6"/>
                <c:pt idx="0">
                  <c:v>7.9999999999999849E-2</c:v>
                </c:pt>
                <c:pt idx="1">
                  <c:v>0.15999999999999992</c:v>
                </c:pt>
                <c:pt idx="2">
                  <c:v>0.20000000000000018</c:v>
                </c:pt>
                <c:pt idx="3">
                  <c:v>0.20999999999999996</c:v>
                </c:pt>
                <c:pt idx="4">
                  <c:v>0.26000000000000023</c:v>
                </c:pt>
                <c:pt idx="5">
                  <c:v>0.21999999999999975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RESULTS!$O$83:$U$83</c:f>
              <c:numCache>
                <c:formatCode>0.00</c:formatCode>
                <c:ptCount val="7"/>
                <c:pt idx="0">
                  <c:v>1.1277647499999999</c:v>
                </c:pt>
                <c:pt idx="1">
                  <c:v>1.2258312499999997</c:v>
                </c:pt>
                <c:pt idx="2">
                  <c:v>2.4026292500000004</c:v>
                </c:pt>
                <c:pt idx="3">
                  <c:v>2.5006957499999998</c:v>
                </c:pt>
                <c:pt idx="4">
                  <c:v>2.4516624999999999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RESULTS!$Z$83:$AL$83</c:f>
              <c:numCache>
                <c:formatCode>General</c:formatCode>
                <c:ptCount val="13"/>
                <c:pt idx="0">
                  <c:v>9.9999999999999645E-2</c:v>
                </c:pt>
                <c:pt idx="1">
                  <c:v>-0.10000000000000053</c:v>
                </c:pt>
                <c:pt idx="2">
                  <c:v>0</c:v>
                </c:pt>
                <c:pt idx="3">
                  <c:v>0.39999999999999947</c:v>
                </c:pt>
                <c:pt idx="4">
                  <c:v>9.9999999999999645E-2</c:v>
                </c:pt>
                <c:pt idx="5">
                  <c:v>2.5</c:v>
                </c:pt>
                <c:pt idx="6">
                  <c:v>0.20000000000000018</c:v>
                </c:pt>
                <c:pt idx="7">
                  <c:v>2.5</c:v>
                </c:pt>
                <c:pt idx="8">
                  <c:v>2.7</c:v>
                </c:pt>
                <c:pt idx="9">
                  <c:v>0.30000000000000027</c:v>
                </c:pt>
                <c:pt idx="10">
                  <c:v>0.40000000000000036</c:v>
                </c:pt>
                <c:pt idx="11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35664"/>
        <c:axId val="852474608"/>
      </c:scatterChart>
      <c:valAx>
        <c:axId val="85163566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74608"/>
        <c:crosses val="autoZero"/>
        <c:crossBetween val="midCat"/>
      </c:valAx>
      <c:valAx>
        <c:axId val="852474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-</a:t>
                </a:r>
                <a:r>
                  <a:rPr lang="en-US" baseline="0"/>
                  <a:t> Pexh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3566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523512685914262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1.8166666666666667</c:v>
                </c:pt>
                <c:pt idx="1">
                  <c:v>2.2333333333333334</c:v>
                </c:pt>
                <c:pt idx="2">
                  <c:v>2.9333333333333336</c:v>
                </c:pt>
                <c:pt idx="3">
                  <c:v>3.5999999999999996</c:v>
                </c:pt>
                <c:pt idx="4">
                  <c:v>1.1333333333333333</c:v>
                </c:pt>
                <c:pt idx="5">
                  <c:v>0.10000000000000002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1.8833333333333331</c:v>
                </c:pt>
                <c:pt idx="1">
                  <c:v>2.0333333333333337</c:v>
                </c:pt>
                <c:pt idx="2">
                  <c:v>3.3166666666666664</c:v>
                </c:pt>
                <c:pt idx="3">
                  <c:v>2.6166666666666667</c:v>
                </c:pt>
                <c:pt idx="4">
                  <c:v>2.9333333333333336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RESULTS!$Z$13:$AL$13</c:f>
              <c:numCache>
                <c:formatCode>0.00</c:formatCode>
                <c:ptCount val="13"/>
                <c:pt idx="0">
                  <c:v>3.4166666666666665</c:v>
                </c:pt>
                <c:pt idx="1">
                  <c:v>3.1666666666666665</c:v>
                </c:pt>
                <c:pt idx="2">
                  <c:v>3.2166666666666663</c:v>
                </c:pt>
                <c:pt idx="3">
                  <c:v>2.4</c:v>
                </c:pt>
                <c:pt idx="4">
                  <c:v>3.1999999999999997</c:v>
                </c:pt>
                <c:pt idx="5">
                  <c:v>3.2666666666666662</c:v>
                </c:pt>
                <c:pt idx="6">
                  <c:v>3.3666666666666667</c:v>
                </c:pt>
                <c:pt idx="7">
                  <c:v>3.2333333333333329</c:v>
                </c:pt>
                <c:pt idx="8">
                  <c:v>2.5333333333333332</c:v>
                </c:pt>
                <c:pt idx="9">
                  <c:v>5.8000000000000007</c:v>
                </c:pt>
                <c:pt idx="10">
                  <c:v>6.1833333333333327</c:v>
                </c:pt>
                <c:pt idx="11">
                  <c:v>6.0500000000000007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71888"/>
        <c:axId val="852478416"/>
      </c:scatterChart>
      <c:valAx>
        <c:axId val="85247188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78416"/>
        <c:crosses val="autoZero"/>
        <c:crossBetween val="midCat"/>
      </c:valAx>
      <c:valAx>
        <c:axId val="8524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7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Pcomp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RESULTS!$D$84:$I$84</c:f>
              <c:numCache>
                <c:formatCode>0.00</c:formatCode>
                <c:ptCount val="6"/>
                <c:pt idx="0">
                  <c:v>27.166666666666671</c:v>
                </c:pt>
                <c:pt idx="1">
                  <c:v>29.833333333333329</c:v>
                </c:pt>
                <c:pt idx="2">
                  <c:v>29.499999999999972</c:v>
                </c:pt>
                <c:pt idx="3">
                  <c:v>26.833333333333314</c:v>
                </c:pt>
                <c:pt idx="4">
                  <c:v>13.833333333333343</c:v>
                </c:pt>
                <c:pt idx="5">
                  <c:v>4.5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RESULTS!$O$84:$U$84</c:f>
              <c:numCache>
                <c:formatCode>0.00</c:formatCode>
                <c:ptCount val="7"/>
                <c:pt idx="0">
                  <c:v>24.166666666666671</c:v>
                </c:pt>
                <c:pt idx="1">
                  <c:v>23</c:v>
                </c:pt>
                <c:pt idx="2">
                  <c:v>13.833333333333329</c:v>
                </c:pt>
                <c:pt idx="3">
                  <c:v>16.833333333333329</c:v>
                </c:pt>
                <c:pt idx="4">
                  <c:v>16.333333333333329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RESULTS!$Z$8:$AN$8</c:f>
              <c:numCache>
                <c:formatCode>0.00</c:formatCode>
                <c:ptCount val="15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RESULTS!$Z$84:$AN$84</c:f>
              <c:numCache>
                <c:formatCode>0.00</c:formatCode>
                <c:ptCount val="15"/>
                <c:pt idx="0">
                  <c:v>17.866666666666703</c:v>
                </c:pt>
                <c:pt idx="1">
                  <c:v>17.183333333333323</c:v>
                </c:pt>
                <c:pt idx="2">
                  <c:v>18.633333333333326</c:v>
                </c:pt>
                <c:pt idx="3">
                  <c:v>11.699999999999989</c:v>
                </c:pt>
                <c:pt idx="4">
                  <c:v>16.583333333333314</c:v>
                </c:pt>
                <c:pt idx="5">
                  <c:v>17.26666666666668</c:v>
                </c:pt>
                <c:pt idx="6">
                  <c:v>18.250000000000014</c:v>
                </c:pt>
                <c:pt idx="7">
                  <c:v>15.583333333333314</c:v>
                </c:pt>
                <c:pt idx="8">
                  <c:v>12.666666666666671</c:v>
                </c:pt>
                <c:pt idx="9">
                  <c:v>23.816666666666663</c:v>
                </c:pt>
                <c:pt idx="10">
                  <c:v>25.483333333333334</c:v>
                </c:pt>
                <c:pt idx="11">
                  <c:v>27.850000000000009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67536"/>
        <c:axId val="852474064"/>
      </c:scatterChart>
      <c:valAx>
        <c:axId val="85246753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74064"/>
        <c:crosses val="autoZero"/>
        <c:crossBetween val="midCat"/>
      </c:valAx>
      <c:valAx>
        <c:axId val="852474064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-</a:t>
                </a:r>
                <a:r>
                  <a:rPr lang="en-US" baseline="0"/>
                  <a:t> Pcomp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6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01290463692039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709.60977110494036</c:v>
                </c:pt>
                <c:pt idx="1">
                  <c:v>1129.7918383033734</c:v>
                </c:pt>
                <c:pt idx="2">
                  <c:v>1478.6409129470705</c:v>
                </c:pt>
                <c:pt idx="3">
                  <c:v>1673.2111430500381</c:v>
                </c:pt>
                <c:pt idx="4">
                  <c:v>1793.3736043612264</c:v>
                </c:pt>
                <c:pt idx="5">
                  <c:v>1917.1911817454763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RESULTS!$O$90:$U$90</c:f>
              <c:numCache>
                <c:formatCode>General</c:formatCode>
                <c:ptCount val="7"/>
                <c:pt idx="0">
                  <c:v>1053.9211915191675</c:v>
                </c:pt>
                <c:pt idx="1">
                  <c:v>1125.3698623728394</c:v>
                </c:pt>
                <c:pt idx="2">
                  <c:v>1603.0092240280626</c:v>
                </c:pt>
                <c:pt idx="3">
                  <c:v>1660.2631502774157</c:v>
                </c:pt>
                <c:pt idx="4">
                  <c:v>1645.3378401633245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RESULTS!$Z$90:$AL$90</c:f>
              <c:numCache>
                <c:formatCode>0</c:formatCode>
                <c:ptCount val="13"/>
                <c:pt idx="0">
                  <c:v>1512.7416641979603</c:v>
                </c:pt>
                <c:pt idx="1">
                  <c:v>1441.4515397932294</c:v>
                </c:pt>
                <c:pt idx="2">
                  <c:v>1422.324921050496</c:v>
                </c:pt>
                <c:pt idx="3">
                  <c:v>1495.3538289772946</c:v>
                </c:pt>
                <c:pt idx="4">
                  <c:v>1455.3618079697619</c:v>
                </c:pt>
                <c:pt idx="5">
                  <c:v>1411.8922199180963</c:v>
                </c:pt>
                <c:pt idx="6">
                  <c:v>1420.5861375284296</c:v>
                </c:pt>
                <c:pt idx="7">
                  <c:v>1479.7047772786948</c:v>
                </c:pt>
                <c:pt idx="8">
                  <c:v>1550.9949016834264</c:v>
                </c:pt>
                <c:pt idx="9">
                  <c:v>1538.8234170289597</c:v>
                </c:pt>
                <c:pt idx="10">
                  <c:v>1481.4435608007614</c:v>
                </c:pt>
                <c:pt idx="11">
                  <c:v>1563.1663863378924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64272"/>
        <c:axId val="852471344"/>
      </c:scatterChart>
      <c:valAx>
        <c:axId val="85246427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71344"/>
        <c:crosses val="autoZero"/>
        <c:crossBetween val="midCat"/>
      </c:valAx>
      <c:valAx>
        <c:axId val="85247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(kNm)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6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4265.4032678399999</c:v>
                </c:pt>
                <c:pt idx="1">
                  <c:v>8553.9232317120004</c:v>
                </c:pt>
                <c:pt idx="2">
                  <c:v>12836.477596608</c:v>
                </c:pt>
                <c:pt idx="3">
                  <c:v>15401.685156288</c:v>
                </c:pt>
                <c:pt idx="4">
                  <c:v>17089.949666495999</c:v>
                </c:pt>
                <c:pt idx="5">
                  <c:v>18872.172360575998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8265.3373812480004</c:v>
                </c:pt>
                <c:pt idx="1">
                  <c:v>8826.8493848639991</c:v>
                </c:pt>
                <c:pt idx="2">
                  <c:v>15227.19138624</c:v>
                </c:pt>
                <c:pt idx="3">
                  <c:v>15769.315193184</c:v>
                </c:pt>
                <c:pt idx="4">
                  <c:v>15644.78331456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13977.389675683591</c:v>
                </c:pt>
                <c:pt idx="1">
                  <c:v>13653.287507279116</c:v>
                </c:pt>
                <c:pt idx="2">
                  <c:v>13271.045603280067</c:v>
                </c:pt>
                <c:pt idx="3">
                  <c:v>14304.778478060769</c:v>
                </c:pt>
                <c:pt idx="4">
                  <c:v>13815.525228590603</c:v>
                </c:pt>
                <c:pt idx="5">
                  <c:v>13272.271642176616</c:v>
                </c:pt>
                <c:pt idx="6">
                  <c:v>13252.34244060811</c:v>
                </c:pt>
                <c:pt idx="7">
                  <c:v>13984.627553822911</c:v>
                </c:pt>
                <c:pt idx="8">
                  <c:v>14533.865666731961</c:v>
                </c:pt>
                <c:pt idx="9">
                  <c:v>14392.953131871192</c:v>
                </c:pt>
                <c:pt idx="10">
                  <c:v>13882.122811721558</c:v>
                </c:pt>
                <c:pt idx="11">
                  <c:v>14241.412903407119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78960"/>
        <c:axId val="852472432"/>
      </c:scatterChart>
      <c:valAx>
        <c:axId val="85247896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</a:t>
                </a:r>
                <a:r>
                  <a:rPr lang="en-US" baseline="0"/>
                  <a:t>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72432"/>
        <c:crosses val="autoZero"/>
        <c:crossBetween val="midCat"/>
      </c:valAx>
      <c:valAx>
        <c:axId val="85247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7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7234652960046659"/>
          <c:w val="0.20999037620297462"/>
          <c:h val="0.2964811169437153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41.5</c:v>
                </c:pt>
                <c:pt idx="1">
                  <c:v>56.5</c:v>
                </c:pt>
                <c:pt idx="2">
                  <c:v>69.666666666666671</c:v>
                </c:pt>
                <c:pt idx="3">
                  <c:v>78.5</c:v>
                </c:pt>
                <c:pt idx="4">
                  <c:v>84.5</c:v>
                </c:pt>
                <c:pt idx="5">
                  <c:v>90.666666666666671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RESULTS!$O$12:$U$12</c:f>
              <c:numCache>
                <c:formatCode>0.00</c:formatCode>
                <c:ptCount val="7"/>
                <c:pt idx="0">
                  <c:v>62.166666666666664</c:v>
                </c:pt>
                <c:pt idx="1">
                  <c:v>64.5</c:v>
                </c:pt>
                <c:pt idx="2">
                  <c:v>84.5</c:v>
                </c:pt>
                <c:pt idx="3">
                  <c:v>87.5</c:v>
                </c:pt>
                <c:pt idx="4">
                  <c:v>85.5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RESULTS!$Z$12:$AL$12</c:f>
              <c:numCache>
                <c:formatCode>0.00</c:formatCode>
                <c:ptCount val="13"/>
                <c:pt idx="0">
                  <c:v>83.166666666666671</c:v>
                </c:pt>
                <c:pt idx="1">
                  <c:v>81</c:v>
                </c:pt>
                <c:pt idx="2">
                  <c:v>77.833333333333329</c:v>
                </c:pt>
                <c:pt idx="3">
                  <c:v>86</c:v>
                </c:pt>
                <c:pt idx="4">
                  <c:v>85.333333333333329</c:v>
                </c:pt>
                <c:pt idx="5">
                  <c:v>82.833333333333329</c:v>
                </c:pt>
                <c:pt idx="6">
                  <c:v>81.166666666666671</c:v>
                </c:pt>
                <c:pt idx="7">
                  <c:v>85</c:v>
                </c:pt>
                <c:pt idx="8">
                  <c:v>88.5</c:v>
                </c:pt>
                <c:pt idx="9">
                  <c:v>88.166666666666671</c:v>
                </c:pt>
                <c:pt idx="10">
                  <c:v>84.833333333333329</c:v>
                </c:pt>
                <c:pt idx="11">
                  <c:v>80.666666666666671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70800"/>
        <c:axId val="852477872"/>
      </c:scatterChart>
      <c:valAx>
        <c:axId val="8524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77872"/>
        <c:crosses val="autoZero"/>
        <c:crossBetween val="midCat"/>
      </c:valAx>
      <c:valAx>
        <c:axId val="8524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7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RESULTS!$D$60:$K$60</c:f>
              <c:numCache>
                <c:formatCode>0.00</c:formatCode>
                <c:ptCount val="8"/>
                <c:pt idx="0">
                  <c:v>1.017537983806279</c:v>
                </c:pt>
                <c:pt idx="1">
                  <c:v>1.0164974541184062</c:v>
                </c:pt>
                <c:pt idx="2">
                  <c:v>1.0184163802958253</c:v>
                </c:pt>
                <c:pt idx="3">
                  <c:v>1.0085102823987455</c:v>
                </c:pt>
                <c:pt idx="4">
                  <c:v>1.0182613520412183</c:v>
                </c:pt>
                <c:pt idx="5">
                  <c:v>1.0203647632208046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RESULTS!$O$6:$S$6</c:f>
              <c:numCache>
                <c:formatCode>0.0%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RESULTS!$O$60:$S$60</c:f>
              <c:numCache>
                <c:formatCode>0.00</c:formatCode>
                <c:ptCount val="5"/>
                <c:pt idx="0">
                  <c:v>-10.242188450137684</c:v>
                </c:pt>
                <c:pt idx="1">
                  <c:v>-10.936538992933329</c:v>
                </c:pt>
                <c:pt idx="2">
                  <c:v>-15.578320933217329</c:v>
                </c:pt>
                <c:pt idx="3">
                  <c:v>-16.134724492491895</c:v>
                </c:pt>
                <c:pt idx="4">
                  <c:v>-15.989677746971083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RESULTS!$Z$6:$AI$6</c:f>
              <c:numCache>
                <c:formatCode>0.0%</c:formatCode>
                <c:ptCount val="10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</c:numCache>
            </c:numRef>
          </c:xVal>
          <c:yVal>
            <c:numRef>
              <c:f>RESULTS!$Z$60:$AL$60</c:f>
              <c:numCache>
                <c:formatCode>0.00</c:formatCode>
                <c:ptCount val="13"/>
                <c:pt idx="0">
                  <c:v>1.013925396689503</c:v>
                </c:pt>
                <c:pt idx="1">
                  <c:v>1.0139893753932974</c:v>
                </c:pt>
                <c:pt idx="2">
                  <c:v>1.0137541530034113</c:v>
                </c:pt>
                <c:pt idx="3">
                  <c:v>1.0138679428959829</c:v>
                </c:pt>
                <c:pt idx="4">
                  <c:v>1.0138027004286236</c:v>
                </c:pt>
                <c:pt idx="5">
                  <c:v>1.0144452163874327</c:v>
                </c:pt>
                <c:pt idx="6">
                  <c:v>1.0139659469690514</c:v>
                </c:pt>
                <c:pt idx="7">
                  <c:v>1.0138960278805538</c:v>
                </c:pt>
                <c:pt idx="8">
                  <c:v>1.0137483458827923</c:v>
                </c:pt>
                <c:pt idx="9">
                  <c:v>1.0138395644314553</c:v>
                </c:pt>
                <c:pt idx="10">
                  <c:v>1.0138490591570637</c:v>
                </c:pt>
                <c:pt idx="11">
                  <c:v>1.0138679428959918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68080"/>
        <c:axId val="852480048"/>
      </c:scatterChart>
      <c:valAx>
        <c:axId val="85246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80048"/>
        <c:crosses val="autoZero"/>
        <c:crossBetween val="midCat"/>
      </c:valAx>
      <c:valAx>
        <c:axId val="852480048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FMEP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6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01290463692044"/>
          <c:y val="0.49179097404491107"/>
          <c:w val="0.2555240594925634"/>
          <c:h val="0.289763779527559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Turbocharger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Sheet1!$E$9</c:f>
              <c:strCache>
                <c:ptCount val="1"/>
                <c:pt idx="0">
                  <c:v>TC Max rpm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Sheet1!$B$10:$B$11</c:f>
              <c:numCache>
                <c:formatCode>General</c:formatCode>
                <c:ptCount val="2"/>
                <c:pt idx="0">
                  <c:v>0</c:v>
                </c:pt>
                <c:pt idx="1">
                  <c:v>1.2</c:v>
                </c:pt>
              </c:numCache>
            </c:numRef>
          </c:xVal>
          <c:yVal>
            <c:numRef>
              <c:f>Sheet1!$E$10:$E$11</c:f>
              <c:numCache>
                <c:formatCode>0</c:formatCode>
                <c:ptCount val="2"/>
                <c:pt idx="0">
                  <c:v>14800</c:v>
                </c:pt>
                <c:pt idx="1">
                  <c:v>14800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85488"/>
        <c:axId val="852480592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RESULTS!$D$27:$I$27</c:f>
              <c:numCache>
                <c:formatCode>General</c:formatCode>
                <c:ptCount val="6"/>
                <c:pt idx="0">
                  <c:v>5399</c:v>
                </c:pt>
                <c:pt idx="1">
                  <c:v>9112</c:v>
                </c:pt>
                <c:pt idx="2">
                  <c:v>11268.5</c:v>
                </c:pt>
                <c:pt idx="3">
                  <c:v>12216.5</c:v>
                </c:pt>
                <c:pt idx="4">
                  <c:v>12860.5</c:v>
                </c:pt>
                <c:pt idx="5">
                  <c:v>13468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RESULTS!$O$6:$S$6</c:f>
              <c:numCache>
                <c:formatCode>0.0%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RESULTS!$O$27:$U$27</c:f>
              <c:numCache>
                <c:formatCode>General</c:formatCode>
                <c:ptCount val="7"/>
                <c:pt idx="0">
                  <c:v>9549.5</c:v>
                </c:pt>
                <c:pt idx="1">
                  <c:v>9897.5</c:v>
                </c:pt>
                <c:pt idx="2">
                  <c:v>12645</c:v>
                </c:pt>
                <c:pt idx="3">
                  <c:v>12880</c:v>
                </c:pt>
                <c:pt idx="4">
                  <c:v>12960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RESULTS!$Z$27:$AL$27</c:f>
              <c:numCache>
                <c:formatCode>General</c:formatCode>
                <c:ptCount val="13"/>
                <c:pt idx="0">
                  <c:v>12275</c:v>
                </c:pt>
                <c:pt idx="1">
                  <c:v>12306</c:v>
                </c:pt>
                <c:pt idx="2">
                  <c:v>12405</c:v>
                </c:pt>
                <c:pt idx="3">
                  <c:v>12500</c:v>
                </c:pt>
                <c:pt idx="4">
                  <c:v>12640</c:v>
                </c:pt>
                <c:pt idx="5">
                  <c:v>12375</c:v>
                </c:pt>
                <c:pt idx="6">
                  <c:v>12279</c:v>
                </c:pt>
                <c:pt idx="7">
                  <c:v>12630</c:v>
                </c:pt>
                <c:pt idx="8">
                  <c:v>12862.5</c:v>
                </c:pt>
                <c:pt idx="9">
                  <c:v>12515</c:v>
                </c:pt>
                <c:pt idx="10">
                  <c:v>12365.5</c:v>
                </c:pt>
                <c:pt idx="11">
                  <c:v>11860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85488"/>
        <c:axId val="852480592"/>
      </c:scatterChart>
      <c:valAx>
        <c:axId val="852485488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</a:t>
                </a:r>
                <a:r>
                  <a:rPr lang="en-US" baseline="0"/>
                  <a:t>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80592"/>
        <c:crosses val="autoZero"/>
        <c:crossBetween val="midCat"/>
      </c:valAx>
      <c:valAx>
        <c:axId val="852480592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8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67957130358696"/>
          <c:y val="0.46401319626713328"/>
          <c:w val="0.20616710411198599"/>
          <c:h val="0.3125021872265967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35.077309642738541</c:v>
                </c:pt>
                <c:pt idx="1">
                  <c:v>35.920045670515364</c:v>
                </c:pt>
                <c:pt idx="2">
                  <c:v>36.158551550493506</c:v>
                </c:pt>
                <c:pt idx="3">
                  <c:v>36.780465234389965</c:v>
                </c:pt>
                <c:pt idx="4">
                  <c:v>36.621758200823407</c:v>
                </c:pt>
                <c:pt idx="5">
                  <c:v>36.576120940644337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RESULTS!$O$81:$U$81</c:f>
              <c:numCache>
                <c:formatCode>0.00</c:formatCode>
                <c:ptCount val="7"/>
                <c:pt idx="0">
                  <c:v>35.185316289179553</c:v>
                </c:pt>
                <c:pt idx="1">
                  <c:v>35.282262565040973</c:v>
                </c:pt>
                <c:pt idx="2">
                  <c:v>35.618841128685929</c:v>
                </c:pt>
                <c:pt idx="3">
                  <c:v>35.715946919288349</c:v>
                </c:pt>
                <c:pt idx="4">
                  <c:v>36.126279072289499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RESULTS!$Z$81:$AL$81</c:f>
              <c:numCache>
                <c:formatCode>0.00</c:formatCode>
                <c:ptCount val="13"/>
                <c:pt idx="0">
                  <c:v>35.263705482192876</c:v>
                </c:pt>
                <c:pt idx="1">
                  <c:v>35.426627793974738</c:v>
                </c:pt>
                <c:pt idx="2">
                  <c:v>33.270613910238168</c:v>
                </c:pt>
                <c:pt idx="3">
                  <c:v>36.093167701863358</c:v>
                </c:pt>
                <c:pt idx="4">
                  <c:v>35.512696978821644</c:v>
                </c:pt>
                <c:pt idx="5">
                  <c:v>33.226636398032539</c:v>
                </c:pt>
                <c:pt idx="6">
                  <c:v>35.33229813664596</c:v>
                </c:pt>
                <c:pt idx="7">
                  <c:v>33.628241529434035</c:v>
                </c:pt>
                <c:pt idx="8">
                  <c:v>33.372226713374644</c:v>
                </c:pt>
                <c:pt idx="9">
                  <c:v>33.058363251403847</c:v>
                </c:pt>
                <c:pt idx="10">
                  <c:v>36.357771564668113</c:v>
                </c:pt>
                <c:pt idx="11">
                  <c:v>35.053563807084934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70256"/>
        <c:axId val="852481136"/>
      </c:scatterChart>
      <c:valAx>
        <c:axId val="85247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81136"/>
        <c:crosses val="autoZero"/>
        <c:crossBetween val="midCat"/>
      </c:valAx>
      <c:valAx>
        <c:axId val="852481136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 / 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7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Indicated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RESULTS!$D$55:$J$55</c:f>
              <c:numCache>
                <c:formatCode>0</c:formatCode>
                <c:ptCount val="7"/>
                <c:pt idx="0">
                  <c:v>4894.7739598079997</c:v>
                </c:pt>
                <c:pt idx="1">
                  <c:v>9345.8564957759991</c:v>
                </c:pt>
                <c:pt idx="2">
                  <c:v>13746.231440448</c:v>
                </c:pt>
                <c:pt idx="3">
                  <c:v>16356.926692319999</c:v>
                </c:pt>
                <c:pt idx="4">
                  <c:v>18088.441795104001</c:v>
                </c:pt>
                <c:pt idx="5">
                  <c:v>19905.712383168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RESULTS!$O$55:$U$55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  <c:pt idx="10">
                  <c:v>89.483333333333334</c:v>
                </c:pt>
                <c:pt idx="11">
                  <c:v>87</c:v>
                </c:pt>
              </c:numCache>
            </c:numRef>
          </c:xVal>
          <c:yVal>
            <c:numRef>
              <c:f>RESULTS!$Z$55:$AL$55</c:f>
              <c:numCache>
                <c:formatCode>0</c:formatCode>
                <c:ptCount val="13"/>
                <c:pt idx="0">
                  <c:v>14941.402209846818</c:v>
                </c:pt>
                <c:pt idx="1">
                  <c:v>14641.581074143671</c:v>
                </c:pt>
                <c:pt idx="2">
                  <c:v>14244.362680158238</c:v>
                </c:pt>
                <c:pt idx="3">
                  <c:v>15302.786278855705</c:v>
                </c:pt>
                <c:pt idx="4">
                  <c:v>14805.821730286169</c:v>
                </c:pt>
                <c:pt idx="5">
                  <c:v>14253.539763383938</c:v>
                </c:pt>
                <c:pt idx="6">
                  <c:v>14225.680760734489</c:v>
                </c:pt>
                <c:pt idx="7">
                  <c:v>14970.645058379507</c:v>
                </c:pt>
                <c:pt idx="8">
                  <c:v>15511.364628757294</c:v>
                </c:pt>
                <c:pt idx="9">
                  <c:v>15368.719251792729</c:v>
                </c:pt>
                <c:pt idx="10">
                  <c:v>14859.718885738695</c:v>
                </c:pt>
                <c:pt idx="11">
                  <c:v>15191.896523211824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83312"/>
        <c:axId val="852483856"/>
      </c:scatterChart>
      <c:valAx>
        <c:axId val="85248331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83856"/>
        <c:crosses val="autoZero"/>
        <c:crossBetween val="midCat"/>
      </c:valAx>
      <c:valAx>
        <c:axId val="85248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Indicated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83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RESULTS!$D$61:$J$61</c:f>
              <c:numCache>
                <c:formatCode>0.00</c:formatCode>
                <c:ptCount val="7"/>
                <c:pt idx="0">
                  <c:v>76.17378400072667</c:v>
                </c:pt>
                <c:pt idx="1">
                  <c:v>105.50671736689</c:v>
                </c:pt>
                <c:pt idx="2">
                  <c:v>135.67298406638665</c:v>
                </c:pt>
                <c:pt idx="3">
                  <c:v>151.00605075493999</c:v>
                </c:pt>
                <c:pt idx="4">
                  <c:v>151.00565078777001</c:v>
                </c:pt>
                <c:pt idx="5">
                  <c:v>151.33791754198333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RESULTS!$O$61:$U$61</c:f>
              <c:numCache>
                <c:formatCode>0.00</c:formatCode>
                <c:ptCount val="7"/>
                <c:pt idx="0">
                  <c:v>99.170584263366678</c:v>
                </c:pt>
                <c:pt idx="1">
                  <c:v>101.67058426336668</c:v>
                </c:pt>
                <c:pt idx="2">
                  <c:v>135.17058426336666</c:v>
                </c:pt>
                <c:pt idx="3">
                  <c:v>142.00391759670001</c:v>
                </c:pt>
                <c:pt idx="4">
                  <c:v>141.17058426336666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RESULTS!$Z$61:$AL$61</c:f>
              <c:numCache>
                <c:formatCode>0.00</c:formatCode>
                <c:ptCount val="13"/>
                <c:pt idx="0">
                  <c:v>135.36533333333335</c:v>
                </c:pt>
                <c:pt idx="1">
                  <c:v>138.69666666666666</c:v>
                </c:pt>
                <c:pt idx="2">
                  <c:v>135.51300000000001</c:v>
                </c:pt>
                <c:pt idx="3">
                  <c:v>139.542</c:v>
                </c:pt>
                <c:pt idx="4">
                  <c:v>134.52099999999999</c:v>
                </c:pt>
                <c:pt idx="5">
                  <c:v>134.35733333333334</c:v>
                </c:pt>
                <c:pt idx="6">
                  <c:v>132.02000000000001</c:v>
                </c:pt>
                <c:pt idx="7">
                  <c:v>134.02199999999999</c:v>
                </c:pt>
                <c:pt idx="8">
                  <c:v>136.511</c:v>
                </c:pt>
                <c:pt idx="9">
                  <c:v>143.52099999999999</c:v>
                </c:pt>
                <c:pt idx="10">
                  <c:v>142.51900000000001</c:v>
                </c:pt>
                <c:pt idx="11">
                  <c:v>137.35733333333334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86032"/>
        <c:axId val="852469712"/>
      </c:scatterChart>
      <c:valAx>
        <c:axId val="85248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69712"/>
        <c:crosses val="autoZero"/>
        <c:crossBetween val="midCat"/>
      </c:valAx>
      <c:valAx>
        <c:axId val="85246971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8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7697615923009624"/>
          <c:w val="0.23461636045494313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RESULTS!$D$62:$J$62</c:f>
              <c:numCache>
                <c:formatCode>0.00</c:formatCode>
                <c:ptCount val="7"/>
                <c:pt idx="0">
                  <c:v>49.007117334059998</c:v>
                </c:pt>
                <c:pt idx="1">
                  <c:v>75.673384033556673</c:v>
                </c:pt>
                <c:pt idx="2">
                  <c:v>106.17298406638668</c:v>
                </c:pt>
                <c:pt idx="3">
                  <c:v>124.17271742160668</c:v>
                </c:pt>
                <c:pt idx="4">
                  <c:v>137.17231745443667</c:v>
                </c:pt>
                <c:pt idx="5">
                  <c:v>146.83791754198333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RESULTS!$O$62:$U$62</c:f>
              <c:numCache>
                <c:formatCode>0.00</c:formatCode>
                <c:ptCount val="7"/>
                <c:pt idx="0">
                  <c:v>75.003917596700006</c:v>
                </c:pt>
                <c:pt idx="1">
                  <c:v>78.670584263366678</c:v>
                </c:pt>
                <c:pt idx="2">
                  <c:v>121.33725093003333</c:v>
                </c:pt>
                <c:pt idx="3">
                  <c:v>125.17058426336668</c:v>
                </c:pt>
                <c:pt idx="4">
                  <c:v>124.83725093003333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RESULTS!$Z$62:$AL$62</c:f>
              <c:numCache>
                <c:formatCode>0.00</c:formatCode>
                <c:ptCount val="13"/>
                <c:pt idx="0">
                  <c:v>117.49866666666665</c:v>
                </c:pt>
                <c:pt idx="1">
                  <c:v>121.51333333333334</c:v>
                </c:pt>
                <c:pt idx="2">
                  <c:v>116.87966666666668</c:v>
                </c:pt>
                <c:pt idx="3">
                  <c:v>127.84200000000001</c:v>
                </c:pt>
                <c:pt idx="4">
                  <c:v>117.93766666666667</c:v>
                </c:pt>
                <c:pt idx="5">
                  <c:v>117.09066666666666</c:v>
                </c:pt>
                <c:pt idx="6">
                  <c:v>113.77</c:v>
                </c:pt>
                <c:pt idx="7">
                  <c:v>118.43866666666668</c:v>
                </c:pt>
                <c:pt idx="8">
                  <c:v>123.84433333333332</c:v>
                </c:pt>
                <c:pt idx="9">
                  <c:v>119.70433333333332</c:v>
                </c:pt>
                <c:pt idx="10">
                  <c:v>117.03566666666667</c:v>
                </c:pt>
                <c:pt idx="11">
                  <c:v>109.50733333333334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87664"/>
        <c:axId val="852489296"/>
      </c:scatterChart>
      <c:valAx>
        <c:axId val="8524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89296"/>
        <c:crosses val="autoZero"/>
        <c:crossBetween val="midCat"/>
      </c:valAx>
      <c:valAx>
        <c:axId val="85248929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8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967957130358706"/>
          <c:y val="0.18623541848935549"/>
          <c:w val="0.22628302712160978"/>
          <c:h val="0.246464348206474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Specific</a:t>
            </a:r>
            <a:r>
              <a:rPr lang="en-US" baseline="0"/>
              <a:t> Fuel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RESULTS!$D$54:$J$54</c:f>
              <c:numCache>
                <c:formatCode>0.00</c:formatCode>
                <c:ptCount val="7"/>
                <c:pt idx="0">
                  <c:v>181.16111890762971</c:v>
                </c:pt>
                <c:pt idx="1">
                  <c:v>170.48047796801899</c:v>
                </c:pt>
                <c:pt idx="2">
                  <c:v>167.453415127461</c:v>
                </c:pt>
                <c:pt idx="3">
                  <c:v>166.09189777996113</c:v>
                </c:pt>
                <c:pt idx="4">
                  <c:v>168.70918355476672</c:v>
                </c:pt>
                <c:pt idx="5">
                  <c:v>171.26037625445096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RESULTS!$O$54:$U$54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164.30532562991715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RESULTS!$Z$54:$AI$54</c:f>
              <c:numCache>
                <c:formatCode>0.00</c:formatCode>
                <c:ptCount val="10"/>
                <c:pt idx="0">
                  <c:v>199.71286841735613</c:v>
                </c:pt>
                <c:pt idx="1">
                  <c:v>188.55859803197944</c:v>
                </c:pt>
                <c:pt idx="2">
                  <c:v>191.85771715923889</c:v>
                </c:pt>
                <c:pt idx="3">
                  <c:v>213.35212514013108</c:v>
                </c:pt>
                <c:pt idx="4">
                  <c:v>227.53955396523349</c:v>
                </c:pt>
                <c:pt idx="5">
                  <c:v>207.15806904525238</c:v>
                </c:pt>
                <c:pt idx="6">
                  <c:v>204.94475251554911</c:v>
                </c:pt>
                <c:pt idx="7">
                  <c:v>227.79214773900512</c:v>
                </c:pt>
                <c:pt idx="8">
                  <c:v>210.18474123060957</c:v>
                </c:pt>
                <c:pt idx="9">
                  <c:v>205.51717484875292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89840"/>
        <c:axId val="852473520"/>
      </c:scatterChart>
      <c:valAx>
        <c:axId val="85248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73520"/>
        <c:crosses val="autoZero"/>
        <c:crossBetween val="midCat"/>
      </c:valAx>
      <c:valAx>
        <c:axId val="852473520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bsfc</a:t>
                </a:r>
                <a:r>
                  <a:rPr lang="en-US" baseline="0"/>
                  <a:t> (g/kWh)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8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8623541848935549"/>
          <c:w val="0.21517191601049868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RESULTS!$D$36:$J$36</c:f>
              <c:numCache>
                <c:formatCode>0.00</c:formatCode>
                <c:ptCount val="7"/>
                <c:pt idx="0">
                  <c:v>1.3971173340599998</c:v>
                </c:pt>
                <c:pt idx="1">
                  <c:v>2.1067173668899999</c:v>
                </c:pt>
                <c:pt idx="2">
                  <c:v>2.9363173997200001</c:v>
                </c:pt>
                <c:pt idx="3">
                  <c:v>3.3760507549400001</c:v>
                </c:pt>
                <c:pt idx="4">
                  <c:v>3.7456507877700003</c:v>
                </c:pt>
                <c:pt idx="5">
                  <c:v>4.0145842086499997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RESULTS!$O$36:$U$36</c:f>
              <c:numCache>
                <c:formatCode>0.00</c:formatCode>
                <c:ptCount val="7"/>
                <c:pt idx="0">
                  <c:v>2.1316823466999999</c:v>
                </c:pt>
                <c:pt idx="1">
                  <c:v>2.2297488466999997</c:v>
                </c:pt>
                <c:pt idx="2">
                  <c:v>3.4065468467000004</c:v>
                </c:pt>
                <c:pt idx="3">
                  <c:v>3.5046133466999998</c:v>
                </c:pt>
                <c:pt idx="4">
                  <c:v>3.4555800966999999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RESULTS!$Z$36:$AL$36</c:f>
              <c:numCache>
                <c:formatCode>0.00</c:formatCode>
                <c:ptCount val="13"/>
                <c:pt idx="0">
                  <c:v>3.3319999999999999</c:v>
                </c:pt>
                <c:pt idx="1">
                  <c:v>3.4299999999999997</c:v>
                </c:pt>
                <c:pt idx="2">
                  <c:v>3.5129999999999999</c:v>
                </c:pt>
                <c:pt idx="3">
                  <c:v>3.5419999999999998</c:v>
                </c:pt>
                <c:pt idx="4">
                  <c:v>3.3209999999999997</c:v>
                </c:pt>
                <c:pt idx="5">
                  <c:v>3.524</c:v>
                </c:pt>
                <c:pt idx="6">
                  <c:v>3.22</c:v>
                </c:pt>
                <c:pt idx="7">
                  <c:v>3.5220000000000002</c:v>
                </c:pt>
                <c:pt idx="8">
                  <c:v>3.7110000000000003</c:v>
                </c:pt>
                <c:pt idx="9">
                  <c:v>3.621</c:v>
                </c:pt>
                <c:pt idx="10">
                  <c:v>3.2190000000000003</c:v>
                </c:pt>
                <c:pt idx="11">
                  <c:v>3.1240000000000001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95280"/>
        <c:axId val="852494192"/>
      </c:scatterChart>
      <c:valAx>
        <c:axId val="85249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94192"/>
        <c:crosses val="autoZero"/>
        <c:crossBetween val="midCat"/>
      </c:valAx>
      <c:valAx>
        <c:axId val="852494192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9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9068241469818"/>
          <c:y val="0.27419838145231845"/>
          <c:w val="0.21794969378827647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Receiver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RESULTS!$D$38:$J$38</c:f>
              <c:numCache>
                <c:formatCode>0.00</c:formatCode>
                <c:ptCount val="7"/>
                <c:pt idx="0">
                  <c:v>1.31711733406</c:v>
                </c:pt>
                <c:pt idx="1">
                  <c:v>1.94671736689</c:v>
                </c:pt>
                <c:pt idx="2">
                  <c:v>2.7363173997199999</c:v>
                </c:pt>
                <c:pt idx="3">
                  <c:v>3.1660507549400001</c:v>
                </c:pt>
                <c:pt idx="4">
                  <c:v>3.48565078777</c:v>
                </c:pt>
                <c:pt idx="5">
                  <c:v>3.7945842086499999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RESULTS!$O$38:$U$38</c:f>
              <c:numCache>
                <c:formatCode>0.00</c:formatCode>
                <c:ptCount val="7"/>
                <c:pt idx="0">
                  <c:v>1.0039175967</c:v>
                </c:pt>
                <c:pt idx="1">
                  <c:v>1.0039175967</c:v>
                </c:pt>
                <c:pt idx="2">
                  <c:v>1.0039175967</c:v>
                </c:pt>
                <c:pt idx="3">
                  <c:v>1.0039175967</c:v>
                </c:pt>
                <c:pt idx="4">
                  <c:v>1.0039175967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RESULTS!$Z$38:$AL$38</c:f>
              <c:numCache>
                <c:formatCode>0.00</c:formatCode>
                <c:ptCount val="13"/>
                <c:pt idx="0">
                  <c:v>3.2320000000000002</c:v>
                </c:pt>
                <c:pt idx="1">
                  <c:v>3.5300000000000002</c:v>
                </c:pt>
                <c:pt idx="2">
                  <c:v>3.5129999999999999</c:v>
                </c:pt>
                <c:pt idx="3">
                  <c:v>3.1420000000000003</c:v>
                </c:pt>
                <c:pt idx="4">
                  <c:v>3.2210000000000001</c:v>
                </c:pt>
                <c:pt idx="5">
                  <c:v>1.024</c:v>
                </c:pt>
                <c:pt idx="6">
                  <c:v>3.02</c:v>
                </c:pt>
                <c:pt idx="7">
                  <c:v>1.022</c:v>
                </c:pt>
                <c:pt idx="8">
                  <c:v>1.0109999999999999</c:v>
                </c:pt>
                <c:pt idx="9">
                  <c:v>3.3209999999999997</c:v>
                </c:pt>
                <c:pt idx="10">
                  <c:v>2.819</c:v>
                </c:pt>
                <c:pt idx="11">
                  <c:v>2.6240000000000001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95824"/>
        <c:axId val="852492016"/>
      </c:scatterChart>
      <c:valAx>
        <c:axId val="85249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92016"/>
        <c:crosses val="autoZero"/>
        <c:crossBetween val="midCat"/>
      </c:valAx>
      <c:valAx>
        <c:axId val="852492016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Pexh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9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5"/>
          <c:y val="0.18160578885972584"/>
          <c:w val="0.23461636045494313"/>
          <c:h val="0.306649533391659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RESULTS!$D$37:$J$37</c:f>
              <c:numCache>
                <c:formatCode>General</c:formatCode>
                <c:ptCount val="7"/>
                <c:pt idx="0">
                  <c:v>303.14999999999998</c:v>
                </c:pt>
                <c:pt idx="1">
                  <c:v>301.14999999999998</c:v>
                </c:pt>
                <c:pt idx="2">
                  <c:v>301.14999999999998</c:v>
                </c:pt>
                <c:pt idx="3">
                  <c:v>303.14999999999998</c:v>
                </c:pt>
                <c:pt idx="4">
                  <c:v>305.14999999999998</c:v>
                </c:pt>
                <c:pt idx="5">
                  <c:v>309.14999999999998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RESULTS!$O$37:$U$37</c:f>
              <c:numCache>
                <c:formatCode>General</c:formatCode>
                <c:ptCount val="7"/>
                <c:pt idx="0">
                  <c:v>311.14999999999998</c:v>
                </c:pt>
                <c:pt idx="1">
                  <c:v>312.14999999999998</c:v>
                </c:pt>
                <c:pt idx="2">
                  <c:v>316.14999999999998</c:v>
                </c:pt>
                <c:pt idx="3">
                  <c:v>317.14999999999998</c:v>
                </c:pt>
                <c:pt idx="4">
                  <c:v>315.14999999999998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RESULTS!$Z$37:$AL$37</c:f>
              <c:numCache>
                <c:formatCode>General</c:formatCode>
                <c:ptCount val="13"/>
                <c:pt idx="0">
                  <c:v>316.14999999999998</c:v>
                </c:pt>
                <c:pt idx="1">
                  <c:v>314.14999999999998</c:v>
                </c:pt>
                <c:pt idx="2">
                  <c:v>314.14999999999998</c:v>
                </c:pt>
                <c:pt idx="3">
                  <c:v>315.14999999999998</c:v>
                </c:pt>
                <c:pt idx="4">
                  <c:v>318.14999999999998</c:v>
                </c:pt>
                <c:pt idx="5">
                  <c:v>314.14999999999998</c:v>
                </c:pt>
                <c:pt idx="6">
                  <c:v>314.14999999999998</c:v>
                </c:pt>
                <c:pt idx="7">
                  <c:v>317.14999999999998</c:v>
                </c:pt>
                <c:pt idx="8">
                  <c:v>317.14999999999998</c:v>
                </c:pt>
                <c:pt idx="9">
                  <c:v>316.14999999999998</c:v>
                </c:pt>
                <c:pt idx="10">
                  <c:v>315.14999999999998</c:v>
                </c:pt>
                <c:pt idx="11">
                  <c:v>313.14999999999998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93648"/>
        <c:axId val="849182816"/>
      </c:scatterChart>
      <c:valAx>
        <c:axId val="85249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82816"/>
        <c:crosses val="autoZero"/>
        <c:crossBetween val="midCat"/>
      </c:valAx>
      <c:valAx>
        <c:axId val="84918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Tscav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9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8623541848935549"/>
          <c:w val="0.22072747156605424"/>
          <c:h val="0.2094273111694371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Receiver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RESULTS!$D$39:$J$39</c:f>
              <c:numCache>
                <c:formatCode>General</c:formatCode>
                <c:ptCount val="7"/>
                <c:pt idx="0">
                  <c:v>526.65</c:v>
                </c:pt>
                <c:pt idx="1">
                  <c:v>582.65</c:v>
                </c:pt>
                <c:pt idx="2">
                  <c:v>603.15</c:v>
                </c:pt>
                <c:pt idx="3">
                  <c:v>623.65</c:v>
                </c:pt>
                <c:pt idx="4">
                  <c:v>642.65</c:v>
                </c:pt>
                <c:pt idx="5">
                  <c:v>670.15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RESULTS!$O$39:$U$39</c:f>
              <c:numCache>
                <c:formatCode>General</c:formatCode>
                <c:ptCount val="7"/>
                <c:pt idx="0">
                  <c:v>623.15</c:v>
                </c:pt>
                <c:pt idx="1">
                  <c:v>633.15</c:v>
                </c:pt>
                <c:pt idx="2">
                  <c:v>665.15</c:v>
                </c:pt>
                <c:pt idx="3">
                  <c:v>668.15</c:v>
                </c:pt>
                <c:pt idx="4">
                  <c:v>669.65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RESULTS!$Z$39:$AL$39</c:f>
              <c:numCache>
                <c:formatCode>General</c:formatCode>
                <c:ptCount val="13"/>
                <c:pt idx="0">
                  <c:v>643.15</c:v>
                </c:pt>
                <c:pt idx="1">
                  <c:v>630.65</c:v>
                </c:pt>
                <c:pt idx="2">
                  <c:v>640.65</c:v>
                </c:pt>
                <c:pt idx="3">
                  <c:v>638.15</c:v>
                </c:pt>
                <c:pt idx="4">
                  <c:v>663.15</c:v>
                </c:pt>
                <c:pt idx="5">
                  <c:v>645.65</c:v>
                </c:pt>
                <c:pt idx="6">
                  <c:v>648.15</c:v>
                </c:pt>
                <c:pt idx="7">
                  <c:v>660.65</c:v>
                </c:pt>
                <c:pt idx="8">
                  <c:v>664.15</c:v>
                </c:pt>
                <c:pt idx="9">
                  <c:v>658.15</c:v>
                </c:pt>
                <c:pt idx="10">
                  <c:v>649.65</c:v>
                </c:pt>
                <c:pt idx="11">
                  <c:v>648.15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79552"/>
        <c:axId val="849167584"/>
      </c:scatterChart>
      <c:valAx>
        <c:axId val="84917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67584"/>
        <c:crosses val="autoZero"/>
        <c:crossBetween val="midCat"/>
      </c:valAx>
      <c:valAx>
        <c:axId val="84916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7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23512685914256"/>
          <c:y val="0.48253171478565177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RESULTS!$D$88:$I$88</c:f>
              <c:numCache>
                <c:formatCode>0.00%</c:formatCode>
                <c:ptCount val="6"/>
                <c:pt idx="0">
                  <c:v>0.93383372783923657</c:v>
                </c:pt>
                <c:pt idx="1">
                  <c:v>0.78698366195837388</c:v>
                </c:pt>
                <c:pt idx="2">
                  <c:v>0.78293237573628882</c:v>
                </c:pt>
                <c:pt idx="3">
                  <c:v>0.77022332563351137</c:v>
                </c:pt>
                <c:pt idx="4">
                  <c:v>0.7707318730872893</c:v>
                </c:pt>
                <c:pt idx="5">
                  <c:v>0.74956102629783694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RESULTS!$O$88:$U$88</c:f>
              <c:numCache>
                <c:formatCode>0.00%</c:formatCode>
                <c:ptCount val="7"/>
                <c:pt idx="0">
                  <c:v>0.78874423185555675</c:v>
                </c:pt>
                <c:pt idx="1">
                  <c:v>0.78053558672234813</c:v>
                </c:pt>
                <c:pt idx="2">
                  <c:v>0.77973805764266801</c:v>
                </c:pt>
                <c:pt idx="3">
                  <c:v>0.77302651460487393</c:v>
                </c:pt>
                <c:pt idx="4">
                  <c:v>0.75319179915890166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RESULTS!$Z$88:$AL$88</c:f>
              <c:numCache>
                <c:formatCode>0.00%</c:formatCode>
                <c:ptCount val="13"/>
                <c:pt idx="0">
                  <c:v>0.77455733364337309</c:v>
                </c:pt>
                <c:pt idx="1">
                  <c:v>0.77412246628416259</c:v>
                </c:pt>
                <c:pt idx="2">
                  <c:v>0.81087928706305157</c:v>
                </c:pt>
                <c:pt idx="3">
                  <c:v>0.77191709170354394</c:v>
                </c:pt>
                <c:pt idx="4">
                  <c:v>0.75872607906465372</c:v>
                </c:pt>
                <c:pt idx="5">
                  <c:v>0.8181730073981115</c:v>
                </c:pt>
                <c:pt idx="6">
                  <c:v>0.76955941823505392</c:v>
                </c:pt>
                <c:pt idx="7">
                  <c:v>0.80378190473348676</c:v>
                </c:pt>
                <c:pt idx="8">
                  <c:v>0.81061350361208273</c:v>
                </c:pt>
                <c:pt idx="9">
                  <c:v>0.83084003515091076</c:v>
                </c:pt>
                <c:pt idx="10">
                  <c:v>0.75493343237686139</c:v>
                </c:pt>
                <c:pt idx="11">
                  <c:v>0.7843429451381182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72480"/>
        <c:axId val="849169760"/>
      </c:scatterChart>
      <c:valAx>
        <c:axId val="84917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69760"/>
        <c:crosses val="autoZero"/>
        <c:crossBetween val="midCat"/>
      </c:valAx>
      <c:valAx>
        <c:axId val="84916976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Compressor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7248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45734908136481"/>
          <c:y val="0.20012430737824438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RESULTS!$D$89:$I$89</c:f>
              <c:numCache>
                <c:formatCode>0.00%</c:formatCode>
                <c:ptCount val="6"/>
                <c:pt idx="0">
                  <c:v>0.77116515874834268</c:v>
                </c:pt>
                <c:pt idx="1">
                  <c:v>0.84976562954779333</c:v>
                </c:pt>
                <c:pt idx="2">
                  <c:v>0.86663226228444512</c:v>
                </c:pt>
                <c:pt idx="3">
                  <c:v>0.87751338826391589</c:v>
                </c:pt>
                <c:pt idx="4">
                  <c:v>0.88183123106132766</c:v>
                </c:pt>
                <c:pt idx="5">
                  <c:v>0.87729572578599657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RESULTS!$O$89:$U$89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RESULTS!$Z$89:$AL$89</c:f>
              <c:numCache>
                <c:formatCode>0.00%</c:formatCode>
                <c:ptCount val="13"/>
                <c:pt idx="0">
                  <c:v>0.85221803374280214</c:v>
                </c:pt>
                <c:pt idx="1">
                  <c:v>0.81878874482414743</c:v>
                </c:pt>
                <c:pt idx="2">
                  <c:v>0.81244745466283608</c:v>
                </c:pt>
                <c:pt idx="3">
                  <c:v>0.91686258071350224</c:v>
                </c:pt>
                <c:pt idx="4">
                  <c:v>0.87162629134317882</c:v>
                </c:pt>
                <c:pt idx="5">
                  <c:v>0</c:v>
                </c:pt>
                <c:pt idx="6">
                  <c:v>0.88369983142021913</c:v>
                </c:pt>
                <c:pt idx="7">
                  <c:v>0</c:v>
                </c:pt>
                <c:pt idx="8">
                  <c:v>0</c:v>
                </c:pt>
                <c:pt idx="9">
                  <c:v>0.84187182331584043</c:v>
                </c:pt>
                <c:pt idx="10">
                  <c:v>0.94564420433936214</c:v>
                </c:pt>
                <c:pt idx="11">
                  <c:v>0.93377936291996244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70304"/>
        <c:axId val="849180640"/>
      </c:scatterChart>
      <c:valAx>
        <c:axId val="84917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80640"/>
        <c:crosses val="autoZero"/>
        <c:crossBetween val="midCat"/>
      </c:valAx>
      <c:valAx>
        <c:axId val="84918064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7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RESULTS!$D$82:$I$82</c:f>
              <c:numCache>
                <c:formatCode>0.0</c:formatCode>
                <c:ptCount val="6"/>
                <c:pt idx="0">
                  <c:v>3864.3855232334677</c:v>
                </c:pt>
                <c:pt idx="1">
                  <c:v>4325.2123627059718</c:v>
                </c:pt>
                <c:pt idx="2">
                  <c:v>3837.6300876310361</c:v>
                </c:pt>
                <c:pt idx="3">
                  <c:v>3618.5771147321257</c:v>
                </c:pt>
                <c:pt idx="4">
                  <c:v>3433.4487459405123</c:v>
                </c:pt>
                <c:pt idx="5">
                  <c:v>3354.7683396405673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RESULTS!$O$82:$U$82</c:f>
              <c:numCache>
                <c:formatCode>0.0</c:formatCode>
                <c:ptCount val="7"/>
                <c:pt idx="0">
                  <c:v>4479.7950383101515</c:v>
                </c:pt>
                <c:pt idx="1">
                  <c:v>4438.8407307164553</c:v>
                </c:pt>
                <c:pt idx="2">
                  <c:v>3711.9700884928384</c:v>
                </c:pt>
                <c:pt idx="3">
                  <c:v>3675.1557806306978</c:v>
                </c:pt>
                <c:pt idx="4">
                  <c:v>3750.4556796054312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RESULTS!$Z$82:$AL$82</c:f>
              <c:numCache>
                <c:formatCode>0.0</c:formatCode>
                <c:ptCount val="13"/>
                <c:pt idx="0">
                  <c:v>3683.9735894357746</c:v>
                </c:pt>
                <c:pt idx="1">
                  <c:v>3587.7551020408168</c:v>
                </c:pt>
                <c:pt idx="2">
                  <c:v>3531.1699402220324</c:v>
                </c:pt>
                <c:pt idx="3">
                  <c:v>3529.0796160361378</c:v>
                </c:pt>
                <c:pt idx="4">
                  <c:v>3806.0825052694972</c:v>
                </c:pt>
                <c:pt idx="5">
                  <c:v>3511.6345062429059</c:v>
                </c:pt>
                <c:pt idx="6">
                  <c:v>3813.3540372670805</c:v>
                </c:pt>
                <c:pt idx="7">
                  <c:v>3586.0306643952299</c:v>
                </c:pt>
                <c:pt idx="8">
                  <c:v>3466.0468876313657</c:v>
                </c:pt>
                <c:pt idx="9">
                  <c:v>3456.2275614471141</c:v>
                </c:pt>
                <c:pt idx="10">
                  <c:v>3841.4103758931342</c:v>
                </c:pt>
                <c:pt idx="11">
                  <c:v>3796.414852752881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81184"/>
        <c:axId val="849170848"/>
      </c:scatterChart>
      <c:valAx>
        <c:axId val="84918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70848"/>
        <c:crosses val="autoZero"/>
        <c:crossBetween val="midCat"/>
      </c:valAx>
      <c:valAx>
        <c:axId val="849170848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 Speed/Pscav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81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34623797025369"/>
          <c:y val="0.46864282589676293"/>
          <c:w val="0.24850524934383203"/>
          <c:h val="0.2233162000583260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 - Exhaust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RESULTS!$D$83:$I$83</c:f>
              <c:numCache>
                <c:formatCode>General</c:formatCode>
                <c:ptCount val="6"/>
                <c:pt idx="0">
                  <c:v>7.9999999999999849E-2</c:v>
                </c:pt>
                <c:pt idx="1">
                  <c:v>0.15999999999999992</c:v>
                </c:pt>
                <c:pt idx="2">
                  <c:v>0.20000000000000018</c:v>
                </c:pt>
                <c:pt idx="3">
                  <c:v>0.20999999999999996</c:v>
                </c:pt>
                <c:pt idx="4">
                  <c:v>0.26000000000000023</c:v>
                </c:pt>
                <c:pt idx="5">
                  <c:v>0.21999999999999975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RESULTS!$O$83:$U$83</c:f>
              <c:numCache>
                <c:formatCode>0.00</c:formatCode>
                <c:ptCount val="7"/>
                <c:pt idx="0">
                  <c:v>1.1277647499999999</c:v>
                </c:pt>
                <c:pt idx="1">
                  <c:v>1.2258312499999997</c:v>
                </c:pt>
                <c:pt idx="2">
                  <c:v>2.4026292500000004</c:v>
                </c:pt>
                <c:pt idx="3">
                  <c:v>2.5006957499999998</c:v>
                </c:pt>
                <c:pt idx="4">
                  <c:v>2.4516624999999999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RESULTS!$Z$83:$AL$83</c:f>
              <c:numCache>
                <c:formatCode>General</c:formatCode>
                <c:ptCount val="13"/>
                <c:pt idx="0">
                  <c:v>9.9999999999999645E-2</c:v>
                </c:pt>
                <c:pt idx="1">
                  <c:v>-0.10000000000000053</c:v>
                </c:pt>
                <c:pt idx="2">
                  <c:v>0</c:v>
                </c:pt>
                <c:pt idx="3">
                  <c:v>0.39999999999999947</c:v>
                </c:pt>
                <c:pt idx="4">
                  <c:v>9.9999999999999645E-2</c:v>
                </c:pt>
                <c:pt idx="5">
                  <c:v>2.5</c:v>
                </c:pt>
                <c:pt idx="6">
                  <c:v>0.20000000000000018</c:v>
                </c:pt>
                <c:pt idx="7">
                  <c:v>2.5</c:v>
                </c:pt>
                <c:pt idx="8">
                  <c:v>2.7</c:v>
                </c:pt>
                <c:pt idx="9">
                  <c:v>0.30000000000000027</c:v>
                </c:pt>
                <c:pt idx="10">
                  <c:v>0.40000000000000036</c:v>
                </c:pt>
                <c:pt idx="11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81728"/>
        <c:axId val="849167040"/>
      </c:scatterChart>
      <c:valAx>
        <c:axId val="84918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67040"/>
        <c:crosses val="autoZero"/>
        <c:crossBetween val="midCat"/>
      </c:valAx>
      <c:valAx>
        <c:axId val="849167040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-</a:t>
                </a:r>
                <a:r>
                  <a:rPr lang="en-US" baseline="0"/>
                  <a:t> Pexh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8172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523512685914262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1.8166666666666667</c:v>
                </c:pt>
                <c:pt idx="1">
                  <c:v>2.2333333333333334</c:v>
                </c:pt>
                <c:pt idx="2">
                  <c:v>2.9333333333333336</c:v>
                </c:pt>
                <c:pt idx="3">
                  <c:v>3.5999999999999996</c:v>
                </c:pt>
                <c:pt idx="4">
                  <c:v>1.1333333333333333</c:v>
                </c:pt>
                <c:pt idx="5">
                  <c:v>0.10000000000000002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1.8833333333333331</c:v>
                </c:pt>
                <c:pt idx="1">
                  <c:v>2.0333333333333337</c:v>
                </c:pt>
                <c:pt idx="2">
                  <c:v>3.3166666666666664</c:v>
                </c:pt>
                <c:pt idx="3">
                  <c:v>2.6166666666666667</c:v>
                </c:pt>
                <c:pt idx="4">
                  <c:v>2.9333333333333336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RESULTS!$Z$13:$AL$13</c:f>
              <c:numCache>
                <c:formatCode>0.00</c:formatCode>
                <c:ptCount val="13"/>
                <c:pt idx="0">
                  <c:v>3.4166666666666665</c:v>
                </c:pt>
                <c:pt idx="1">
                  <c:v>3.1666666666666665</c:v>
                </c:pt>
                <c:pt idx="2">
                  <c:v>3.2166666666666663</c:v>
                </c:pt>
                <c:pt idx="3">
                  <c:v>2.4</c:v>
                </c:pt>
                <c:pt idx="4">
                  <c:v>3.1999999999999997</c:v>
                </c:pt>
                <c:pt idx="5">
                  <c:v>3.2666666666666662</c:v>
                </c:pt>
                <c:pt idx="6">
                  <c:v>3.3666666666666667</c:v>
                </c:pt>
                <c:pt idx="7">
                  <c:v>3.2333333333333329</c:v>
                </c:pt>
                <c:pt idx="8">
                  <c:v>2.5333333333333332</c:v>
                </c:pt>
                <c:pt idx="9">
                  <c:v>5.8000000000000007</c:v>
                </c:pt>
                <c:pt idx="10">
                  <c:v>6.1833333333333327</c:v>
                </c:pt>
                <c:pt idx="11">
                  <c:v>6.0500000000000007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77920"/>
        <c:axId val="849184448"/>
      </c:scatterChart>
      <c:valAx>
        <c:axId val="84917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</a:t>
                </a:r>
                <a:r>
                  <a:rPr lang="en-US" baseline="0"/>
                  <a:t>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84448"/>
        <c:crosses val="autoZero"/>
        <c:crossBetween val="midCat"/>
      </c:valAx>
      <c:valAx>
        <c:axId val="8491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7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Pcomp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RESULTS!$D$84:$I$84</c:f>
              <c:numCache>
                <c:formatCode>0.00</c:formatCode>
                <c:ptCount val="6"/>
                <c:pt idx="0">
                  <c:v>27.166666666666671</c:v>
                </c:pt>
                <c:pt idx="1">
                  <c:v>29.833333333333329</c:v>
                </c:pt>
                <c:pt idx="2">
                  <c:v>29.499999999999972</c:v>
                </c:pt>
                <c:pt idx="3">
                  <c:v>26.833333333333314</c:v>
                </c:pt>
                <c:pt idx="4">
                  <c:v>13.833333333333343</c:v>
                </c:pt>
                <c:pt idx="5">
                  <c:v>4.5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RESULTS!$O$84:$U$84</c:f>
              <c:numCache>
                <c:formatCode>0.00</c:formatCode>
                <c:ptCount val="7"/>
                <c:pt idx="0">
                  <c:v>24.166666666666671</c:v>
                </c:pt>
                <c:pt idx="1">
                  <c:v>23</c:v>
                </c:pt>
                <c:pt idx="2">
                  <c:v>13.833333333333329</c:v>
                </c:pt>
                <c:pt idx="3">
                  <c:v>16.833333333333329</c:v>
                </c:pt>
                <c:pt idx="4">
                  <c:v>16.333333333333329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RESULTS!$Z$84:$AI$84</c:f>
              <c:numCache>
                <c:formatCode>0.00</c:formatCode>
                <c:ptCount val="10"/>
                <c:pt idx="0">
                  <c:v>17.866666666666703</c:v>
                </c:pt>
                <c:pt idx="1">
                  <c:v>17.183333333333323</c:v>
                </c:pt>
                <c:pt idx="2">
                  <c:v>18.633333333333326</c:v>
                </c:pt>
                <c:pt idx="3">
                  <c:v>11.699999999999989</c:v>
                </c:pt>
                <c:pt idx="4">
                  <c:v>16.583333333333314</c:v>
                </c:pt>
                <c:pt idx="5">
                  <c:v>17.26666666666668</c:v>
                </c:pt>
                <c:pt idx="6">
                  <c:v>18.250000000000014</c:v>
                </c:pt>
                <c:pt idx="7">
                  <c:v>15.583333333333314</c:v>
                </c:pt>
                <c:pt idx="8">
                  <c:v>12.666666666666671</c:v>
                </c:pt>
                <c:pt idx="9">
                  <c:v>23.816666666666663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76832"/>
        <c:axId val="849174112"/>
      </c:scatterChart>
      <c:valAx>
        <c:axId val="84917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74112"/>
        <c:crosses val="autoZero"/>
        <c:crossBetween val="midCat"/>
      </c:valAx>
      <c:valAx>
        <c:axId val="84917411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-</a:t>
                </a:r>
                <a:r>
                  <a:rPr lang="en-US" baseline="0"/>
                  <a:t> Pcomp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76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01290463692039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709.60977110494036</c:v>
                </c:pt>
                <c:pt idx="1">
                  <c:v>1129.7918383033734</c:v>
                </c:pt>
                <c:pt idx="2">
                  <c:v>1478.6409129470705</c:v>
                </c:pt>
                <c:pt idx="3">
                  <c:v>1673.2111430500381</c:v>
                </c:pt>
                <c:pt idx="4">
                  <c:v>1793.3736043612264</c:v>
                </c:pt>
                <c:pt idx="5">
                  <c:v>1917.1911817454763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RESULTS!$O$90:$U$90</c:f>
              <c:numCache>
                <c:formatCode>General</c:formatCode>
                <c:ptCount val="7"/>
                <c:pt idx="0">
                  <c:v>1053.9211915191675</c:v>
                </c:pt>
                <c:pt idx="1">
                  <c:v>1125.3698623728394</c:v>
                </c:pt>
                <c:pt idx="2">
                  <c:v>1603.0092240280626</c:v>
                </c:pt>
                <c:pt idx="3">
                  <c:v>1660.2631502774157</c:v>
                </c:pt>
                <c:pt idx="4">
                  <c:v>1645.3378401633245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RESULTS!$Z$6:$AK$6</c:f>
              <c:numCache>
                <c:formatCode>0.0%</c:formatCode>
                <c:ptCount val="12"/>
                <c:pt idx="0">
                  <c:v>0.81780053662605068</c:v>
                </c:pt>
                <c:pt idx="1">
                  <c:v>0.79883770212026628</c:v>
                </c:pt>
                <c:pt idx="2">
                  <c:v>0.77647318045602376</c:v>
                </c:pt>
                <c:pt idx="3">
                  <c:v>0.83695566819794931</c:v>
                </c:pt>
                <c:pt idx="4">
                  <c:v>0.80833003928965508</c:v>
                </c:pt>
                <c:pt idx="5">
                  <c:v>0.77654491454162822</c:v>
                </c:pt>
                <c:pt idx="6">
                  <c:v>0.77537888053131476</c:v>
                </c:pt>
                <c:pt idx="7">
                  <c:v>0.81822401631458408</c:v>
                </c:pt>
                <c:pt idx="8">
                  <c:v>0.8503592886289788</c:v>
                </c:pt>
                <c:pt idx="9">
                  <c:v>0.84211466289410686</c:v>
                </c:pt>
                <c:pt idx="10">
                  <c:v>0.8122265851030156</c:v>
                </c:pt>
                <c:pt idx="11">
                  <c:v>0.83324822337758164</c:v>
                </c:pt>
              </c:numCache>
            </c:numRef>
          </c:xVal>
          <c:yVal>
            <c:numRef>
              <c:f>RESULTS!$Z$90:$AL$90</c:f>
              <c:numCache>
                <c:formatCode>0</c:formatCode>
                <c:ptCount val="13"/>
                <c:pt idx="0">
                  <c:v>1512.7416641979603</c:v>
                </c:pt>
                <c:pt idx="1">
                  <c:v>1441.4515397932294</c:v>
                </c:pt>
                <c:pt idx="2">
                  <c:v>1422.324921050496</c:v>
                </c:pt>
                <c:pt idx="3">
                  <c:v>1495.3538289772946</c:v>
                </c:pt>
                <c:pt idx="4">
                  <c:v>1455.3618079697619</c:v>
                </c:pt>
                <c:pt idx="5">
                  <c:v>1411.8922199180963</c:v>
                </c:pt>
                <c:pt idx="6">
                  <c:v>1420.5861375284296</c:v>
                </c:pt>
                <c:pt idx="7">
                  <c:v>1479.7047772786948</c:v>
                </c:pt>
                <c:pt idx="8">
                  <c:v>1550.9949016834264</c:v>
                </c:pt>
                <c:pt idx="9">
                  <c:v>1538.8234170289597</c:v>
                </c:pt>
                <c:pt idx="10">
                  <c:v>1481.4435608007614</c:v>
                </c:pt>
                <c:pt idx="11">
                  <c:v>1563.1663863378924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68672"/>
        <c:axId val="849185536"/>
      </c:scatterChart>
      <c:valAx>
        <c:axId val="84916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85536"/>
        <c:crosses val="autoZero"/>
        <c:crossBetween val="midCat"/>
      </c:valAx>
      <c:valAx>
        <c:axId val="8491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(kNm)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68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  <a:r>
              <a:rPr lang="en-US" baseline="0"/>
              <a:t>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RESULTS!$Z$8:$AI$8</c:f>
              <c:numCache>
                <c:formatCode>0.00</c:formatCode>
                <c:ptCount val="10"/>
                <c:pt idx="0">
                  <c:v>88.233333333333334</c:v>
                </c:pt>
                <c:pt idx="1">
                  <c:v>90.45</c:v>
                </c:pt>
                <c:pt idx="2">
                  <c:v>89.100000000000009</c:v>
                </c:pt>
                <c:pt idx="3">
                  <c:v>91.350000000000009</c:v>
                </c:pt>
                <c:pt idx="4">
                  <c:v>90.649999999999991</c:v>
                </c:pt>
                <c:pt idx="5">
                  <c:v>89.766666666666652</c:v>
                </c:pt>
                <c:pt idx="6">
                  <c:v>89.083333333333329</c:v>
                </c:pt>
                <c:pt idx="7">
                  <c:v>90.25</c:v>
                </c:pt>
                <c:pt idx="8">
                  <c:v>89.483333333333334</c:v>
                </c:pt>
                <c:pt idx="9">
                  <c:v>89.316666666666663</c:v>
                </c:pt>
              </c:numCache>
            </c:numRef>
          </c:xVal>
          <c:yVal>
            <c:numRef>
              <c:f>RESULTS!$Z$90:$AI$90</c:f>
              <c:numCache>
                <c:formatCode>0</c:formatCode>
                <c:ptCount val="10"/>
                <c:pt idx="0">
                  <c:v>1512.7416641979603</c:v>
                </c:pt>
                <c:pt idx="1">
                  <c:v>1441.4515397932294</c:v>
                </c:pt>
                <c:pt idx="2">
                  <c:v>1422.324921050496</c:v>
                </c:pt>
                <c:pt idx="3">
                  <c:v>1495.3538289772946</c:v>
                </c:pt>
                <c:pt idx="4">
                  <c:v>1455.3618079697619</c:v>
                </c:pt>
                <c:pt idx="5">
                  <c:v>1411.8922199180963</c:v>
                </c:pt>
                <c:pt idx="6">
                  <c:v>1420.5861375284296</c:v>
                </c:pt>
                <c:pt idx="7">
                  <c:v>1479.7047772786948</c:v>
                </c:pt>
                <c:pt idx="8">
                  <c:v>1550.9949016834264</c:v>
                </c:pt>
                <c:pt idx="9">
                  <c:v>1538.8234170289597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92608"/>
        <c:axId val="849186080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82.9</c:v>
                </c:pt>
                <c:pt idx="3">
                  <c:v>87.9</c:v>
                </c:pt>
                <c:pt idx="4">
                  <c:v>91</c:v>
                </c:pt>
                <c:pt idx="5">
                  <c:v>94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709.60977110494036</c:v>
                </c:pt>
                <c:pt idx="1">
                  <c:v>1129.7918383033734</c:v>
                </c:pt>
                <c:pt idx="2">
                  <c:v>1478.6409129470705</c:v>
                </c:pt>
                <c:pt idx="3">
                  <c:v>1673.2111430500381</c:v>
                </c:pt>
                <c:pt idx="4">
                  <c:v>1793.3736043612264</c:v>
                </c:pt>
                <c:pt idx="5">
                  <c:v>1917.1911817454763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RESULTS!$O$8:$S$8</c:f>
              <c:numCache>
                <c:formatCode>General</c:formatCode>
                <c:ptCount val="5"/>
                <c:pt idx="0">
                  <c:v>74.89</c:v>
                </c:pt>
                <c:pt idx="1">
                  <c:v>74.900000000000006</c:v>
                </c:pt>
                <c:pt idx="2">
                  <c:v>90.71</c:v>
                </c:pt>
                <c:pt idx="3">
                  <c:v>90.7</c:v>
                </c:pt>
                <c:pt idx="4">
                  <c:v>90.8</c:v>
                </c:pt>
              </c:numCache>
            </c:numRef>
          </c:xVal>
          <c:yVal>
            <c:numRef>
              <c:f>RESULTS!$O$90:$S$90</c:f>
              <c:numCache>
                <c:formatCode>General</c:formatCode>
                <c:ptCount val="5"/>
                <c:pt idx="0">
                  <c:v>1053.9211915191675</c:v>
                </c:pt>
                <c:pt idx="1">
                  <c:v>1125.3698623728394</c:v>
                </c:pt>
                <c:pt idx="2">
                  <c:v>1603.0092240280626</c:v>
                </c:pt>
                <c:pt idx="3">
                  <c:v>1660.2631502774157</c:v>
                </c:pt>
                <c:pt idx="4">
                  <c:v>1645.3378401633245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92608"/>
        <c:axId val="849186080"/>
      </c:scatterChart>
      <c:valAx>
        <c:axId val="849192608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86080"/>
        <c:crosses val="autoZero"/>
        <c:crossBetween val="midCat"/>
      </c:valAx>
      <c:valAx>
        <c:axId val="84918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9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4494356955380592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Torque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RESULTS!$Z$94:$AI$94</c:f>
              <c:numCache>
                <c:formatCode>0.00</c:formatCode>
                <c:ptCount val="10"/>
                <c:pt idx="0">
                  <c:v>81.800569984143991</c:v>
                </c:pt>
                <c:pt idx="1">
                  <c:v>79.514757408743449</c:v>
                </c:pt>
                <c:pt idx="2">
                  <c:v>76.936056974253461</c:v>
                </c:pt>
                <c:pt idx="3">
                  <c:v>84.706813361716257</c:v>
                </c:pt>
                <c:pt idx="4">
                  <c:v>89.157809928335666</c:v>
                </c:pt>
                <c:pt idx="5">
                  <c:v>86.545764715591446</c:v>
                </c:pt>
                <c:pt idx="6">
                  <c:v>82.091216992757197</c:v>
                </c:pt>
                <c:pt idx="7">
                  <c:v>87.135113227448414</c:v>
                </c:pt>
                <c:pt idx="8">
                  <c:v>85.931018714210879</c:v>
                </c:pt>
                <c:pt idx="9">
                  <c:v>85.607361393253399</c:v>
                </c:pt>
              </c:numCache>
            </c:numRef>
          </c:xVal>
          <c:yVal>
            <c:numRef>
              <c:f>RESULTS!$Z$90:$AI$90</c:f>
              <c:numCache>
                <c:formatCode>0</c:formatCode>
                <c:ptCount val="10"/>
                <c:pt idx="0">
                  <c:v>1512.7416641979603</c:v>
                </c:pt>
                <c:pt idx="1">
                  <c:v>1441.4515397932294</c:v>
                </c:pt>
                <c:pt idx="2">
                  <c:v>1422.324921050496</c:v>
                </c:pt>
                <c:pt idx="3">
                  <c:v>1495.3538289772946</c:v>
                </c:pt>
                <c:pt idx="4">
                  <c:v>1455.3618079697619</c:v>
                </c:pt>
                <c:pt idx="5">
                  <c:v>1411.8922199180963</c:v>
                </c:pt>
                <c:pt idx="6">
                  <c:v>1420.5861375284296</c:v>
                </c:pt>
                <c:pt idx="7">
                  <c:v>1479.7047772786948</c:v>
                </c:pt>
                <c:pt idx="8">
                  <c:v>1550.9949016834264</c:v>
                </c:pt>
                <c:pt idx="9">
                  <c:v>1538.8234170289597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87712"/>
        <c:axId val="849188256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41.5</c:v>
                </c:pt>
                <c:pt idx="1">
                  <c:v>56.5</c:v>
                </c:pt>
                <c:pt idx="2">
                  <c:v>69.666666666666671</c:v>
                </c:pt>
                <c:pt idx="3">
                  <c:v>78.5</c:v>
                </c:pt>
                <c:pt idx="4">
                  <c:v>84.5</c:v>
                </c:pt>
                <c:pt idx="5">
                  <c:v>90.666666666666671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709.60977110494036</c:v>
                </c:pt>
                <c:pt idx="1">
                  <c:v>1129.7918383033734</c:v>
                </c:pt>
                <c:pt idx="2">
                  <c:v>1478.6409129470705</c:v>
                </c:pt>
                <c:pt idx="3">
                  <c:v>1673.2111430500381</c:v>
                </c:pt>
                <c:pt idx="4">
                  <c:v>1793.3736043612264</c:v>
                </c:pt>
                <c:pt idx="5">
                  <c:v>1917.1911817454763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RESULTS!$O$94:$S$94</c:f>
              <c:numCache>
                <c:formatCode>0.00</c:formatCode>
                <c:ptCount val="5"/>
                <c:pt idx="0">
                  <c:v>58.071385884929065</c:v>
                </c:pt>
                <c:pt idx="1">
                  <c:v>60.251008947634183</c:v>
                </c:pt>
                <c:pt idx="2">
                  <c:v>78.817967347536765</c:v>
                </c:pt>
                <c:pt idx="3">
                  <c:v>81.616238377626829</c:v>
                </c:pt>
                <c:pt idx="4">
                  <c:v>79.750724357566781</c:v>
                </c:pt>
              </c:numCache>
            </c:numRef>
          </c:xVal>
          <c:yVal>
            <c:numRef>
              <c:f>RESULTS!$O$90:$S$90</c:f>
              <c:numCache>
                <c:formatCode>General</c:formatCode>
                <c:ptCount val="5"/>
                <c:pt idx="0">
                  <c:v>1053.9211915191675</c:v>
                </c:pt>
                <c:pt idx="1">
                  <c:v>1125.3698623728394</c:v>
                </c:pt>
                <c:pt idx="2">
                  <c:v>1603.0092240280626</c:v>
                </c:pt>
                <c:pt idx="3">
                  <c:v>1660.2631502774157</c:v>
                </c:pt>
                <c:pt idx="4">
                  <c:v>1645.3378401633245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87712"/>
        <c:axId val="849188256"/>
      </c:scatterChart>
      <c:valAx>
        <c:axId val="84918771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88256"/>
        <c:crosses val="autoZero"/>
        <c:crossBetween val="midCat"/>
      </c:valAx>
      <c:valAx>
        <c:axId val="84918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8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RESULTS!$Z$94:$AI$94</c:f>
              <c:numCache>
                <c:formatCode>0.00</c:formatCode>
                <c:ptCount val="10"/>
                <c:pt idx="0">
                  <c:v>81.800569984143991</c:v>
                </c:pt>
                <c:pt idx="1">
                  <c:v>79.514757408743449</c:v>
                </c:pt>
                <c:pt idx="2">
                  <c:v>76.936056974253461</c:v>
                </c:pt>
                <c:pt idx="3">
                  <c:v>84.706813361716257</c:v>
                </c:pt>
                <c:pt idx="4">
                  <c:v>89.157809928335666</c:v>
                </c:pt>
                <c:pt idx="5">
                  <c:v>86.545764715591446</c:v>
                </c:pt>
                <c:pt idx="6">
                  <c:v>82.091216992757197</c:v>
                </c:pt>
                <c:pt idx="7">
                  <c:v>87.135113227448414</c:v>
                </c:pt>
                <c:pt idx="8">
                  <c:v>85.931018714210879</c:v>
                </c:pt>
                <c:pt idx="9">
                  <c:v>85.607361393253399</c:v>
                </c:pt>
              </c:numCache>
            </c:numRef>
          </c:xVal>
          <c:yVal>
            <c:numRef>
              <c:f>RESULTS!$Z$48:$AI$48</c:f>
              <c:numCache>
                <c:formatCode>0</c:formatCode>
                <c:ptCount val="10"/>
                <c:pt idx="0">
                  <c:v>13977.389675683591</c:v>
                </c:pt>
                <c:pt idx="1">
                  <c:v>13653.287507279116</c:v>
                </c:pt>
                <c:pt idx="2">
                  <c:v>13271.045603280067</c:v>
                </c:pt>
                <c:pt idx="3">
                  <c:v>14304.778478060769</c:v>
                </c:pt>
                <c:pt idx="4">
                  <c:v>13815.525228590603</c:v>
                </c:pt>
                <c:pt idx="5">
                  <c:v>13272.271642176616</c:v>
                </c:pt>
                <c:pt idx="6">
                  <c:v>13252.34244060811</c:v>
                </c:pt>
                <c:pt idx="7">
                  <c:v>13984.627553822911</c:v>
                </c:pt>
                <c:pt idx="8">
                  <c:v>14533.865666731961</c:v>
                </c:pt>
                <c:pt idx="9">
                  <c:v>14392.953131871192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91520"/>
        <c:axId val="849177376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41.5</c:v>
                </c:pt>
                <c:pt idx="1">
                  <c:v>56.5</c:v>
                </c:pt>
                <c:pt idx="2">
                  <c:v>69.666666666666671</c:v>
                </c:pt>
                <c:pt idx="3">
                  <c:v>78.5</c:v>
                </c:pt>
                <c:pt idx="4">
                  <c:v>84.5</c:v>
                </c:pt>
                <c:pt idx="5">
                  <c:v>90.666666666666671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4265.4032678399999</c:v>
                </c:pt>
                <c:pt idx="1">
                  <c:v>8553.9232317120004</c:v>
                </c:pt>
                <c:pt idx="2">
                  <c:v>12836.477596608</c:v>
                </c:pt>
                <c:pt idx="3">
                  <c:v>15401.685156288</c:v>
                </c:pt>
                <c:pt idx="4">
                  <c:v>17089.949666495999</c:v>
                </c:pt>
                <c:pt idx="5">
                  <c:v>18872.172360575998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RESULTS!$O$94:$S$94</c:f>
              <c:numCache>
                <c:formatCode>0.00</c:formatCode>
                <c:ptCount val="5"/>
                <c:pt idx="0">
                  <c:v>58.071385884929065</c:v>
                </c:pt>
                <c:pt idx="1">
                  <c:v>60.251008947634183</c:v>
                </c:pt>
                <c:pt idx="2">
                  <c:v>78.817967347536765</c:v>
                </c:pt>
                <c:pt idx="3">
                  <c:v>81.616238377626829</c:v>
                </c:pt>
                <c:pt idx="4">
                  <c:v>79.750724357566781</c:v>
                </c:pt>
              </c:numCache>
            </c:numRef>
          </c:xVal>
          <c:yVal>
            <c:numRef>
              <c:f>RESULTS!$O$48:$S$48</c:f>
              <c:numCache>
                <c:formatCode>0</c:formatCode>
                <c:ptCount val="5"/>
                <c:pt idx="0">
                  <c:v>8265.3373812480004</c:v>
                </c:pt>
                <c:pt idx="1">
                  <c:v>8826.8493848639991</c:v>
                </c:pt>
                <c:pt idx="2">
                  <c:v>15227.19138624</c:v>
                </c:pt>
                <c:pt idx="3">
                  <c:v>15769.315193184</c:v>
                </c:pt>
                <c:pt idx="4">
                  <c:v>15644.78331456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91520"/>
        <c:axId val="849177376"/>
      </c:scatterChart>
      <c:valAx>
        <c:axId val="84919152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77376"/>
        <c:crosses val="autoZero"/>
        <c:crossBetween val="midCat"/>
      </c:valAx>
      <c:valAx>
        <c:axId val="8491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</a:t>
                </a:r>
                <a:r>
                  <a:rPr lang="en-US" baseline="0"/>
                  <a:t>(kW)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9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61023622047239"/>
          <c:y val="0.54042723826188388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</a:t>
            </a:r>
            <a:r>
              <a:rPr lang="en-US" baseline="0"/>
              <a:t> vs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RESULTS!$D$90:$I$90</c:f>
              <c:numCache>
                <c:formatCode>General</c:formatCode>
                <c:ptCount val="6"/>
                <c:pt idx="0" formatCode="0.00">
                  <c:v>709.60977110494036</c:v>
                </c:pt>
                <c:pt idx="1">
                  <c:v>1129.7918383033734</c:v>
                </c:pt>
                <c:pt idx="2">
                  <c:v>1478.6409129470705</c:v>
                </c:pt>
                <c:pt idx="3">
                  <c:v>1673.2111430500381</c:v>
                </c:pt>
                <c:pt idx="4">
                  <c:v>1793.3736043612264</c:v>
                </c:pt>
                <c:pt idx="5">
                  <c:v>1917.1911817454763</c:v>
                </c:pt>
              </c:numCache>
            </c:numRef>
          </c:xVal>
          <c:yVal>
            <c:numRef>
              <c:f>RESULTS!$D$61:$I$61</c:f>
              <c:numCache>
                <c:formatCode>0.00</c:formatCode>
                <c:ptCount val="6"/>
                <c:pt idx="0">
                  <c:v>76.17378400072667</c:v>
                </c:pt>
                <c:pt idx="1">
                  <c:v>105.50671736689</c:v>
                </c:pt>
                <c:pt idx="2">
                  <c:v>135.67298406638665</c:v>
                </c:pt>
                <c:pt idx="3">
                  <c:v>151.00605075493999</c:v>
                </c:pt>
                <c:pt idx="4">
                  <c:v>151.00565078777001</c:v>
                </c:pt>
                <c:pt idx="5">
                  <c:v>151.33791754198333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RESULTS!$O$90:$S$90</c:f>
              <c:numCache>
                <c:formatCode>General</c:formatCode>
                <c:ptCount val="5"/>
                <c:pt idx="0">
                  <c:v>1053.9211915191675</c:v>
                </c:pt>
                <c:pt idx="1">
                  <c:v>1125.3698623728394</c:v>
                </c:pt>
                <c:pt idx="2">
                  <c:v>1603.0092240280626</c:v>
                </c:pt>
                <c:pt idx="3">
                  <c:v>1660.2631502774157</c:v>
                </c:pt>
                <c:pt idx="4">
                  <c:v>1645.3378401633245</c:v>
                </c:pt>
              </c:numCache>
            </c:numRef>
          </c:xVal>
          <c:yVal>
            <c:numRef>
              <c:f>RESULTS!$O$61:$S$61</c:f>
              <c:numCache>
                <c:formatCode>0.00</c:formatCode>
                <c:ptCount val="5"/>
                <c:pt idx="0">
                  <c:v>99.170584263366678</c:v>
                </c:pt>
                <c:pt idx="1">
                  <c:v>101.67058426336668</c:v>
                </c:pt>
                <c:pt idx="2">
                  <c:v>135.17058426336666</c:v>
                </c:pt>
                <c:pt idx="3">
                  <c:v>142.00391759670001</c:v>
                </c:pt>
                <c:pt idx="4">
                  <c:v>141.17058426336666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RESULTS!$Z$90:$AI$90</c:f>
              <c:numCache>
                <c:formatCode>0</c:formatCode>
                <c:ptCount val="10"/>
                <c:pt idx="0">
                  <c:v>1512.7416641979603</c:v>
                </c:pt>
                <c:pt idx="1">
                  <c:v>1441.4515397932294</c:v>
                </c:pt>
                <c:pt idx="2">
                  <c:v>1422.324921050496</c:v>
                </c:pt>
                <c:pt idx="3">
                  <c:v>1495.3538289772946</c:v>
                </c:pt>
                <c:pt idx="4">
                  <c:v>1455.3618079697619</c:v>
                </c:pt>
                <c:pt idx="5">
                  <c:v>1411.8922199180963</c:v>
                </c:pt>
                <c:pt idx="6">
                  <c:v>1420.5861375284296</c:v>
                </c:pt>
                <c:pt idx="7">
                  <c:v>1479.7047772786948</c:v>
                </c:pt>
                <c:pt idx="8">
                  <c:v>1550.9949016834264</c:v>
                </c:pt>
                <c:pt idx="9">
                  <c:v>1538.8234170289597</c:v>
                </c:pt>
              </c:numCache>
            </c:numRef>
          </c:xVal>
          <c:yVal>
            <c:numRef>
              <c:f>RESULTS!$Z$61:$AI$61</c:f>
              <c:numCache>
                <c:formatCode>0.00</c:formatCode>
                <c:ptCount val="10"/>
                <c:pt idx="0">
                  <c:v>135.36533333333335</c:v>
                </c:pt>
                <c:pt idx="1">
                  <c:v>138.69666666666666</c:v>
                </c:pt>
                <c:pt idx="2">
                  <c:v>135.51300000000001</c:v>
                </c:pt>
                <c:pt idx="3">
                  <c:v>139.542</c:v>
                </c:pt>
                <c:pt idx="4">
                  <c:v>134.52099999999999</c:v>
                </c:pt>
                <c:pt idx="5">
                  <c:v>134.35733333333334</c:v>
                </c:pt>
                <c:pt idx="6">
                  <c:v>132.02000000000001</c:v>
                </c:pt>
                <c:pt idx="7">
                  <c:v>134.02199999999999</c:v>
                </c:pt>
                <c:pt idx="8">
                  <c:v>136.511</c:v>
                </c:pt>
                <c:pt idx="9">
                  <c:v>143.52099999999999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89888"/>
        <c:axId val="849193152"/>
      </c:scatterChart>
      <c:valAx>
        <c:axId val="84918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Torque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93152"/>
        <c:crosses val="autoZero"/>
        <c:crossBetween val="midCat"/>
      </c:valAx>
      <c:valAx>
        <c:axId val="8491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8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83245844269471"/>
          <c:y val="0.55894575678040248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</a:t>
            </a:r>
            <a:r>
              <a:rPr lang="en-US" baseline="0"/>
              <a:t> vs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RESULTS!$D$90:$I$90</c:f>
              <c:numCache>
                <c:formatCode>General</c:formatCode>
                <c:ptCount val="6"/>
                <c:pt idx="0" formatCode="0.00">
                  <c:v>709.60977110494036</c:v>
                </c:pt>
                <c:pt idx="1">
                  <c:v>1129.7918383033734</c:v>
                </c:pt>
                <c:pt idx="2">
                  <c:v>1478.6409129470705</c:v>
                </c:pt>
                <c:pt idx="3">
                  <c:v>1673.2111430500381</c:v>
                </c:pt>
                <c:pt idx="4">
                  <c:v>1793.3736043612264</c:v>
                </c:pt>
                <c:pt idx="5">
                  <c:v>1917.1911817454763</c:v>
                </c:pt>
              </c:numCache>
            </c:numRef>
          </c:xVal>
          <c:yVal>
            <c:numRef>
              <c:f>RESULTS!$D$62:$I$62</c:f>
              <c:numCache>
                <c:formatCode>0.00</c:formatCode>
                <c:ptCount val="6"/>
                <c:pt idx="0">
                  <c:v>49.007117334059998</c:v>
                </c:pt>
                <c:pt idx="1">
                  <c:v>75.673384033556673</c:v>
                </c:pt>
                <c:pt idx="2">
                  <c:v>106.17298406638668</c:v>
                </c:pt>
                <c:pt idx="3">
                  <c:v>124.17271742160668</c:v>
                </c:pt>
                <c:pt idx="4">
                  <c:v>137.17231745443667</c:v>
                </c:pt>
                <c:pt idx="5">
                  <c:v>146.83791754198333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RESULTS!$O$90:$S$90</c:f>
              <c:numCache>
                <c:formatCode>General</c:formatCode>
                <c:ptCount val="5"/>
                <c:pt idx="0">
                  <c:v>1053.9211915191675</c:v>
                </c:pt>
                <c:pt idx="1">
                  <c:v>1125.3698623728394</c:v>
                </c:pt>
                <c:pt idx="2">
                  <c:v>1603.0092240280626</c:v>
                </c:pt>
                <c:pt idx="3">
                  <c:v>1660.2631502774157</c:v>
                </c:pt>
                <c:pt idx="4">
                  <c:v>1645.3378401633245</c:v>
                </c:pt>
              </c:numCache>
            </c:numRef>
          </c:xVal>
          <c:yVal>
            <c:numRef>
              <c:f>RESULTS!$O$62:$S$62</c:f>
              <c:numCache>
                <c:formatCode>0.00</c:formatCode>
                <c:ptCount val="5"/>
                <c:pt idx="0">
                  <c:v>75.003917596700006</c:v>
                </c:pt>
                <c:pt idx="1">
                  <c:v>78.670584263366678</c:v>
                </c:pt>
                <c:pt idx="2">
                  <c:v>121.33725093003333</c:v>
                </c:pt>
                <c:pt idx="3">
                  <c:v>125.17058426336668</c:v>
                </c:pt>
                <c:pt idx="4">
                  <c:v>124.83725093003333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RESULTS!$Z$90:$AI$90</c:f>
              <c:numCache>
                <c:formatCode>0</c:formatCode>
                <c:ptCount val="10"/>
                <c:pt idx="0">
                  <c:v>1512.7416641979603</c:v>
                </c:pt>
                <c:pt idx="1">
                  <c:v>1441.4515397932294</c:v>
                </c:pt>
                <c:pt idx="2">
                  <c:v>1422.324921050496</c:v>
                </c:pt>
                <c:pt idx="3">
                  <c:v>1495.3538289772946</c:v>
                </c:pt>
                <c:pt idx="4">
                  <c:v>1455.3618079697619</c:v>
                </c:pt>
                <c:pt idx="5">
                  <c:v>1411.8922199180963</c:v>
                </c:pt>
                <c:pt idx="6">
                  <c:v>1420.5861375284296</c:v>
                </c:pt>
                <c:pt idx="7">
                  <c:v>1479.7047772786948</c:v>
                </c:pt>
                <c:pt idx="8">
                  <c:v>1550.9949016834264</c:v>
                </c:pt>
                <c:pt idx="9">
                  <c:v>1538.8234170289597</c:v>
                </c:pt>
              </c:numCache>
            </c:numRef>
          </c:xVal>
          <c:yVal>
            <c:numRef>
              <c:f>RESULTS!$Z$62:$AI$62</c:f>
              <c:numCache>
                <c:formatCode>0.00</c:formatCode>
                <c:ptCount val="10"/>
                <c:pt idx="0">
                  <c:v>117.49866666666665</c:v>
                </c:pt>
                <c:pt idx="1">
                  <c:v>121.51333333333334</c:v>
                </c:pt>
                <c:pt idx="2">
                  <c:v>116.87966666666668</c:v>
                </c:pt>
                <c:pt idx="3">
                  <c:v>127.84200000000001</c:v>
                </c:pt>
                <c:pt idx="4">
                  <c:v>117.93766666666667</c:v>
                </c:pt>
                <c:pt idx="5">
                  <c:v>117.09066666666666</c:v>
                </c:pt>
                <c:pt idx="6">
                  <c:v>113.77</c:v>
                </c:pt>
                <c:pt idx="7">
                  <c:v>118.43866666666668</c:v>
                </c:pt>
                <c:pt idx="8">
                  <c:v>123.84433333333332</c:v>
                </c:pt>
                <c:pt idx="9">
                  <c:v>119.70433333333332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90976"/>
        <c:axId val="849193696"/>
      </c:scatterChart>
      <c:valAx>
        <c:axId val="8491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Torque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93696"/>
        <c:crosses val="autoZero"/>
        <c:crossBetween val="midCat"/>
      </c:valAx>
      <c:valAx>
        <c:axId val="8491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9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83245844269462"/>
          <c:y val="0.54042723826188388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Fuel</a:t>
            </a:r>
            <a:r>
              <a:rPr lang="en-US" sz="1200" baseline="0"/>
              <a:t> Pump Index (corrected) vs Governor index (-) 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'INPUT DATA'!$O$32:$U$32</c:f>
              <c:numCache>
                <c:formatCode>0.0</c:formatCode>
                <c:ptCount val="7"/>
              </c:numCache>
            </c:numRef>
          </c:xVal>
          <c:yVal>
            <c:numRef>
              <c:f>RESULTS!$O$94:$U$94</c:f>
              <c:numCache>
                <c:formatCode>0.00</c:formatCode>
                <c:ptCount val="7"/>
                <c:pt idx="0">
                  <c:v>58.071385884929065</c:v>
                </c:pt>
                <c:pt idx="1">
                  <c:v>60.251008947634183</c:v>
                </c:pt>
                <c:pt idx="2">
                  <c:v>78.817967347536765</c:v>
                </c:pt>
                <c:pt idx="3">
                  <c:v>81.616238377626829</c:v>
                </c:pt>
                <c:pt idx="4">
                  <c:v>79.750724357566781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95328"/>
        <c:axId val="849195872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'INPUT DATA'!$D$32:$I$32</c:f>
              <c:numCache>
                <c:formatCode>0.0</c:formatCode>
                <c:ptCount val="6"/>
                <c:pt idx="0">
                  <c:v>31</c:v>
                </c:pt>
                <c:pt idx="1">
                  <c:v>41</c:v>
                </c:pt>
                <c:pt idx="2">
                  <c:v>50</c:v>
                </c:pt>
                <c:pt idx="3">
                  <c:v>57</c:v>
                </c:pt>
                <c:pt idx="4">
                  <c:v>60.5</c:v>
                </c:pt>
                <c:pt idx="5">
                  <c:v>65.7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41.5</c:v>
                </c:pt>
                <c:pt idx="1">
                  <c:v>56.5</c:v>
                </c:pt>
                <c:pt idx="2">
                  <c:v>69.666666666666671</c:v>
                </c:pt>
                <c:pt idx="3">
                  <c:v>78.5</c:v>
                </c:pt>
                <c:pt idx="4">
                  <c:v>84.5</c:v>
                </c:pt>
                <c:pt idx="5">
                  <c:v>90.666666666666671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'INPUT DATA'!$Z$32:$AN$32</c:f>
              <c:numCache>
                <c:formatCode>0.0</c:formatCode>
                <c:ptCount val="15"/>
                <c:pt idx="0">
                  <c:v>60</c:v>
                </c:pt>
                <c:pt idx="1">
                  <c:v>58</c:v>
                </c:pt>
                <c:pt idx="2">
                  <c:v>58</c:v>
                </c:pt>
                <c:pt idx="3">
                  <c:v>64</c:v>
                </c:pt>
                <c:pt idx="4">
                  <c:v>62</c:v>
                </c:pt>
                <c:pt idx="5">
                  <c:v>60</c:v>
                </c:pt>
                <c:pt idx="6">
                  <c:v>60</c:v>
                </c:pt>
                <c:pt idx="7">
                  <c:v>61</c:v>
                </c:pt>
                <c:pt idx="8">
                  <c:v>67</c:v>
                </c:pt>
                <c:pt idx="9">
                  <c:v>64</c:v>
                </c:pt>
                <c:pt idx="10">
                  <c:v>63</c:v>
                </c:pt>
                <c:pt idx="11">
                  <c:v>6.9</c:v>
                </c:pt>
              </c:numCache>
            </c:numRef>
          </c:xVal>
          <c:yVal>
            <c:numRef>
              <c:f>RESULTS!$Z$94:$AN$94</c:f>
              <c:numCache>
                <c:formatCode>0.00</c:formatCode>
                <c:ptCount val="15"/>
                <c:pt idx="0">
                  <c:v>81.800569984143991</c:v>
                </c:pt>
                <c:pt idx="1">
                  <c:v>79.514757408743449</c:v>
                </c:pt>
                <c:pt idx="2">
                  <c:v>76.936056974253461</c:v>
                </c:pt>
                <c:pt idx="3">
                  <c:v>84.706813361716257</c:v>
                </c:pt>
                <c:pt idx="4">
                  <c:v>89.157809928335666</c:v>
                </c:pt>
                <c:pt idx="5">
                  <c:v>86.545764715591446</c:v>
                </c:pt>
                <c:pt idx="6">
                  <c:v>82.091216992757197</c:v>
                </c:pt>
                <c:pt idx="7">
                  <c:v>87.135113227448414</c:v>
                </c:pt>
                <c:pt idx="8">
                  <c:v>85.931018714210879</c:v>
                </c:pt>
                <c:pt idx="9">
                  <c:v>85.607361393253399</c:v>
                </c:pt>
                <c:pt idx="10">
                  <c:v>82.669615124569759</c:v>
                </c:pt>
                <c:pt idx="11">
                  <c:v>82.585341319837568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95328"/>
        <c:axId val="849195872"/>
      </c:scatterChart>
      <c:valAx>
        <c:axId val="84919532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Governor index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95872"/>
        <c:crosses val="autoZero"/>
        <c:crossBetween val="midCat"/>
      </c:valAx>
      <c:valAx>
        <c:axId val="84919587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9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3383245844269462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WFCY vs FPI (corrected)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RESULTS!$Z$94:$AN$94</c:f>
              <c:numCache>
                <c:formatCode>0.00</c:formatCode>
                <c:ptCount val="15"/>
                <c:pt idx="0">
                  <c:v>81.800569984143991</c:v>
                </c:pt>
                <c:pt idx="1">
                  <c:v>79.514757408743449</c:v>
                </c:pt>
                <c:pt idx="2">
                  <c:v>76.936056974253461</c:v>
                </c:pt>
                <c:pt idx="3">
                  <c:v>84.706813361716257</c:v>
                </c:pt>
                <c:pt idx="4">
                  <c:v>89.157809928335666</c:v>
                </c:pt>
                <c:pt idx="5">
                  <c:v>86.545764715591446</c:v>
                </c:pt>
                <c:pt idx="6">
                  <c:v>82.091216992757197</c:v>
                </c:pt>
                <c:pt idx="7">
                  <c:v>87.135113227448414</c:v>
                </c:pt>
                <c:pt idx="8">
                  <c:v>85.931018714210879</c:v>
                </c:pt>
                <c:pt idx="9">
                  <c:v>85.607361393253399</c:v>
                </c:pt>
                <c:pt idx="10">
                  <c:v>82.669615124569759</c:v>
                </c:pt>
                <c:pt idx="11">
                  <c:v>82.585341319837568</c:v>
                </c:pt>
              </c:numCache>
            </c:numRef>
          </c:xVal>
          <c:yVal>
            <c:numRef>
              <c:f>RESULTS!$Z$43:$AI$43</c:f>
              <c:numCache>
                <c:formatCode>0.00000</c:formatCode>
                <c:ptCount val="10"/>
                <c:pt idx="0">
                  <c:v>8.7881393562457805E-2</c:v>
                </c:pt>
                <c:pt idx="1">
                  <c:v>7.9062857038882398E-2</c:v>
                </c:pt>
                <c:pt idx="2">
                  <c:v>7.9378741543879153E-2</c:v>
                </c:pt>
                <c:pt idx="3">
                  <c:v>9.2804077356719417E-2</c:v>
                </c:pt>
                <c:pt idx="4">
                  <c:v>9.6328321637216927E-2</c:v>
                </c:pt>
                <c:pt idx="5">
                  <c:v>8.5080398726246093E-2</c:v>
                </c:pt>
                <c:pt idx="6">
                  <c:v>8.4689680129146794E-2</c:v>
                </c:pt>
                <c:pt idx="7">
                  <c:v>9.8048271647134186E-2</c:v>
                </c:pt>
                <c:pt idx="8">
                  <c:v>9.4828235991882351E-2</c:v>
                </c:pt>
                <c:pt idx="9">
                  <c:v>9.1994746078020731E-2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98592"/>
        <c:axId val="856340000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41.5</c:v>
                </c:pt>
                <c:pt idx="1">
                  <c:v>56.5</c:v>
                </c:pt>
                <c:pt idx="2">
                  <c:v>69.666666666666671</c:v>
                </c:pt>
                <c:pt idx="3">
                  <c:v>78.5</c:v>
                </c:pt>
                <c:pt idx="4">
                  <c:v>84.5</c:v>
                </c:pt>
                <c:pt idx="5">
                  <c:v>90.666666666666671</c:v>
                </c:pt>
              </c:numCache>
            </c:numRef>
          </c:xVal>
          <c:yVal>
            <c:numRef>
              <c:f>RESULTS!$D$43:$I$43</c:f>
              <c:numCache>
                <c:formatCode>0.00000</c:formatCode>
                <c:ptCount val="6"/>
                <c:pt idx="0">
                  <c:v>3.7393515296330442E-2</c:v>
                </c:pt>
                <c:pt idx="1">
                  <c:v>5.6027431141321776E-2</c:v>
                </c:pt>
                <c:pt idx="2">
                  <c:v>7.2025936746397429E-2</c:v>
                </c:pt>
                <c:pt idx="3">
                  <c:v>8.0841836977723763E-2</c:v>
                </c:pt>
                <c:pt idx="4">
                  <c:v>8.8009995817999329E-2</c:v>
                </c:pt>
                <c:pt idx="5">
                  <c:v>9.5510944199162867E-2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RESULTS!$O$94:$U$94</c:f>
              <c:numCache>
                <c:formatCode>0.00</c:formatCode>
                <c:ptCount val="7"/>
                <c:pt idx="0">
                  <c:v>58.071385884929065</c:v>
                </c:pt>
                <c:pt idx="1">
                  <c:v>60.251008947634183</c:v>
                </c:pt>
                <c:pt idx="2">
                  <c:v>78.817967347536765</c:v>
                </c:pt>
                <c:pt idx="3">
                  <c:v>81.616238377626829</c:v>
                </c:pt>
                <c:pt idx="4">
                  <c:v>79.750724357566781</c:v>
                </c:pt>
              </c:numCache>
            </c:numRef>
          </c:xVal>
          <c:yVal>
            <c:numRef>
              <c:f>RESULTS!$O$43:$U$43</c:f>
              <c:numCache>
                <c:formatCode>0.00000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98592"/>
        <c:axId val="856340000"/>
      </c:scatterChart>
      <c:valAx>
        <c:axId val="84919859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340000"/>
        <c:crosses val="autoZero"/>
        <c:crossBetween val="midCat"/>
      </c:valAx>
      <c:valAx>
        <c:axId val="85634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WFCY</a:t>
                </a:r>
                <a:r>
                  <a:rPr lang="en-US" baseline="0"/>
                  <a:t> (kg/cycle)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198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 vs VIT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'INPUT DATA'!$D$33:$I$33</c:f>
              <c:numCache>
                <c:formatCode>0.0</c:formatCode>
                <c:ptCount val="6"/>
                <c:pt idx="0">
                  <c:v>1.5</c:v>
                </c:pt>
                <c:pt idx="1">
                  <c:v>1.6</c:v>
                </c:pt>
                <c:pt idx="2">
                  <c:v>2</c:v>
                </c:pt>
                <c:pt idx="3">
                  <c:v>2.2999999999999998</c:v>
                </c:pt>
                <c:pt idx="4">
                  <c:v>1</c:v>
                </c:pt>
                <c:pt idx="5">
                  <c:v>0.5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1.8166666666666667</c:v>
                </c:pt>
                <c:pt idx="1">
                  <c:v>2.2333333333333334</c:v>
                </c:pt>
                <c:pt idx="2">
                  <c:v>2.9333333333333336</c:v>
                </c:pt>
                <c:pt idx="3">
                  <c:v>3.5999999999999996</c:v>
                </c:pt>
                <c:pt idx="4">
                  <c:v>1.1333333333333333</c:v>
                </c:pt>
                <c:pt idx="5">
                  <c:v>0.10000000000000002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'INPUT DATA'!$O$33:$U$33</c:f>
              <c:numCache>
                <c:formatCode>0.0</c:formatCode>
                <c:ptCount val="7"/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1.8833333333333331</c:v>
                </c:pt>
                <c:pt idx="1">
                  <c:v>2.0333333333333337</c:v>
                </c:pt>
                <c:pt idx="2">
                  <c:v>3.3166666666666664</c:v>
                </c:pt>
                <c:pt idx="3">
                  <c:v>2.6166666666666667</c:v>
                </c:pt>
                <c:pt idx="4">
                  <c:v>2.9333333333333336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'INPUT DATA'!$Z$33:$AN$33</c:f>
              <c:numCache>
                <c:formatCode>0.0</c:formatCode>
                <c:ptCount val="15"/>
              </c:numCache>
            </c:numRef>
          </c:xVal>
          <c:yVal>
            <c:numRef>
              <c:f>RESULTS!$Z$13:$AN$13</c:f>
              <c:numCache>
                <c:formatCode>0.00</c:formatCode>
                <c:ptCount val="15"/>
                <c:pt idx="0">
                  <c:v>3.4166666666666665</c:v>
                </c:pt>
                <c:pt idx="1">
                  <c:v>3.1666666666666665</c:v>
                </c:pt>
                <c:pt idx="2">
                  <c:v>3.2166666666666663</c:v>
                </c:pt>
                <c:pt idx="3">
                  <c:v>2.4</c:v>
                </c:pt>
                <c:pt idx="4">
                  <c:v>3.1999999999999997</c:v>
                </c:pt>
                <c:pt idx="5">
                  <c:v>3.2666666666666662</c:v>
                </c:pt>
                <c:pt idx="6">
                  <c:v>3.3666666666666667</c:v>
                </c:pt>
                <c:pt idx="7">
                  <c:v>3.2333333333333329</c:v>
                </c:pt>
                <c:pt idx="8">
                  <c:v>2.5333333333333332</c:v>
                </c:pt>
                <c:pt idx="9">
                  <c:v>5.8000000000000007</c:v>
                </c:pt>
                <c:pt idx="10">
                  <c:v>6.1833333333333327</c:v>
                </c:pt>
                <c:pt idx="11">
                  <c:v>6.0500000000000007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36192"/>
        <c:axId val="856335648"/>
      </c:scatterChart>
      <c:valAx>
        <c:axId val="85633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335648"/>
        <c:crosses val="autoZero"/>
        <c:crossBetween val="midCat"/>
      </c:valAx>
      <c:valAx>
        <c:axId val="8563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33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egendEntry>
        <c:idx val="3"/>
        <c:delete val="1"/>
      </c:legendEntry>
      <c:layout>
        <c:manualLayout>
          <c:xMode val="edge"/>
          <c:yMode val="edge"/>
          <c:x val="0.14444444444444443"/>
          <c:y val="0.18654965004374452"/>
          <c:w val="0.16585236220472441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WFCY vs FPI (logged)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RESULTS!$Z$12:$AN$12</c:f>
              <c:numCache>
                <c:formatCode>0.00</c:formatCode>
                <c:ptCount val="15"/>
                <c:pt idx="0">
                  <c:v>83.166666666666671</c:v>
                </c:pt>
                <c:pt idx="1">
                  <c:v>81</c:v>
                </c:pt>
                <c:pt idx="2">
                  <c:v>77.833333333333329</c:v>
                </c:pt>
                <c:pt idx="3">
                  <c:v>86</c:v>
                </c:pt>
                <c:pt idx="4">
                  <c:v>85.333333333333329</c:v>
                </c:pt>
                <c:pt idx="5">
                  <c:v>82.833333333333329</c:v>
                </c:pt>
                <c:pt idx="6">
                  <c:v>81.166666666666671</c:v>
                </c:pt>
                <c:pt idx="7">
                  <c:v>85</c:v>
                </c:pt>
                <c:pt idx="8">
                  <c:v>88.5</c:v>
                </c:pt>
                <c:pt idx="9">
                  <c:v>88.166666666666671</c:v>
                </c:pt>
                <c:pt idx="10">
                  <c:v>84.833333333333329</c:v>
                </c:pt>
                <c:pt idx="11">
                  <c:v>80.666666666666671</c:v>
                </c:pt>
              </c:numCache>
            </c:numRef>
          </c:xVal>
          <c:yVal>
            <c:numRef>
              <c:f>RESULTS!$Z$43:$AN$43</c:f>
              <c:numCache>
                <c:formatCode>0.00000</c:formatCode>
                <c:ptCount val="15"/>
                <c:pt idx="0">
                  <c:v>8.7881393562457805E-2</c:v>
                </c:pt>
                <c:pt idx="1">
                  <c:v>7.9062857038882398E-2</c:v>
                </c:pt>
                <c:pt idx="2">
                  <c:v>7.9378741543879153E-2</c:v>
                </c:pt>
                <c:pt idx="3">
                  <c:v>9.2804077356719417E-2</c:v>
                </c:pt>
                <c:pt idx="4">
                  <c:v>9.6328321637216927E-2</c:v>
                </c:pt>
                <c:pt idx="5">
                  <c:v>8.5080398726246093E-2</c:v>
                </c:pt>
                <c:pt idx="6">
                  <c:v>8.4689680129146794E-2</c:v>
                </c:pt>
                <c:pt idx="7">
                  <c:v>9.8048271647134186E-2</c:v>
                </c:pt>
                <c:pt idx="8">
                  <c:v>9.4828235991882351E-2</c:v>
                </c:pt>
                <c:pt idx="9">
                  <c:v>9.1994746078020731E-2</c:v>
                </c:pt>
                <c:pt idx="10">
                  <c:v>9.0635465221695466E-2</c:v>
                </c:pt>
                <c:pt idx="11">
                  <c:v>8.9247916008621517E-2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28576"/>
        <c:axId val="856336736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41.5</c:v>
                </c:pt>
                <c:pt idx="1">
                  <c:v>56.5</c:v>
                </c:pt>
                <c:pt idx="2">
                  <c:v>69.666666666666671</c:v>
                </c:pt>
                <c:pt idx="3">
                  <c:v>78.5</c:v>
                </c:pt>
                <c:pt idx="4">
                  <c:v>84.5</c:v>
                </c:pt>
                <c:pt idx="5">
                  <c:v>90.666666666666671</c:v>
                </c:pt>
              </c:numCache>
            </c:numRef>
          </c:xVal>
          <c:yVal>
            <c:numRef>
              <c:f>RESULTS!$D$43:$I$43</c:f>
              <c:numCache>
                <c:formatCode>0.00000</c:formatCode>
                <c:ptCount val="6"/>
                <c:pt idx="0">
                  <c:v>3.7393515296330442E-2</c:v>
                </c:pt>
                <c:pt idx="1">
                  <c:v>5.6027431141321776E-2</c:v>
                </c:pt>
                <c:pt idx="2">
                  <c:v>7.2025936746397429E-2</c:v>
                </c:pt>
                <c:pt idx="3">
                  <c:v>8.0841836977723763E-2</c:v>
                </c:pt>
                <c:pt idx="4">
                  <c:v>8.8009995817999329E-2</c:v>
                </c:pt>
                <c:pt idx="5">
                  <c:v>9.5510944199162867E-2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RESULTS!$O$12:$U$12</c:f>
              <c:numCache>
                <c:formatCode>0.00</c:formatCode>
                <c:ptCount val="7"/>
                <c:pt idx="0">
                  <c:v>62.166666666666664</c:v>
                </c:pt>
                <c:pt idx="1">
                  <c:v>64.5</c:v>
                </c:pt>
                <c:pt idx="2">
                  <c:v>84.5</c:v>
                </c:pt>
                <c:pt idx="3">
                  <c:v>87.5</c:v>
                </c:pt>
                <c:pt idx="4">
                  <c:v>85.5</c:v>
                </c:pt>
              </c:numCache>
            </c:numRef>
          </c:xVal>
          <c:yVal>
            <c:numRef>
              <c:f>RESULTS!$O$43:$U$43</c:f>
              <c:numCache>
                <c:formatCode>0.00000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28576"/>
        <c:axId val="856336736"/>
      </c:scatterChart>
      <c:valAx>
        <c:axId val="85632857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336736"/>
        <c:crosses val="autoZero"/>
        <c:crossBetween val="midCat"/>
      </c:valAx>
      <c:valAx>
        <c:axId val="85633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WFCY</a:t>
                </a:r>
                <a:r>
                  <a:rPr lang="en-US" baseline="0"/>
                  <a:t> (kg/cycle)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32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374781277340335"/>
          <c:y val="6.4165963575557761E-2"/>
          <c:w val="0.84569663167104114"/>
          <c:h val="0.484945204664354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RESULTS!$Z$176</c:f>
              <c:strCache>
                <c:ptCount val="1"/>
                <c:pt idx="0">
                  <c:v>14-01-13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RESULTS!$Z$177:$Z$181</c:f>
              <c:numCache>
                <c:formatCode>0.00%</c:formatCode>
                <c:ptCount val="5"/>
                <c:pt idx="0">
                  <c:v>3.5999942909429304E-3</c:v>
                </c:pt>
                <c:pt idx="1">
                  <c:v>5.976502165181187E-2</c:v>
                </c:pt>
                <c:pt idx="2">
                  <c:v>8.6021553344759652E-2</c:v>
                </c:pt>
                <c:pt idx="3">
                  <c:v>1.0065746711842408E-2</c:v>
                </c:pt>
                <c:pt idx="4">
                  <c:v>1.0570745274422367E-3</c:v>
                </c:pt>
              </c:numCache>
            </c:numRef>
          </c:val>
        </c:ser>
        <c:ser>
          <c:idx val="1"/>
          <c:order val="1"/>
          <c:tx>
            <c:strRef>
              <c:f>RESULTS!$AA$176</c:f>
              <c:strCache>
                <c:ptCount val="1"/>
                <c:pt idx="0">
                  <c:v>25-02-13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RESULTS!$AA$177:$AA$181</c:f>
              <c:numCache>
                <c:formatCode>0.00%</c:formatCode>
                <c:ptCount val="5"/>
                <c:pt idx="0">
                  <c:v>5.9590951472506502E-2</c:v>
                </c:pt>
                <c:pt idx="1">
                  <c:v>9.8556322692077494E-2</c:v>
                </c:pt>
                <c:pt idx="2">
                  <c:v>0.12020461484464345</c:v>
                </c:pt>
                <c:pt idx="3">
                  <c:v>1.5308414084689614E-2</c:v>
                </c:pt>
                <c:pt idx="4">
                  <c:v>-2.6861981050579765E-3</c:v>
                </c:pt>
              </c:numCache>
            </c:numRef>
          </c:val>
        </c:ser>
        <c:ser>
          <c:idx val="2"/>
          <c:order val="2"/>
          <c:tx>
            <c:strRef>
              <c:f>RESULTS!$AB$176</c:f>
              <c:strCache>
                <c:ptCount val="1"/>
                <c:pt idx="0">
                  <c:v>06-03-13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RESULTS!$AB$177:$AB$181</c:f>
              <c:numCache>
                <c:formatCode>0.00%</c:formatCode>
                <c:ptCount val="5"/>
                <c:pt idx="0">
                  <c:v>6.3799933564584202E-2</c:v>
                </c:pt>
                <c:pt idx="1">
                  <c:v>0.10368611670054804</c:v>
                </c:pt>
                <c:pt idx="2">
                  <c:v>0.19344636995144351</c:v>
                </c:pt>
                <c:pt idx="3">
                  <c:v>1.9998871126694583E-2</c:v>
                </c:pt>
                <c:pt idx="4">
                  <c:v>-1.4773522049604854E-2</c:v>
                </c:pt>
              </c:numCache>
            </c:numRef>
          </c:val>
        </c:ser>
        <c:ser>
          <c:idx val="3"/>
          <c:order val="3"/>
          <c:tx>
            <c:strRef>
              <c:f>RESULTS!$AC$176</c:f>
              <c:strCache>
                <c:ptCount val="1"/>
                <c:pt idx="0">
                  <c:v>00-01-00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RESULTS!$AC$177:$AC$181</c:f>
              <c:numCache>
                <c:formatCode>0.00%</c:formatCode>
                <c:ptCount val="5"/>
                <c:pt idx="0">
                  <c:v>3.5254420428279663E-2</c:v>
                </c:pt>
                <c:pt idx="1">
                  <c:v>0.11709738836552662</c:v>
                </c:pt>
                <c:pt idx="2">
                  <c:v>0.12301910593398144</c:v>
                </c:pt>
                <c:pt idx="3">
                  <c:v>1.316966035722026E-2</c:v>
                </c:pt>
                <c:pt idx="4">
                  <c:v>-5.3066721122075541E-3</c:v>
                </c:pt>
              </c:numCache>
            </c:numRef>
          </c:val>
        </c:ser>
        <c:ser>
          <c:idx val="4"/>
          <c:order val="4"/>
          <c:tx>
            <c:strRef>
              <c:f>RESULTS!$AD$176</c:f>
              <c:strCache>
                <c:ptCount val="1"/>
                <c:pt idx="0">
                  <c:v>00-01-00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RESULTS!$AD$177:$AD$181</c:f>
              <c:numCache>
                <c:formatCode>0.00%</c:formatCode>
                <c:ptCount val="5"/>
                <c:pt idx="0">
                  <c:v>5.4378592779152073E-2</c:v>
                </c:pt>
                <c:pt idx="1">
                  <c:v>0.10447567509575474</c:v>
                </c:pt>
                <c:pt idx="2">
                  <c:v>0.12103041165348144</c:v>
                </c:pt>
                <c:pt idx="3">
                  <c:v>2.2106637961196184E-2</c:v>
                </c:pt>
                <c:pt idx="4">
                  <c:v>1.9653244926287124E-2</c:v>
                </c:pt>
              </c:numCache>
            </c:numRef>
          </c:val>
        </c:ser>
        <c:ser>
          <c:idx val="5"/>
          <c:order val="5"/>
          <c:tx>
            <c:strRef>
              <c:f>RESULTS!$AE$176</c:f>
              <c:strCache>
                <c:ptCount val="1"/>
                <c:pt idx="0">
                  <c:v>26-06-13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RESULTS!$AE$177:$AE$181</c:f>
              <c:numCache>
                <c:formatCode>0.00%</c:formatCode>
                <c:ptCount val="5"/>
                <c:pt idx="0">
                  <c:v>6.9823771259345385E-2</c:v>
                </c:pt>
                <c:pt idx="1">
                  <c:v>0.11705304787386295</c:v>
                </c:pt>
                <c:pt idx="2">
                  <c:v>0.21008031561112564</c:v>
                </c:pt>
                <c:pt idx="3">
                  <c:v>2.1529199977769364E-2</c:v>
                </c:pt>
                <c:pt idx="4">
                  <c:v>-2.3817032410957041E-2</c:v>
                </c:pt>
              </c:numCache>
            </c:numRef>
          </c:val>
        </c:ser>
        <c:ser>
          <c:idx val="6"/>
          <c:order val="6"/>
          <c:tx>
            <c:strRef>
              <c:f>RESULTS!$AF$176</c:f>
              <c:strCache>
                <c:ptCount val="1"/>
                <c:pt idx="0">
                  <c:v>30-07-13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RESULTS!$AF$177:$AF$181</c:f>
              <c:numCache>
                <c:formatCode>0.00%</c:formatCode>
                <c:ptCount val="5"/>
                <c:pt idx="0">
                  <c:v>5.0334568186468816E-2</c:v>
                </c:pt>
                <c:pt idx="1">
                  <c:v>9.2990077965739465E-2</c:v>
                </c:pt>
                <c:pt idx="2">
                  <c:v>0.11148372358400056</c:v>
                </c:pt>
                <c:pt idx="3">
                  <c:v>1.3089616544973159E-2</c:v>
                </c:pt>
                <c:pt idx="4">
                  <c:v>1.066044405937432E-2</c:v>
                </c:pt>
              </c:numCache>
            </c:numRef>
          </c:val>
        </c:ser>
        <c:ser>
          <c:idx val="7"/>
          <c:order val="7"/>
          <c:tx>
            <c:strRef>
              <c:f>RESULTS!$AG$176</c:f>
              <c:strCache>
                <c:ptCount val="1"/>
                <c:pt idx="0">
                  <c:v>22-08-13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RESULTS!$AG$177:$AG$181</c:f>
              <c:numCache>
                <c:formatCode>0.00%</c:formatCode>
                <c:ptCount val="5"/>
                <c:pt idx="0">
                  <c:v>3.6660541969590607E-2</c:v>
                </c:pt>
                <c:pt idx="1">
                  <c:v>0.10254661496682234</c:v>
                </c:pt>
                <c:pt idx="2">
                  <c:v>0.18564289672949766</c:v>
                </c:pt>
                <c:pt idx="3">
                  <c:v>1.4873398970984103E-2</c:v>
                </c:pt>
                <c:pt idx="4">
                  <c:v>-1.3046093626988459E-2</c:v>
                </c:pt>
              </c:numCache>
            </c:numRef>
          </c:val>
        </c:ser>
        <c:ser>
          <c:idx val="8"/>
          <c:order val="8"/>
          <c:tx>
            <c:strRef>
              <c:f>RESULTS!$AH$176</c:f>
              <c:strCache>
                <c:ptCount val="1"/>
                <c:pt idx="0">
                  <c:v>16-09-13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RESULTS!$AH$177:$AH$181</c:f>
              <c:numCache>
                <c:formatCode>0.00%</c:formatCode>
                <c:ptCount val="5"/>
                <c:pt idx="0">
                  <c:v>4.1518704396663652E-3</c:v>
                </c:pt>
                <c:pt idx="1">
                  <c:v>0.10085231588673993</c:v>
                </c:pt>
                <c:pt idx="2">
                  <c:v>0.19689379797332104</c:v>
                </c:pt>
                <c:pt idx="3">
                  <c:v>2.9256468974193726E-2</c:v>
                </c:pt>
                <c:pt idx="4">
                  <c:v>-1.9675412735741023E-2</c:v>
                </c:pt>
              </c:numCache>
            </c:numRef>
          </c:val>
        </c:ser>
        <c:ser>
          <c:idx val="9"/>
          <c:order val="9"/>
          <c:tx>
            <c:strRef>
              <c:f>RESULTS!$AI$176</c:f>
              <c:strCache>
                <c:ptCount val="1"/>
                <c:pt idx="0">
                  <c:v>11-10-13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RESULTS!$AI$177:$AI$181</c:f>
              <c:numCache>
                <c:formatCode>0.00%</c:formatCode>
                <c:ptCount val="5"/>
                <c:pt idx="0">
                  <c:v>6.527565565439529E-2</c:v>
                </c:pt>
                <c:pt idx="1">
                  <c:v>7.6140952406335061E-2</c:v>
                </c:pt>
                <c:pt idx="2">
                  <c:v>0.17994346799023672</c:v>
                </c:pt>
                <c:pt idx="3">
                  <c:v>1.1630255313567298E-2</c:v>
                </c:pt>
                <c:pt idx="4">
                  <c:v>-3.1673173284665269E-2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329664"/>
        <c:axId val="856324224"/>
      </c:barChart>
      <c:catAx>
        <c:axId val="85632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324224"/>
        <c:crosses val="autoZero"/>
        <c:auto val="0"/>
        <c:lblAlgn val="ctr"/>
        <c:lblOffset val="100"/>
        <c:noMultiLvlLbl val="0"/>
      </c:catAx>
      <c:valAx>
        <c:axId val="856324224"/>
        <c:scaling>
          <c:orientation val="minMax"/>
          <c:max val="9.0000000000000024E-2"/>
          <c:min val="-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329664"/>
        <c:crosses val="autoZero"/>
        <c:crossBetween val="between"/>
        <c:majorUnit val="3.0000000000000006E-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Fixed Fluid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Lower Limit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'Exhaust Fixed Fluid'!$C$4:$C$11</c:f>
              <c:numCache>
                <c:formatCode>0.00</c:formatCode>
                <c:ptCount val="8"/>
                <c:pt idx="0">
                  <c:v>22.7</c:v>
                </c:pt>
                <c:pt idx="1">
                  <c:v>57.4</c:v>
                </c:pt>
                <c:pt idx="2">
                  <c:v>72.3</c:v>
                </c:pt>
                <c:pt idx="3">
                  <c:v>82.9</c:v>
                </c:pt>
                <c:pt idx="4">
                  <c:v>87.9</c:v>
                </c:pt>
                <c:pt idx="5">
                  <c:v>91</c:v>
                </c:pt>
                <c:pt idx="6">
                  <c:v>94</c:v>
                </c:pt>
                <c:pt idx="7">
                  <c:v>104.34</c:v>
                </c:pt>
              </c:numCache>
            </c:numRef>
          </c:xVal>
          <c:yVal>
            <c:numRef>
              <c:f>'Exhaust Fixed Fluid'!$D$4:$D$11</c:f>
              <c:numCache>
                <c:formatCode>0.000000000</c:formatCode>
                <c:ptCount val="8"/>
                <c:pt idx="0">
                  <c:v>0.95196132999999994</c:v>
                </c:pt>
                <c:pt idx="1">
                  <c:v>0.95196132999999994</c:v>
                </c:pt>
                <c:pt idx="2">
                  <c:v>0.95490332499999997</c:v>
                </c:pt>
                <c:pt idx="3">
                  <c:v>0.96078731499999992</c:v>
                </c:pt>
                <c:pt idx="4">
                  <c:v>0.96569063999999993</c:v>
                </c:pt>
                <c:pt idx="5">
                  <c:v>0.96863263499999996</c:v>
                </c:pt>
                <c:pt idx="6">
                  <c:v>0.97108429749999992</c:v>
                </c:pt>
                <c:pt idx="7">
                  <c:v>0.97108429749999992</c:v>
                </c:pt>
              </c:numCache>
            </c:numRef>
          </c:yVal>
          <c:smooth val="0"/>
        </c:ser>
        <c:ser>
          <c:idx val="1"/>
          <c:order val="1"/>
          <c:tx>
            <c:v>Upper Limit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'Exhaust Fixed Fluid'!$C$13:$C$20</c:f>
              <c:numCache>
                <c:formatCode>0.00</c:formatCode>
                <c:ptCount val="8"/>
                <c:pt idx="0">
                  <c:v>22.7</c:v>
                </c:pt>
                <c:pt idx="1">
                  <c:v>57.4</c:v>
                </c:pt>
                <c:pt idx="2">
                  <c:v>72.3</c:v>
                </c:pt>
                <c:pt idx="3">
                  <c:v>82.9</c:v>
                </c:pt>
                <c:pt idx="4">
                  <c:v>87.9</c:v>
                </c:pt>
                <c:pt idx="5">
                  <c:v>91</c:v>
                </c:pt>
                <c:pt idx="6">
                  <c:v>94</c:v>
                </c:pt>
                <c:pt idx="7">
                  <c:v>104.34</c:v>
                </c:pt>
              </c:numCache>
            </c:numRef>
          </c:xVal>
          <c:yVal>
            <c:numRef>
              <c:f>'Exhaust Fixed Fluid'!$D$13:$D$20</c:f>
              <c:numCache>
                <c:formatCode>0.000000000</c:formatCode>
                <c:ptCount val="8"/>
                <c:pt idx="0">
                  <c:v>1.0719613300000002</c:v>
                </c:pt>
                <c:pt idx="1">
                  <c:v>1.0719613300000002</c:v>
                </c:pt>
                <c:pt idx="2">
                  <c:v>1.074903325</c:v>
                </c:pt>
                <c:pt idx="3">
                  <c:v>1.080787315</c:v>
                </c:pt>
                <c:pt idx="4">
                  <c:v>1.0856906400000002</c:v>
                </c:pt>
                <c:pt idx="5">
                  <c:v>1.088632635</c:v>
                </c:pt>
                <c:pt idx="6">
                  <c:v>1.0910842975000001</c:v>
                </c:pt>
                <c:pt idx="7">
                  <c:v>1.0910842975000001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30208"/>
        <c:axId val="856330752"/>
      </c:scatterChart>
      <c:valAx>
        <c:axId val="8563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330752"/>
        <c:crosses val="autoZero"/>
        <c:crossBetween val="midCat"/>
      </c:valAx>
      <c:valAx>
        <c:axId val="856330752"/>
        <c:scaling>
          <c:orientation val="minMax"/>
          <c:max val="1.15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 Pressure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33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'Compressor MAP'!$B$1</c:f>
              <c:strCache>
                <c:ptCount val="1"/>
                <c:pt idx="0">
                  <c:v>Compressor Map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'Compressor MAP'!$D$3:$D$202</c:f>
              <c:numCache>
                <c:formatCode>General</c:formatCode>
                <c:ptCount val="200"/>
                <c:pt idx="0">
                  <c:v>5.4042060000000003</c:v>
                </c:pt>
                <c:pt idx="1">
                  <c:v>5.3331720000000002</c:v>
                </c:pt>
                <c:pt idx="2">
                  <c:v>5.2621370000000001</c:v>
                </c:pt>
                <c:pt idx="3">
                  <c:v>5.191103</c:v>
                </c:pt>
                <c:pt idx="4">
                  <c:v>5.120069</c:v>
                </c:pt>
                <c:pt idx="5">
                  <c:v>4.8349159999999998</c:v>
                </c:pt>
                <c:pt idx="6">
                  <c:v>4.5495260000000002</c:v>
                </c:pt>
                <c:pt idx="7">
                  <c:v>4.263668</c:v>
                </c:pt>
                <c:pt idx="8">
                  <c:v>3.9778090000000002</c:v>
                </c:pt>
                <c:pt idx="9">
                  <c:v>3.6919249999999999</c:v>
                </c:pt>
                <c:pt idx="10">
                  <c:v>6.4322280000000003</c:v>
                </c:pt>
                <c:pt idx="11">
                  <c:v>6.2848610000000003</c:v>
                </c:pt>
                <c:pt idx="12">
                  <c:v>6.1374940000000002</c:v>
                </c:pt>
                <c:pt idx="13">
                  <c:v>5.8453369999999998</c:v>
                </c:pt>
                <c:pt idx="14">
                  <c:v>5.5506089999999997</c:v>
                </c:pt>
                <c:pt idx="15">
                  <c:v>5.2549029999999997</c:v>
                </c:pt>
                <c:pt idx="16">
                  <c:v>4.9589689999999997</c:v>
                </c:pt>
                <c:pt idx="17">
                  <c:v>4.6625819999999996</c:v>
                </c:pt>
                <c:pt idx="18">
                  <c:v>4.3661960000000004</c:v>
                </c:pt>
                <c:pt idx="19">
                  <c:v>4.0697850000000004</c:v>
                </c:pt>
                <c:pt idx="20">
                  <c:v>6.9028960000000001</c:v>
                </c:pt>
                <c:pt idx="21">
                  <c:v>6.7526910000000004</c:v>
                </c:pt>
                <c:pt idx="22">
                  <c:v>6.602487</c:v>
                </c:pt>
                <c:pt idx="23">
                  <c:v>6.2996549999999996</c:v>
                </c:pt>
                <c:pt idx="24">
                  <c:v>5.9943410000000004</c:v>
                </c:pt>
                <c:pt idx="25">
                  <c:v>5.6880850000000001</c:v>
                </c:pt>
                <c:pt idx="26">
                  <c:v>5.3816069999999998</c:v>
                </c:pt>
                <c:pt idx="27">
                  <c:v>5.0746919999999998</c:v>
                </c:pt>
                <c:pt idx="28">
                  <c:v>4.7677769999999997</c:v>
                </c:pt>
                <c:pt idx="29">
                  <c:v>4.460839</c:v>
                </c:pt>
                <c:pt idx="30">
                  <c:v>7.7002699999999997</c:v>
                </c:pt>
                <c:pt idx="31">
                  <c:v>7.3971739999999997</c:v>
                </c:pt>
                <c:pt idx="32">
                  <c:v>7.0860159999999999</c:v>
                </c:pt>
                <c:pt idx="33">
                  <c:v>6.772519</c:v>
                </c:pt>
                <c:pt idx="34">
                  <c:v>6.4566239999999997</c:v>
                </c:pt>
                <c:pt idx="35">
                  <c:v>6.1398169999999999</c:v>
                </c:pt>
                <c:pt idx="36">
                  <c:v>5.8227969999999996</c:v>
                </c:pt>
                <c:pt idx="37">
                  <c:v>5.5053539999999996</c:v>
                </c:pt>
                <c:pt idx="38">
                  <c:v>5.1879109999999997</c:v>
                </c:pt>
                <c:pt idx="39">
                  <c:v>4.8704460000000003</c:v>
                </c:pt>
                <c:pt idx="40">
                  <c:v>8.2294389999999993</c:v>
                </c:pt>
                <c:pt idx="41">
                  <c:v>7.9153339999999996</c:v>
                </c:pt>
                <c:pt idx="42">
                  <c:v>7.5934419999999996</c:v>
                </c:pt>
                <c:pt idx="43">
                  <c:v>7.2692889999999997</c:v>
                </c:pt>
                <c:pt idx="44">
                  <c:v>6.9428169999999998</c:v>
                </c:pt>
                <c:pt idx="45">
                  <c:v>6.6154609999999998</c:v>
                </c:pt>
                <c:pt idx="46">
                  <c:v>6.2878990000000003</c:v>
                </c:pt>
                <c:pt idx="47">
                  <c:v>5.9599279999999997</c:v>
                </c:pt>
                <c:pt idx="48">
                  <c:v>5.6319569999999999</c:v>
                </c:pt>
                <c:pt idx="49">
                  <c:v>5.3039639999999997</c:v>
                </c:pt>
                <c:pt idx="50">
                  <c:v>8.5464800000000007</c:v>
                </c:pt>
                <c:pt idx="51">
                  <c:v>8.1609499999999997</c:v>
                </c:pt>
                <c:pt idx="52">
                  <c:v>7.8247</c:v>
                </c:pt>
                <c:pt idx="53">
                  <c:v>7.4506300000000003</c:v>
                </c:pt>
                <c:pt idx="54">
                  <c:v>7.0886199999999997</c:v>
                </c:pt>
                <c:pt idx="55">
                  <c:v>6.7888999999999999</c:v>
                </c:pt>
                <c:pt idx="56">
                  <c:v>6.2514200000000004</c:v>
                </c:pt>
                <c:pt idx="57">
                  <c:v>6.0388599999999997</c:v>
                </c:pt>
                <c:pt idx="58">
                  <c:v>5.78878</c:v>
                </c:pt>
                <c:pt idx="59">
                  <c:v>5.5511200000000001</c:v>
                </c:pt>
                <c:pt idx="60">
                  <c:v>9.4713799999999999</c:v>
                </c:pt>
                <c:pt idx="61">
                  <c:v>9.2105800000000002</c:v>
                </c:pt>
                <c:pt idx="62">
                  <c:v>8.7992799999999995</c:v>
                </c:pt>
                <c:pt idx="63">
                  <c:v>8.4625800000000009</c:v>
                </c:pt>
                <c:pt idx="64">
                  <c:v>8.1504799999999999</c:v>
                </c:pt>
                <c:pt idx="65">
                  <c:v>7.8379799999999999</c:v>
                </c:pt>
                <c:pt idx="66">
                  <c:v>7.5130499999999998</c:v>
                </c:pt>
                <c:pt idx="67">
                  <c:v>7.1129199999999999</c:v>
                </c:pt>
                <c:pt idx="68">
                  <c:v>6.7624899999999997</c:v>
                </c:pt>
                <c:pt idx="69">
                  <c:v>6.3492800000000003</c:v>
                </c:pt>
                <c:pt idx="70">
                  <c:v>10.803800000000001</c:v>
                </c:pt>
                <c:pt idx="71">
                  <c:v>10.568</c:v>
                </c:pt>
                <c:pt idx="72">
                  <c:v>10.194800000000001</c:v>
                </c:pt>
                <c:pt idx="73">
                  <c:v>9.9081799999999998</c:v>
                </c:pt>
                <c:pt idx="74">
                  <c:v>9.6589100000000006</c:v>
                </c:pt>
                <c:pt idx="75">
                  <c:v>9.34666</c:v>
                </c:pt>
                <c:pt idx="76">
                  <c:v>9.08432</c:v>
                </c:pt>
                <c:pt idx="77">
                  <c:v>8.6342300000000005</c:v>
                </c:pt>
                <c:pt idx="78">
                  <c:v>8.2465200000000003</c:v>
                </c:pt>
                <c:pt idx="79">
                  <c:v>7.38293</c:v>
                </c:pt>
                <c:pt idx="80">
                  <c:v>11.432399999999999</c:v>
                </c:pt>
                <c:pt idx="81">
                  <c:v>11.1968</c:v>
                </c:pt>
                <c:pt idx="82">
                  <c:v>10.873900000000001</c:v>
                </c:pt>
                <c:pt idx="83">
                  <c:v>10.6501</c:v>
                </c:pt>
                <c:pt idx="84">
                  <c:v>10.3636</c:v>
                </c:pt>
                <c:pt idx="85">
                  <c:v>10.0768</c:v>
                </c:pt>
                <c:pt idx="86">
                  <c:v>9.7648100000000007</c:v>
                </c:pt>
                <c:pt idx="87">
                  <c:v>9.4527999999999999</c:v>
                </c:pt>
                <c:pt idx="88">
                  <c:v>8.7072000000000003</c:v>
                </c:pt>
                <c:pt idx="89">
                  <c:v>7.90313</c:v>
                </c:pt>
                <c:pt idx="90">
                  <c:v>12.436500000000001</c:v>
                </c:pt>
                <c:pt idx="91">
                  <c:v>12.3268</c:v>
                </c:pt>
                <c:pt idx="92">
                  <c:v>12.1416</c:v>
                </c:pt>
                <c:pt idx="93">
                  <c:v>11.9057</c:v>
                </c:pt>
                <c:pt idx="94">
                  <c:v>11.706799999999999</c:v>
                </c:pt>
                <c:pt idx="95">
                  <c:v>11.4453</c:v>
                </c:pt>
                <c:pt idx="96">
                  <c:v>11.1586</c:v>
                </c:pt>
                <c:pt idx="97">
                  <c:v>10.834300000000001</c:v>
                </c:pt>
                <c:pt idx="98">
                  <c:v>10.047079999999999</c:v>
                </c:pt>
                <c:pt idx="99">
                  <c:v>9.0221300000000006</c:v>
                </c:pt>
                <c:pt idx="100">
                  <c:v>13.528600000000001</c:v>
                </c:pt>
                <c:pt idx="101">
                  <c:v>13.419</c:v>
                </c:pt>
                <c:pt idx="102">
                  <c:v>13.258699999999999</c:v>
                </c:pt>
                <c:pt idx="103">
                  <c:v>13.0481</c:v>
                </c:pt>
                <c:pt idx="104">
                  <c:v>12.849399999999999</c:v>
                </c:pt>
                <c:pt idx="105">
                  <c:v>12.6004</c:v>
                </c:pt>
                <c:pt idx="106">
                  <c:v>12.314</c:v>
                </c:pt>
                <c:pt idx="107">
                  <c:v>11.952299999999999</c:v>
                </c:pt>
                <c:pt idx="108">
                  <c:v>11.040800000000001</c:v>
                </c:pt>
                <c:pt idx="109">
                  <c:v>10.0656</c:v>
                </c:pt>
                <c:pt idx="110">
                  <c:v>14.520200000000001</c:v>
                </c:pt>
                <c:pt idx="111">
                  <c:v>14.461</c:v>
                </c:pt>
                <c:pt idx="112">
                  <c:v>14.376300000000001</c:v>
                </c:pt>
                <c:pt idx="113">
                  <c:v>14.2536</c:v>
                </c:pt>
                <c:pt idx="114">
                  <c:v>14.1556</c:v>
                </c:pt>
                <c:pt idx="115">
                  <c:v>13.957100000000001</c:v>
                </c:pt>
                <c:pt idx="116">
                  <c:v>13.7334</c:v>
                </c:pt>
                <c:pt idx="117">
                  <c:v>13.3474</c:v>
                </c:pt>
                <c:pt idx="118">
                  <c:v>12.3116</c:v>
                </c:pt>
                <c:pt idx="119">
                  <c:v>11.2742</c:v>
                </c:pt>
                <c:pt idx="120">
                  <c:v>14.9536</c:v>
                </c:pt>
                <c:pt idx="121">
                  <c:v>14.9328</c:v>
                </c:pt>
                <c:pt idx="122">
                  <c:v>14.9109</c:v>
                </c:pt>
                <c:pt idx="123">
                  <c:v>14.826499999999999</c:v>
                </c:pt>
                <c:pt idx="124">
                  <c:v>14.7287</c:v>
                </c:pt>
                <c:pt idx="125">
                  <c:v>14.5556</c:v>
                </c:pt>
                <c:pt idx="126">
                  <c:v>14.382400000000001</c:v>
                </c:pt>
                <c:pt idx="127">
                  <c:v>13.996600000000001</c:v>
                </c:pt>
                <c:pt idx="128">
                  <c:v>12.9854</c:v>
                </c:pt>
                <c:pt idx="129">
                  <c:v>11.997199999999999</c:v>
                </c:pt>
                <c:pt idx="130">
                  <c:v>15.424200000000001</c:v>
                </c:pt>
                <c:pt idx="131">
                  <c:v>15.3401</c:v>
                </c:pt>
                <c:pt idx="132">
                  <c:v>15.3178</c:v>
                </c:pt>
                <c:pt idx="133">
                  <c:v>15.2834</c:v>
                </c:pt>
                <c:pt idx="134">
                  <c:v>15.2361</c:v>
                </c:pt>
                <c:pt idx="135">
                  <c:v>15.151</c:v>
                </c:pt>
                <c:pt idx="136">
                  <c:v>14.953099999999999</c:v>
                </c:pt>
                <c:pt idx="137">
                  <c:v>14.617900000000001</c:v>
                </c:pt>
                <c:pt idx="138">
                  <c:v>13.458399999999999</c:v>
                </c:pt>
                <c:pt idx="139">
                  <c:v>12.6586</c:v>
                </c:pt>
                <c:pt idx="140">
                  <c:v>16.0779</c:v>
                </c:pt>
                <c:pt idx="141">
                  <c:v>16.0733</c:v>
                </c:pt>
                <c:pt idx="142">
                  <c:v>16.043600000000001</c:v>
                </c:pt>
                <c:pt idx="143">
                  <c:v>16.0259</c:v>
                </c:pt>
                <c:pt idx="144">
                  <c:v>16.022500000000001</c:v>
                </c:pt>
                <c:pt idx="145">
                  <c:v>15.916399999999999</c:v>
                </c:pt>
                <c:pt idx="146">
                  <c:v>15.655900000000001</c:v>
                </c:pt>
                <c:pt idx="147">
                  <c:v>15.2456</c:v>
                </c:pt>
                <c:pt idx="148">
                  <c:v>14.4971</c:v>
                </c:pt>
                <c:pt idx="149">
                  <c:v>13.2334</c:v>
                </c:pt>
                <c:pt idx="150">
                  <c:v>16.491499999999998</c:v>
                </c:pt>
                <c:pt idx="151">
                  <c:v>16.457999999999998</c:v>
                </c:pt>
                <c:pt idx="152">
                  <c:v>16.401800000000001</c:v>
                </c:pt>
                <c:pt idx="153">
                  <c:v>16.398199999999999</c:v>
                </c:pt>
                <c:pt idx="154">
                  <c:v>16.380199999999999</c:v>
                </c:pt>
                <c:pt idx="155">
                  <c:v>16.320900000000002</c:v>
                </c:pt>
                <c:pt idx="156">
                  <c:v>16.1736</c:v>
                </c:pt>
                <c:pt idx="157">
                  <c:v>15.7386</c:v>
                </c:pt>
                <c:pt idx="158">
                  <c:v>14.603300000000001</c:v>
                </c:pt>
                <c:pt idx="159">
                  <c:v>13.8034</c:v>
                </c:pt>
                <c:pt idx="160">
                  <c:v>17.4086</c:v>
                </c:pt>
                <c:pt idx="161">
                  <c:v>17.387499999999999</c:v>
                </c:pt>
                <c:pt idx="162">
                  <c:v>17.340699999999998</c:v>
                </c:pt>
                <c:pt idx="163">
                  <c:v>17.307099999999998</c:v>
                </c:pt>
                <c:pt idx="164">
                  <c:v>17.273399999999999</c:v>
                </c:pt>
                <c:pt idx="165">
                  <c:v>17.252800000000001</c:v>
                </c:pt>
                <c:pt idx="166">
                  <c:v>17.131399999999999</c:v>
                </c:pt>
                <c:pt idx="167">
                  <c:v>16.835999999999999</c:v>
                </c:pt>
                <c:pt idx="168">
                  <c:v>16.401399999999999</c:v>
                </c:pt>
                <c:pt idx="169">
                  <c:v>15.7409</c:v>
                </c:pt>
                <c:pt idx="170">
                  <c:v>18.0671</c:v>
                </c:pt>
                <c:pt idx="171">
                  <c:v>18.036999999999999</c:v>
                </c:pt>
                <c:pt idx="172">
                  <c:v>18.034099999999999</c:v>
                </c:pt>
                <c:pt idx="173">
                  <c:v>17.9879</c:v>
                </c:pt>
                <c:pt idx="174">
                  <c:v>17.930900000000001</c:v>
                </c:pt>
                <c:pt idx="175">
                  <c:v>17.848600000000001</c:v>
                </c:pt>
                <c:pt idx="176">
                  <c:v>17.6676</c:v>
                </c:pt>
                <c:pt idx="177">
                  <c:v>17.258500000000002</c:v>
                </c:pt>
                <c:pt idx="178">
                  <c:v>16.897500000000001</c:v>
                </c:pt>
                <c:pt idx="179">
                  <c:v>16.411100000000001</c:v>
                </c:pt>
                <c:pt idx="180">
                  <c:v>18.766200000000001</c:v>
                </c:pt>
                <c:pt idx="181">
                  <c:v>18.758199999999999</c:v>
                </c:pt>
                <c:pt idx="182">
                  <c:v>18.729800000000001</c:v>
                </c:pt>
                <c:pt idx="183">
                  <c:v>18.724799999999998</c:v>
                </c:pt>
                <c:pt idx="184">
                  <c:v>18.711500000000001</c:v>
                </c:pt>
                <c:pt idx="185">
                  <c:v>18.483699999999999</c:v>
                </c:pt>
                <c:pt idx="186">
                  <c:v>18.2622</c:v>
                </c:pt>
                <c:pt idx="187">
                  <c:v>18.063099999999999</c:v>
                </c:pt>
                <c:pt idx="188">
                  <c:v>17.876100000000001</c:v>
                </c:pt>
                <c:pt idx="189">
                  <c:v>17.338899999999999</c:v>
                </c:pt>
                <c:pt idx="190">
                  <c:v>20.043500000000002</c:v>
                </c:pt>
                <c:pt idx="191">
                  <c:v>19.975300000000001</c:v>
                </c:pt>
                <c:pt idx="192">
                  <c:v>19.974399999999999</c:v>
                </c:pt>
                <c:pt idx="193">
                  <c:v>19.896799999999999</c:v>
                </c:pt>
                <c:pt idx="194">
                  <c:v>19.774100000000001</c:v>
                </c:pt>
                <c:pt idx="195">
                  <c:v>19.576699999999999</c:v>
                </c:pt>
                <c:pt idx="196">
                  <c:v>19.378699999999998</c:v>
                </c:pt>
                <c:pt idx="197">
                  <c:v>19.0931</c:v>
                </c:pt>
                <c:pt idx="198">
                  <c:v>18.844899999999999</c:v>
                </c:pt>
                <c:pt idx="199">
                  <c:v>18.446200000000001</c:v>
                </c:pt>
              </c:numCache>
            </c:numRef>
          </c:xVal>
          <c:yVal>
            <c:numRef>
              <c:f>'Compressor MAP'!$C$3:$C$202</c:f>
              <c:numCache>
                <c:formatCode>General</c:formatCode>
                <c:ptCount val="200"/>
                <c:pt idx="0">
                  <c:v>1.0205409999999999</c:v>
                </c:pt>
                <c:pt idx="1">
                  <c:v>1.0284260000000001</c:v>
                </c:pt>
                <c:pt idx="2">
                  <c:v>1.036311</c:v>
                </c:pt>
                <c:pt idx="3">
                  <c:v>1.0441959999999999</c:v>
                </c:pt>
                <c:pt idx="4">
                  <c:v>1.052081</c:v>
                </c:pt>
                <c:pt idx="5">
                  <c:v>1.0725210000000001</c:v>
                </c:pt>
                <c:pt idx="6">
                  <c:v>1.089321</c:v>
                </c:pt>
                <c:pt idx="7">
                  <c:v>1.093091</c:v>
                </c:pt>
                <c:pt idx="8">
                  <c:v>1.0968610000000001</c:v>
                </c:pt>
                <c:pt idx="9">
                  <c:v>1.0969409999999999</c:v>
                </c:pt>
                <c:pt idx="10">
                  <c:v>1.0271349999999999</c:v>
                </c:pt>
                <c:pt idx="11">
                  <c:v>1.042878</c:v>
                </c:pt>
                <c:pt idx="12">
                  <c:v>1.0586199999999999</c:v>
                </c:pt>
                <c:pt idx="13">
                  <c:v>1.10866</c:v>
                </c:pt>
                <c:pt idx="14">
                  <c:v>1.1402000000000001</c:v>
                </c:pt>
                <c:pt idx="15">
                  <c:v>1.1606399999999999</c:v>
                </c:pt>
                <c:pt idx="16">
                  <c:v>1.17744</c:v>
                </c:pt>
                <c:pt idx="17">
                  <c:v>1.1812100000000001</c:v>
                </c:pt>
                <c:pt idx="18">
                  <c:v>1.1849799999999999</c:v>
                </c:pt>
                <c:pt idx="19">
                  <c:v>1.18506</c:v>
                </c:pt>
                <c:pt idx="20">
                  <c:v>1.0868469999999999</c:v>
                </c:pt>
                <c:pt idx="21">
                  <c:v>1.1183320000000001</c:v>
                </c:pt>
                <c:pt idx="22">
                  <c:v>1.1498170000000001</c:v>
                </c:pt>
                <c:pt idx="23">
                  <c:v>1.199857</c:v>
                </c:pt>
                <c:pt idx="24">
                  <c:v>1.2313970000000001</c:v>
                </c:pt>
                <c:pt idx="25">
                  <c:v>1.2518370000000001</c:v>
                </c:pt>
                <c:pt idx="26">
                  <c:v>1.268637</c:v>
                </c:pt>
                <c:pt idx="27">
                  <c:v>1.2724070000000001</c:v>
                </c:pt>
                <c:pt idx="28">
                  <c:v>1.2761769999999999</c:v>
                </c:pt>
                <c:pt idx="29">
                  <c:v>1.276257</c:v>
                </c:pt>
                <c:pt idx="30">
                  <c:v>1.0879399999999999</c:v>
                </c:pt>
                <c:pt idx="31">
                  <c:v>1.1823699999999999</c:v>
                </c:pt>
                <c:pt idx="32">
                  <c:v>1.2453399999999999</c:v>
                </c:pt>
                <c:pt idx="33">
                  <c:v>1.29538</c:v>
                </c:pt>
                <c:pt idx="34">
                  <c:v>1.3269200000000001</c:v>
                </c:pt>
                <c:pt idx="35">
                  <c:v>1.3473599999999999</c:v>
                </c:pt>
                <c:pt idx="36">
                  <c:v>1.36416</c:v>
                </c:pt>
                <c:pt idx="37">
                  <c:v>1.3679300000000001</c:v>
                </c:pt>
                <c:pt idx="38">
                  <c:v>1.3716999999999999</c:v>
                </c:pt>
                <c:pt idx="39">
                  <c:v>1.37178</c:v>
                </c:pt>
                <c:pt idx="40">
                  <c:v>1.189039</c:v>
                </c:pt>
                <c:pt idx="41">
                  <c:v>1.283469</c:v>
                </c:pt>
                <c:pt idx="42">
                  <c:v>1.3464389999999999</c:v>
                </c:pt>
                <c:pt idx="43">
                  <c:v>1.396479</c:v>
                </c:pt>
                <c:pt idx="44">
                  <c:v>1.4280189999999999</c:v>
                </c:pt>
                <c:pt idx="45">
                  <c:v>1.4484589999999999</c:v>
                </c:pt>
                <c:pt idx="46">
                  <c:v>1.4652590000000001</c:v>
                </c:pt>
                <c:pt idx="47">
                  <c:v>1.4690289999999999</c:v>
                </c:pt>
                <c:pt idx="48">
                  <c:v>1.472799</c:v>
                </c:pt>
                <c:pt idx="49">
                  <c:v>1.472879</c:v>
                </c:pt>
                <c:pt idx="50">
                  <c:v>1.24637</c:v>
                </c:pt>
                <c:pt idx="51">
                  <c:v>1.3408</c:v>
                </c:pt>
                <c:pt idx="52">
                  <c:v>1.40377</c:v>
                </c:pt>
                <c:pt idx="53">
                  <c:v>1.45381</c:v>
                </c:pt>
                <c:pt idx="54">
                  <c:v>1.4853499999999999</c:v>
                </c:pt>
                <c:pt idx="55">
                  <c:v>1.50579</c:v>
                </c:pt>
                <c:pt idx="56">
                  <c:v>1.5225900000000001</c:v>
                </c:pt>
                <c:pt idx="57">
                  <c:v>1.5263599999999999</c:v>
                </c:pt>
                <c:pt idx="58">
                  <c:v>1.53013</c:v>
                </c:pt>
                <c:pt idx="59">
                  <c:v>1.5302100000000001</c:v>
                </c:pt>
                <c:pt idx="60">
                  <c:v>1.3692500000000001</c:v>
                </c:pt>
                <c:pt idx="61">
                  <c:v>1.4524900000000001</c:v>
                </c:pt>
                <c:pt idx="62">
                  <c:v>1.52834</c:v>
                </c:pt>
                <c:pt idx="63">
                  <c:v>1.58385</c:v>
                </c:pt>
                <c:pt idx="64">
                  <c:v>1.6227100000000001</c:v>
                </c:pt>
                <c:pt idx="65">
                  <c:v>1.6467799999999999</c:v>
                </c:pt>
                <c:pt idx="66">
                  <c:v>1.67455</c:v>
                </c:pt>
                <c:pt idx="67">
                  <c:v>1.70048</c:v>
                </c:pt>
                <c:pt idx="68">
                  <c:v>1.7116100000000001</c:v>
                </c:pt>
                <c:pt idx="69">
                  <c:v>1.7172000000000001</c:v>
                </c:pt>
                <c:pt idx="70">
                  <c:v>1.5429299999999999</c:v>
                </c:pt>
                <c:pt idx="71">
                  <c:v>1.62246</c:v>
                </c:pt>
                <c:pt idx="72">
                  <c:v>1.7168000000000001</c:v>
                </c:pt>
                <c:pt idx="73">
                  <c:v>1.7723100000000001</c:v>
                </c:pt>
                <c:pt idx="74">
                  <c:v>1.81856</c:v>
                </c:pt>
                <c:pt idx="75">
                  <c:v>1.8518699999999999</c:v>
                </c:pt>
                <c:pt idx="76">
                  <c:v>1.8777900000000001</c:v>
                </c:pt>
                <c:pt idx="77">
                  <c:v>1.90927</c:v>
                </c:pt>
                <c:pt idx="78">
                  <c:v>1.9315</c:v>
                </c:pt>
                <c:pt idx="79">
                  <c:v>1.95747</c:v>
                </c:pt>
                <c:pt idx="80">
                  <c:v>1.6227</c:v>
                </c:pt>
                <c:pt idx="81">
                  <c:v>1.71153</c:v>
                </c:pt>
                <c:pt idx="82">
                  <c:v>1.8096300000000001</c:v>
                </c:pt>
                <c:pt idx="83">
                  <c:v>1.8670199999999999</c:v>
                </c:pt>
                <c:pt idx="84">
                  <c:v>1.9151800000000001</c:v>
                </c:pt>
                <c:pt idx="85">
                  <c:v>1.9540999999999999</c:v>
                </c:pt>
                <c:pt idx="86">
                  <c:v>1.98563</c:v>
                </c:pt>
                <c:pt idx="87">
                  <c:v>2.0153099999999999</c:v>
                </c:pt>
                <c:pt idx="88">
                  <c:v>2.0374400000000001</c:v>
                </c:pt>
                <c:pt idx="89">
                  <c:v>2.0749599999999999</c:v>
                </c:pt>
                <c:pt idx="90">
                  <c:v>1.7666200000000001</c:v>
                </c:pt>
                <c:pt idx="91">
                  <c:v>1.8868400000000001</c:v>
                </c:pt>
                <c:pt idx="92">
                  <c:v>1.9922899999999999</c:v>
                </c:pt>
                <c:pt idx="93">
                  <c:v>2.0663299999999998</c:v>
                </c:pt>
                <c:pt idx="94">
                  <c:v>2.1200100000000002</c:v>
                </c:pt>
                <c:pt idx="95">
                  <c:v>2.1700200000000001</c:v>
                </c:pt>
                <c:pt idx="96">
                  <c:v>2.2089400000000001</c:v>
                </c:pt>
                <c:pt idx="97">
                  <c:v>2.2478699999999998</c:v>
                </c:pt>
                <c:pt idx="98">
                  <c:v>2.2912599999999999</c:v>
                </c:pt>
                <c:pt idx="99">
                  <c:v>2.31684</c:v>
                </c:pt>
                <c:pt idx="100">
                  <c:v>1.93085</c:v>
                </c:pt>
                <c:pt idx="101">
                  <c:v>2.05477</c:v>
                </c:pt>
                <c:pt idx="102">
                  <c:v>2.1546699999999999</c:v>
                </c:pt>
                <c:pt idx="103">
                  <c:v>2.23794</c:v>
                </c:pt>
                <c:pt idx="104">
                  <c:v>2.2990200000000001</c:v>
                </c:pt>
                <c:pt idx="105">
                  <c:v>2.35087</c:v>
                </c:pt>
                <c:pt idx="106">
                  <c:v>2.4045800000000002</c:v>
                </c:pt>
                <c:pt idx="107">
                  <c:v>2.45092</c:v>
                </c:pt>
                <c:pt idx="108">
                  <c:v>2.5099999999999998</c:v>
                </c:pt>
                <c:pt idx="109">
                  <c:v>2.5384099999999998</c:v>
                </c:pt>
                <c:pt idx="110">
                  <c:v>2.0729199999999999</c:v>
                </c:pt>
                <c:pt idx="111">
                  <c:v>2.2171699999999999</c:v>
                </c:pt>
                <c:pt idx="112">
                  <c:v>2.3355299999999999</c:v>
                </c:pt>
                <c:pt idx="113">
                  <c:v>2.4372699999999998</c:v>
                </c:pt>
                <c:pt idx="114">
                  <c:v>2.5260600000000002</c:v>
                </c:pt>
                <c:pt idx="115">
                  <c:v>2.5945299999999998</c:v>
                </c:pt>
                <c:pt idx="116">
                  <c:v>2.6556199999999999</c:v>
                </c:pt>
                <c:pt idx="117">
                  <c:v>2.7278500000000001</c:v>
                </c:pt>
                <c:pt idx="118">
                  <c:v>2.8317199999999998</c:v>
                </c:pt>
                <c:pt idx="119">
                  <c:v>2.8671700000000002</c:v>
                </c:pt>
                <c:pt idx="120">
                  <c:v>2.1397499999999998</c:v>
                </c:pt>
                <c:pt idx="121">
                  <c:v>2.29508</c:v>
                </c:pt>
                <c:pt idx="122">
                  <c:v>2.4134199999999999</c:v>
                </c:pt>
                <c:pt idx="123">
                  <c:v>2.53362</c:v>
                </c:pt>
                <c:pt idx="124">
                  <c:v>2.6223900000000002</c:v>
                </c:pt>
                <c:pt idx="125">
                  <c:v>2.7056100000000001</c:v>
                </c:pt>
                <c:pt idx="126">
                  <c:v>2.7869899999999999</c:v>
                </c:pt>
                <c:pt idx="127">
                  <c:v>2.87948</c:v>
                </c:pt>
                <c:pt idx="128">
                  <c:v>3.0034700000000001</c:v>
                </c:pt>
                <c:pt idx="129">
                  <c:v>3.0553499999999998</c:v>
                </c:pt>
                <c:pt idx="130">
                  <c:v>2.21502</c:v>
                </c:pt>
                <c:pt idx="131">
                  <c:v>2.3629699999999998</c:v>
                </c:pt>
                <c:pt idx="132">
                  <c:v>2.4757699999999998</c:v>
                </c:pt>
                <c:pt idx="133">
                  <c:v>2.6089199999999999</c:v>
                </c:pt>
                <c:pt idx="134">
                  <c:v>2.72357</c:v>
                </c:pt>
                <c:pt idx="135">
                  <c:v>2.8290000000000002</c:v>
                </c:pt>
                <c:pt idx="136">
                  <c:v>2.9252099999999999</c:v>
                </c:pt>
                <c:pt idx="137">
                  <c:v>3.0325600000000001</c:v>
                </c:pt>
                <c:pt idx="138">
                  <c:v>3.1900900000000001</c:v>
                </c:pt>
                <c:pt idx="139">
                  <c:v>3.2254700000000001</c:v>
                </c:pt>
                <c:pt idx="140">
                  <c:v>2.36727</c:v>
                </c:pt>
                <c:pt idx="141">
                  <c:v>2.5190000000000001</c:v>
                </c:pt>
                <c:pt idx="142">
                  <c:v>2.6111599999999999</c:v>
                </c:pt>
                <c:pt idx="143">
                  <c:v>2.8029700000000002</c:v>
                </c:pt>
                <c:pt idx="144">
                  <c:v>2.9253900000000002</c:v>
                </c:pt>
                <c:pt idx="145">
                  <c:v>2.9994800000000001</c:v>
                </c:pt>
                <c:pt idx="146">
                  <c:v>3.0938099999999999</c:v>
                </c:pt>
                <c:pt idx="147">
                  <c:v>3.2084899999999998</c:v>
                </c:pt>
                <c:pt idx="148">
                  <c:v>3.3213599999999999</c:v>
                </c:pt>
                <c:pt idx="149">
                  <c:v>3.3751099999999998</c:v>
                </c:pt>
                <c:pt idx="150">
                  <c:v>2.3885000000000001</c:v>
                </c:pt>
                <c:pt idx="151">
                  <c:v>2.5567799999999998</c:v>
                </c:pt>
                <c:pt idx="152">
                  <c:v>2.7490999999999999</c:v>
                </c:pt>
                <c:pt idx="153">
                  <c:v>2.9051399999999998</c:v>
                </c:pt>
                <c:pt idx="154">
                  <c:v>2.9710000000000001</c:v>
                </c:pt>
                <c:pt idx="155">
                  <c:v>3.1059999999999999</c:v>
                </c:pt>
                <c:pt idx="156">
                  <c:v>3.2280799999999998</c:v>
                </c:pt>
                <c:pt idx="157">
                  <c:v>3.3428599999999999</c:v>
                </c:pt>
                <c:pt idx="158">
                  <c:v>3.4726400000000002</c:v>
                </c:pt>
                <c:pt idx="159">
                  <c:v>3.49878</c:v>
                </c:pt>
                <c:pt idx="160">
                  <c:v>2.55464</c:v>
                </c:pt>
                <c:pt idx="161">
                  <c:v>2.72106</c:v>
                </c:pt>
                <c:pt idx="162">
                  <c:v>2.8597600000000001</c:v>
                </c:pt>
                <c:pt idx="163">
                  <c:v>3.0224899999999999</c:v>
                </c:pt>
                <c:pt idx="164">
                  <c:v>3.18337</c:v>
                </c:pt>
                <c:pt idx="165">
                  <c:v>3.3738299999999999</c:v>
                </c:pt>
                <c:pt idx="166">
                  <c:v>3.5291899999999998</c:v>
                </c:pt>
                <c:pt idx="167">
                  <c:v>3.7326800000000002</c:v>
                </c:pt>
                <c:pt idx="168">
                  <c:v>3.8659400000000002</c:v>
                </c:pt>
                <c:pt idx="169">
                  <c:v>3.9697</c:v>
                </c:pt>
                <c:pt idx="170">
                  <c:v>2.82057</c:v>
                </c:pt>
                <c:pt idx="171">
                  <c:v>2.9738199999999999</c:v>
                </c:pt>
                <c:pt idx="172">
                  <c:v>3.0288400000000002</c:v>
                </c:pt>
                <c:pt idx="173">
                  <c:v>3.1749200000000002</c:v>
                </c:pt>
                <c:pt idx="174">
                  <c:v>3.3801800000000002</c:v>
                </c:pt>
                <c:pt idx="175">
                  <c:v>3.5817399999999999</c:v>
                </c:pt>
                <c:pt idx="176">
                  <c:v>3.8369300000000002</c:v>
                </c:pt>
                <c:pt idx="177">
                  <c:v>3.9941399999999998</c:v>
                </c:pt>
                <c:pt idx="178">
                  <c:v>4.0755400000000002</c:v>
                </c:pt>
                <c:pt idx="179">
                  <c:v>4.1551</c:v>
                </c:pt>
                <c:pt idx="180">
                  <c:v>2.8389799999999998</c:v>
                </c:pt>
                <c:pt idx="181">
                  <c:v>3.0294300000000001</c:v>
                </c:pt>
                <c:pt idx="182">
                  <c:v>3.2140499999999999</c:v>
                </c:pt>
                <c:pt idx="183">
                  <c:v>3.5203259999999998</c:v>
                </c:pt>
                <c:pt idx="184">
                  <c:v>3.6988099999999999</c:v>
                </c:pt>
                <c:pt idx="185">
                  <c:v>4.1130800000000001</c:v>
                </c:pt>
                <c:pt idx="186">
                  <c:v>4.1678199999999999</c:v>
                </c:pt>
                <c:pt idx="187">
                  <c:v>4.2341300000000004</c:v>
                </c:pt>
                <c:pt idx="188">
                  <c:v>4.3000699999999998</c:v>
                </c:pt>
                <c:pt idx="189">
                  <c:v>4.3667499999999997</c:v>
                </c:pt>
                <c:pt idx="190">
                  <c:v>3.4247399999999999</c:v>
                </c:pt>
                <c:pt idx="191">
                  <c:v>3.5784379999999998</c:v>
                </c:pt>
                <c:pt idx="192">
                  <c:v>3.6780900000000001</c:v>
                </c:pt>
                <c:pt idx="193">
                  <c:v>4.0960000000000001</c:v>
                </c:pt>
                <c:pt idx="194">
                  <c:v>4.1977399999999996</c:v>
                </c:pt>
                <c:pt idx="195">
                  <c:v>4.3142899999999997</c:v>
                </c:pt>
                <c:pt idx="196">
                  <c:v>4.4067999999999996</c:v>
                </c:pt>
                <c:pt idx="197">
                  <c:v>4.4919500000000001</c:v>
                </c:pt>
                <c:pt idx="198">
                  <c:v>4.57524</c:v>
                </c:pt>
                <c:pt idx="199">
                  <c:v>4.6456200000000001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'Compressor MAP'!$N$51:$N$60</c:f>
              <c:numCache>
                <c:formatCode>General</c:formatCode>
                <c:ptCount val="10"/>
                <c:pt idx="0">
                  <c:v>11.432399999999999</c:v>
                </c:pt>
                <c:pt idx="1">
                  <c:v>11.1968</c:v>
                </c:pt>
                <c:pt idx="2">
                  <c:v>10.873900000000001</c:v>
                </c:pt>
                <c:pt idx="3">
                  <c:v>10.6501</c:v>
                </c:pt>
                <c:pt idx="4">
                  <c:v>10.3636</c:v>
                </c:pt>
                <c:pt idx="5">
                  <c:v>10.0768</c:v>
                </c:pt>
                <c:pt idx="6">
                  <c:v>9.7648100000000007</c:v>
                </c:pt>
                <c:pt idx="7">
                  <c:v>9.4527999999999999</c:v>
                </c:pt>
                <c:pt idx="8">
                  <c:v>8.7072000000000003</c:v>
                </c:pt>
                <c:pt idx="9">
                  <c:v>7.90313</c:v>
                </c:pt>
              </c:numCache>
            </c:numRef>
          </c:xVal>
          <c:yVal>
            <c:numRef>
              <c:f>'Compressor MAP'!$M$51:$M$60</c:f>
              <c:numCache>
                <c:formatCode>General</c:formatCode>
                <c:ptCount val="10"/>
                <c:pt idx="0">
                  <c:v>1.6227</c:v>
                </c:pt>
                <c:pt idx="1">
                  <c:v>1.71153</c:v>
                </c:pt>
                <c:pt idx="2">
                  <c:v>1.8096300000000001</c:v>
                </c:pt>
                <c:pt idx="3">
                  <c:v>1.8670199999999999</c:v>
                </c:pt>
                <c:pt idx="4">
                  <c:v>1.9151800000000001</c:v>
                </c:pt>
                <c:pt idx="5">
                  <c:v>1.9540999999999999</c:v>
                </c:pt>
                <c:pt idx="6">
                  <c:v>1.98563</c:v>
                </c:pt>
                <c:pt idx="7">
                  <c:v>2.0153099999999999</c:v>
                </c:pt>
                <c:pt idx="8">
                  <c:v>2.0374400000000001</c:v>
                </c:pt>
                <c:pt idx="9">
                  <c:v>2.0749599999999999</c:v>
                </c:pt>
              </c:numCache>
            </c:numRef>
          </c:yVal>
          <c:smooth val="0"/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'Compressor MAP'!$M$61:$M$70</c:f>
              <c:numCache>
                <c:formatCode>General</c:formatCode>
                <c:ptCount val="10"/>
                <c:pt idx="0">
                  <c:v>1.7666200000000001</c:v>
                </c:pt>
                <c:pt idx="1">
                  <c:v>1.8868400000000001</c:v>
                </c:pt>
                <c:pt idx="2">
                  <c:v>1.9922899999999999</c:v>
                </c:pt>
                <c:pt idx="3">
                  <c:v>2.0663299999999998</c:v>
                </c:pt>
                <c:pt idx="4">
                  <c:v>2.1200100000000002</c:v>
                </c:pt>
                <c:pt idx="5">
                  <c:v>2.1700200000000001</c:v>
                </c:pt>
                <c:pt idx="6">
                  <c:v>2.2089400000000001</c:v>
                </c:pt>
                <c:pt idx="7">
                  <c:v>2.2478699999999998</c:v>
                </c:pt>
                <c:pt idx="8">
                  <c:v>2.2912599999999999</c:v>
                </c:pt>
                <c:pt idx="9">
                  <c:v>2.31684</c:v>
                </c:pt>
              </c:numCache>
            </c:numRef>
          </c:xVal>
          <c:yVal>
            <c:numRef>
              <c:f>'Compressor MAP'!$N$61:$N$70</c:f>
              <c:numCache>
                <c:formatCode>General</c:formatCode>
                <c:ptCount val="10"/>
                <c:pt idx="0">
                  <c:v>12.436500000000001</c:v>
                </c:pt>
                <c:pt idx="1">
                  <c:v>12.3268</c:v>
                </c:pt>
                <c:pt idx="2">
                  <c:v>12.1416</c:v>
                </c:pt>
                <c:pt idx="3">
                  <c:v>11.9057</c:v>
                </c:pt>
                <c:pt idx="4">
                  <c:v>11.706799999999999</c:v>
                </c:pt>
                <c:pt idx="5">
                  <c:v>11.4453</c:v>
                </c:pt>
                <c:pt idx="6">
                  <c:v>11.1586</c:v>
                </c:pt>
                <c:pt idx="7">
                  <c:v>10.834300000000001</c:v>
                </c:pt>
                <c:pt idx="8">
                  <c:v>10.047079999999999</c:v>
                </c:pt>
                <c:pt idx="9">
                  <c:v>9.0221300000000006</c:v>
                </c:pt>
              </c:numCache>
            </c:numRef>
          </c:yVal>
          <c:smooth val="0"/>
        </c:ser>
        <c:ser>
          <c:idx val="4"/>
          <c:order val="3"/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rgbClr val="FF3300"/>
              </a:solidFill>
              <a:ln w="9525">
                <a:solidFill>
                  <a:srgbClr val="FF3300"/>
                </a:solidFill>
              </a:ln>
              <a:effectLst/>
            </c:spPr>
          </c:marker>
          <c:xVal>
            <c:numRef>
              <c:f>'Compressor MAP'!$U$61</c:f>
              <c:numCache>
                <c:formatCode>General</c:formatCode>
                <c:ptCount val="1"/>
                <c:pt idx="0">
                  <c:v>8.9442237655035566</c:v>
                </c:pt>
              </c:numCache>
            </c:numRef>
          </c:xVal>
          <c:yVal>
            <c:numRef>
              <c:f>'Compressor MAP'!$Q$50</c:f>
              <c:numCache>
                <c:formatCode>General</c:formatCode>
                <c:ptCount val="1"/>
                <c:pt idx="0">
                  <c:v>2.2999999999999998</c:v>
                </c:pt>
              </c:numCache>
            </c:numRef>
          </c:yVal>
          <c:smooth val="0"/>
        </c:ser>
        <c:ser>
          <c:idx val="2"/>
          <c:order val="4"/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'Compressor MAP'!$Q$51:$Q$60</c:f>
              <c:numCache>
                <c:formatCode>General</c:formatCode>
                <c:ptCount val="10"/>
                <c:pt idx="0">
                  <c:v>16.15778167037243</c:v>
                </c:pt>
                <c:pt idx="1">
                  <c:v>14.989915623752211</c:v>
                </c:pt>
                <c:pt idx="2">
                  <c:v>14.277174110368994</c:v>
                </c:pt>
                <c:pt idx="3">
                  <c:v>13.377758863077617</c:v>
                </c:pt>
                <c:pt idx="4">
                  <c:v>12.88710839232534</c:v>
                </c:pt>
                <c:pt idx="5">
                  <c:v>12.269112662097072</c:v>
                </c:pt>
                <c:pt idx="6">
                  <c:v>11.726951248936452</c:v>
                </c:pt>
                <c:pt idx="7">
                  <c:v>11.143973181114552</c:v>
                </c:pt>
                <c:pt idx="8">
                  <c:v>10.093217227956821</c:v>
                </c:pt>
                <c:pt idx="9">
                  <c:v>8.9442237655035566</c:v>
                </c:pt>
              </c:numCache>
            </c:numRef>
          </c:xVal>
          <c:yVal>
            <c:numRef>
              <c:f>'Compressor MAP'!$R$51:$R$60</c:f>
              <c:numCache>
                <c:formatCode>General</c:formatCode>
                <c:ptCount val="1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31840"/>
        <c:axId val="856339456"/>
      </c:scatterChart>
      <c:valAx>
        <c:axId val="856331840"/>
        <c:scaling>
          <c:orientation val="minMax"/>
          <c:max val="21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Corrected Air Flow Rate (kg/s)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339456"/>
        <c:crosses val="autoZero"/>
        <c:crossBetween val="midCat"/>
      </c:valAx>
      <c:valAx>
        <c:axId val="856339456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Ratio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331840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9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5"/>
  <sheetViews>
    <sheetView zoomScale="9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9">
    <tabColor rgb="FFFFC000"/>
  </sheetPr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13" Type="http://schemas.openxmlformats.org/officeDocument/2006/relationships/chart" Target="../charts/chart23.xml"/><Relationship Id="rId18" Type="http://schemas.openxmlformats.org/officeDocument/2006/relationships/chart" Target="../charts/chart2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12" Type="http://schemas.openxmlformats.org/officeDocument/2006/relationships/chart" Target="../charts/chart22.xml"/><Relationship Id="rId17" Type="http://schemas.openxmlformats.org/officeDocument/2006/relationships/chart" Target="../charts/chart27.xml"/><Relationship Id="rId2" Type="http://schemas.openxmlformats.org/officeDocument/2006/relationships/chart" Target="../charts/chart12.xml"/><Relationship Id="rId16" Type="http://schemas.openxmlformats.org/officeDocument/2006/relationships/chart" Target="../charts/chart26.xml"/><Relationship Id="rId20" Type="http://schemas.openxmlformats.org/officeDocument/2006/relationships/chart" Target="../charts/chart30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11" Type="http://schemas.openxmlformats.org/officeDocument/2006/relationships/chart" Target="../charts/chart21.xml"/><Relationship Id="rId5" Type="http://schemas.openxmlformats.org/officeDocument/2006/relationships/chart" Target="../charts/chart15.xml"/><Relationship Id="rId15" Type="http://schemas.openxmlformats.org/officeDocument/2006/relationships/chart" Target="../charts/chart25.xml"/><Relationship Id="rId10" Type="http://schemas.openxmlformats.org/officeDocument/2006/relationships/chart" Target="../charts/chart20.xml"/><Relationship Id="rId19" Type="http://schemas.openxmlformats.org/officeDocument/2006/relationships/chart" Target="../charts/chart29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14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8.xml"/><Relationship Id="rId13" Type="http://schemas.openxmlformats.org/officeDocument/2006/relationships/chart" Target="../charts/chart43.xml"/><Relationship Id="rId18" Type="http://schemas.openxmlformats.org/officeDocument/2006/relationships/chart" Target="../charts/chart48.xml"/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12" Type="http://schemas.openxmlformats.org/officeDocument/2006/relationships/chart" Target="../charts/chart42.xml"/><Relationship Id="rId17" Type="http://schemas.openxmlformats.org/officeDocument/2006/relationships/chart" Target="../charts/chart47.xml"/><Relationship Id="rId2" Type="http://schemas.openxmlformats.org/officeDocument/2006/relationships/chart" Target="../charts/chart32.xml"/><Relationship Id="rId16" Type="http://schemas.openxmlformats.org/officeDocument/2006/relationships/chart" Target="../charts/chart46.xml"/><Relationship Id="rId20" Type="http://schemas.openxmlformats.org/officeDocument/2006/relationships/chart" Target="../charts/chart50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11" Type="http://schemas.openxmlformats.org/officeDocument/2006/relationships/chart" Target="../charts/chart41.xml"/><Relationship Id="rId5" Type="http://schemas.openxmlformats.org/officeDocument/2006/relationships/chart" Target="../charts/chart35.xml"/><Relationship Id="rId15" Type="http://schemas.openxmlformats.org/officeDocument/2006/relationships/chart" Target="../charts/chart45.xml"/><Relationship Id="rId10" Type="http://schemas.openxmlformats.org/officeDocument/2006/relationships/chart" Target="../charts/chart40.xml"/><Relationship Id="rId19" Type="http://schemas.openxmlformats.org/officeDocument/2006/relationships/chart" Target="../charts/chart49.xml"/><Relationship Id="rId4" Type="http://schemas.openxmlformats.org/officeDocument/2006/relationships/chart" Target="../charts/chart34.xml"/><Relationship Id="rId9" Type="http://schemas.openxmlformats.org/officeDocument/2006/relationships/chart" Target="../charts/chart39.xml"/><Relationship Id="rId14" Type="http://schemas.openxmlformats.org/officeDocument/2006/relationships/chart" Target="../charts/chart44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5" Type="http://schemas.openxmlformats.org/officeDocument/2006/relationships/chart" Target="../charts/chart55.xml"/><Relationship Id="rId4" Type="http://schemas.openxmlformats.org/officeDocument/2006/relationships/chart" Target="../charts/chart54.xml"/><Relationship Id="rId9" Type="http://schemas.openxmlformats.org/officeDocument/2006/relationships/chart" Target="../charts/chart5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42862</xdr:rowOff>
    </xdr:from>
    <xdr:to>
      <xdr:col>7</xdr:col>
      <xdr:colOff>323850</xdr:colOff>
      <xdr:row>14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14</xdr:row>
      <xdr:rowOff>133350</xdr:rowOff>
    </xdr:from>
    <xdr:to>
      <xdr:col>7</xdr:col>
      <xdr:colOff>323850</xdr:colOff>
      <xdr:row>29</xdr:row>
      <xdr:rowOff>19050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340517</xdr:colOff>
      <xdr:row>0</xdr:row>
      <xdr:rowOff>42862</xdr:rowOff>
    </xdr:from>
    <xdr:to>
      <xdr:col>15</xdr:col>
      <xdr:colOff>35717</xdr:colOff>
      <xdr:row>14</xdr:row>
      <xdr:rowOff>119062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340517</xdr:colOff>
      <xdr:row>14</xdr:row>
      <xdr:rowOff>133350</xdr:rowOff>
    </xdr:from>
    <xdr:to>
      <xdr:col>15</xdr:col>
      <xdr:colOff>35717</xdr:colOff>
      <xdr:row>29</xdr:row>
      <xdr:rowOff>19050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29</xdr:row>
      <xdr:rowOff>23812</xdr:rowOff>
    </xdr:from>
    <xdr:to>
      <xdr:col>7</xdr:col>
      <xdr:colOff>323850</xdr:colOff>
      <xdr:row>43</xdr:row>
      <xdr:rowOff>100012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340517</xdr:colOff>
      <xdr:row>29</xdr:row>
      <xdr:rowOff>23812</xdr:rowOff>
    </xdr:from>
    <xdr:to>
      <xdr:col>15</xdr:col>
      <xdr:colOff>35717</xdr:colOff>
      <xdr:row>43</xdr:row>
      <xdr:rowOff>100012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</xdr:colOff>
      <xdr:row>43</xdr:row>
      <xdr:rowOff>114300</xdr:rowOff>
    </xdr:from>
    <xdr:to>
      <xdr:col>7</xdr:col>
      <xdr:colOff>323850</xdr:colOff>
      <xdr:row>58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61913</xdr:rowOff>
    </xdr:from>
    <xdr:to>
      <xdr:col>7</xdr:col>
      <xdr:colOff>342900</xdr:colOff>
      <xdr:row>14</xdr:row>
      <xdr:rowOff>138113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123825</xdr:colOff>
      <xdr:row>14</xdr:row>
      <xdr:rowOff>147638</xdr:rowOff>
    </xdr:from>
    <xdr:to>
      <xdr:col>22</xdr:col>
      <xdr:colOff>428625</xdr:colOff>
      <xdr:row>29</xdr:row>
      <xdr:rowOff>33338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14</xdr:row>
      <xdr:rowOff>147638</xdr:rowOff>
    </xdr:from>
    <xdr:to>
      <xdr:col>7</xdr:col>
      <xdr:colOff>342900</xdr:colOff>
      <xdr:row>29</xdr:row>
      <xdr:rowOff>33338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123825</xdr:colOff>
      <xdr:row>0</xdr:row>
      <xdr:rowOff>61913</xdr:rowOff>
    </xdr:from>
    <xdr:to>
      <xdr:col>22</xdr:col>
      <xdr:colOff>428625</xdr:colOff>
      <xdr:row>14</xdr:row>
      <xdr:rowOff>138113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373856</xdr:colOff>
      <xdr:row>14</xdr:row>
      <xdr:rowOff>147638</xdr:rowOff>
    </xdr:from>
    <xdr:to>
      <xdr:col>15</xdr:col>
      <xdr:colOff>69056</xdr:colOff>
      <xdr:row>29</xdr:row>
      <xdr:rowOff>33338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373856</xdr:colOff>
      <xdr:row>0</xdr:row>
      <xdr:rowOff>61913</xdr:rowOff>
    </xdr:from>
    <xdr:to>
      <xdr:col>15</xdr:col>
      <xdr:colOff>69056</xdr:colOff>
      <xdr:row>14</xdr:row>
      <xdr:rowOff>138113</xdr:rowOff>
    </xdr:to>
    <xdr:graphicFrame macro="">
      <xdr:nvGraphicFramePr>
        <xdr:cNvPr id="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38100</xdr:colOff>
      <xdr:row>29</xdr:row>
      <xdr:rowOff>76200</xdr:rowOff>
    </xdr:from>
    <xdr:to>
      <xdr:col>7</xdr:col>
      <xdr:colOff>342900</xdr:colOff>
      <xdr:row>43</xdr:row>
      <xdr:rowOff>152400</xdr:rowOff>
    </xdr:to>
    <xdr:graphicFrame macro="">
      <xdr:nvGraphicFramePr>
        <xdr:cNvPr id="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373856</xdr:colOff>
      <xdr:row>29</xdr:row>
      <xdr:rowOff>76200</xdr:rowOff>
    </xdr:from>
    <xdr:to>
      <xdr:col>15</xdr:col>
      <xdr:colOff>69056</xdr:colOff>
      <xdr:row>43</xdr:row>
      <xdr:rowOff>152400</xdr:rowOff>
    </xdr:to>
    <xdr:graphicFrame macro="">
      <xdr:nvGraphicFramePr>
        <xdr:cNvPr id="1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123825</xdr:colOff>
      <xdr:row>29</xdr:row>
      <xdr:rowOff>76200</xdr:rowOff>
    </xdr:from>
    <xdr:to>
      <xdr:col>22</xdr:col>
      <xdr:colOff>428625</xdr:colOff>
      <xdr:row>43</xdr:row>
      <xdr:rowOff>152400</xdr:rowOff>
    </xdr:to>
    <xdr:graphicFrame macro="">
      <xdr:nvGraphicFramePr>
        <xdr:cNvPr id="11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38100</xdr:colOff>
      <xdr:row>44</xdr:row>
      <xdr:rowOff>9525</xdr:rowOff>
    </xdr:from>
    <xdr:to>
      <xdr:col>7</xdr:col>
      <xdr:colOff>342900</xdr:colOff>
      <xdr:row>58</xdr:row>
      <xdr:rowOff>85725</xdr:rowOff>
    </xdr:to>
    <xdr:graphicFrame macro="">
      <xdr:nvGraphicFramePr>
        <xdr:cNvPr id="12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385763</xdr:colOff>
      <xdr:row>44</xdr:row>
      <xdr:rowOff>9525</xdr:rowOff>
    </xdr:from>
    <xdr:to>
      <xdr:col>15</xdr:col>
      <xdr:colOff>80963</xdr:colOff>
      <xdr:row>58</xdr:row>
      <xdr:rowOff>85725</xdr:rowOff>
    </xdr:to>
    <xdr:graphicFrame macro="">
      <xdr:nvGraphicFramePr>
        <xdr:cNvPr id="13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123825</xdr:colOff>
      <xdr:row>44</xdr:row>
      <xdr:rowOff>9525</xdr:rowOff>
    </xdr:from>
    <xdr:to>
      <xdr:col>22</xdr:col>
      <xdr:colOff>428625</xdr:colOff>
      <xdr:row>58</xdr:row>
      <xdr:rowOff>85725</xdr:rowOff>
    </xdr:to>
    <xdr:graphicFrame macro="">
      <xdr:nvGraphicFramePr>
        <xdr:cNvPr id="14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123825</xdr:colOff>
      <xdr:row>58</xdr:row>
      <xdr:rowOff>85725</xdr:rowOff>
    </xdr:from>
    <xdr:to>
      <xdr:col>22</xdr:col>
      <xdr:colOff>428625</xdr:colOff>
      <xdr:row>72</xdr:row>
      <xdr:rowOff>161925</xdr:rowOff>
    </xdr:to>
    <xdr:graphicFrame macro="">
      <xdr:nvGraphicFramePr>
        <xdr:cNvPr id="15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52387</xdr:colOff>
      <xdr:row>73</xdr:row>
      <xdr:rowOff>33337</xdr:rowOff>
    </xdr:from>
    <xdr:to>
      <xdr:col>7</xdr:col>
      <xdr:colOff>357187</xdr:colOff>
      <xdr:row>87</xdr:row>
      <xdr:rowOff>109537</xdr:rowOff>
    </xdr:to>
    <xdr:graphicFrame macro="">
      <xdr:nvGraphicFramePr>
        <xdr:cNvPr id="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409575</xdr:colOff>
      <xdr:row>73</xdr:row>
      <xdr:rowOff>28575</xdr:rowOff>
    </xdr:from>
    <xdr:to>
      <xdr:col>15</xdr:col>
      <xdr:colOff>104775</xdr:colOff>
      <xdr:row>87</xdr:row>
      <xdr:rowOff>104775</xdr:rowOff>
    </xdr:to>
    <xdr:graphicFrame macro="">
      <xdr:nvGraphicFramePr>
        <xdr:cNvPr id="1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381000</xdr:colOff>
      <xdr:row>58</xdr:row>
      <xdr:rowOff>85725</xdr:rowOff>
    </xdr:from>
    <xdr:to>
      <xdr:col>15</xdr:col>
      <xdr:colOff>76200</xdr:colOff>
      <xdr:row>72</xdr:row>
      <xdr:rowOff>161925</xdr:rowOff>
    </xdr:to>
    <xdr:graphicFrame macro="">
      <xdr:nvGraphicFramePr>
        <xdr:cNvPr id="1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114300</xdr:colOff>
      <xdr:row>73</xdr:row>
      <xdr:rowOff>28575</xdr:rowOff>
    </xdr:from>
    <xdr:to>
      <xdr:col>22</xdr:col>
      <xdr:colOff>419100</xdr:colOff>
      <xdr:row>87</xdr:row>
      <xdr:rowOff>104775</xdr:rowOff>
    </xdr:to>
    <xdr:graphicFrame macro="">
      <xdr:nvGraphicFramePr>
        <xdr:cNvPr id="1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38100</xdr:colOff>
      <xdr:row>58</xdr:row>
      <xdr:rowOff>95250</xdr:rowOff>
    </xdr:from>
    <xdr:to>
      <xdr:col>7</xdr:col>
      <xdr:colOff>342900</xdr:colOff>
      <xdr:row>72</xdr:row>
      <xdr:rowOff>171450</xdr:rowOff>
    </xdr:to>
    <xdr:graphicFrame macro="">
      <xdr:nvGraphicFramePr>
        <xdr:cNvPr id="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409575</xdr:colOff>
      <xdr:row>87</xdr:row>
      <xdr:rowOff>142875</xdr:rowOff>
    </xdr:from>
    <xdr:to>
      <xdr:col>15</xdr:col>
      <xdr:colOff>104775</xdr:colOff>
      <xdr:row>102</xdr:row>
      <xdr:rowOff>28575</xdr:rowOff>
    </xdr:to>
    <xdr:graphicFrame macro="">
      <xdr:nvGraphicFramePr>
        <xdr:cNvPr id="2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38100</xdr:colOff>
      <xdr:row>87</xdr:row>
      <xdr:rowOff>142875</xdr:rowOff>
    </xdr:from>
    <xdr:to>
      <xdr:col>7</xdr:col>
      <xdr:colOff>342900</xdr:colOff>
      <xdr:row>102</xdr:row>
      <xdr:rowOff>28575</xdr:rowOff>
    </xdr:to>
    <xdr:graphicFrame macro="">
      <xdr:nvGraphicFramePr>
        <xdr:cNvPr id="1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7</xdr:col>
      <xdr:colOff>333375</xdr:colOff>
      <xdr:row>14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23812</xdr:colOff>
      <xdr:row>14</xdr:row>
      <xdr:rowOff>104775</xdr:rowOff>
    </xdr:from>
    <xdr:to>
      <xdr:col>22</xdr:col>
      <xdr:colOff>328612</xdr:colOff>
      <xdr:row>28</xdr:row>
      <xdr:rowOff>180975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14</xdr:row>
      <xdr:rowOff>104775</xdr:rowOff>
    </xdr:from>
    <xdr:to>
      <xdr:col>7</xdr:col>
      <xdr:colOff>333375</xdr:colOff>
      <xdr:row>28</xdr:row>
      <xdr:rowOff>180975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23812</xdr:colOff>
      <xdr:row>0</xdr:row>
      <xdr:rowOff>57150</xdr:rowOff>
    </xdr:from>
    <xdr:to>
      <xdr:col>22</xdr:col>
      <xdr:colOff>328612</xdr:colOff>
      <xdr:row>14</xdr:row>
      <xdr:rowOff>133350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341709</xdr:colOff>
      <xdr:row>14</xdr:row>
      <xdr:rowOff>104775</xdr:rowOff>
    </xdr:from>
    <xdr:to>
      <xdr:col>15</xdr:col>
      <xdr:colOff>36909</xdr:colOff>
      <xdr:row>28</xdr:row>
      <xdr:rowOff>180975</xdr:rowOff>
    </xdr:to>
    <xdr:graphicFrame macro="">
      <xdr:nvGraphicFramePr>
        <xdr:cNvPr id="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341709</xdr:colOff>
      <xdr:row>0</xdr:row>
      <xdr:rowOff>57150</xdr:rowOff>
    </xdr:from>
    <xdr:to>
      <xdr:col>15</xdr:col>
      <xdr:colOff>36909</xdr:colOff>
      <xdr:row>14</xdr:row>
      <xdr:rowOff>133350</xdr:rowOff>
    </xdr:to>
    <xdr:graphicFrame macro="">
      <xdr:nvGraphicFramePr>
        <xdr:cNvPr id="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</xdr:colOff>
      <xdr:row>28</xdr:row>
      <xdr:rowOff>176212</xdr:rowOff>
    </xdr:from>
    <xdr:to>
      <xdr:col>7</xdr:col>
      <xdr:colOff>333375</xdr:colOff>
      <xdr:row>43</xdr:row>
      <xdr:rowOff>61912</xdr:rowOff>
    </xdr:to>
    <xdr:graphicFrame macro="">
      <xdr:nvGraphicFramePr>
        <xdr:cNvPr id="8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341709</xdr:colOff>
      <xdr:row>28</xdr:row>
      <xdr:rowOff>176212</xdr:rowOff>
    </xdr:from>
    <xdr:to>
      <xdr:col>15</xdr:col>
      <xdr:colOff>36909</xdr:colOff>
      <xdr:row>43</xdr:row>
      <xdr:rowOff>61912</xdr:rowOff>
    </xdr:to>
    <xdr:graphicFrame macro="">
      <xdr:nvGraphicFramePr>
        <xdr:cNvPr id="9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23812</xdr:colOff>
      <xdr:row>28</xdr:row>
      <xdr:rowOff>176212</xdr:rowOff>
    </xdr:from>
    <xdr:to>
      <xdr:col>22</xdr:col>
      <xdr:colOff>328612</xdr:colOff>
      <xdr:row>43</xdr:row>
      <xdr:rowOff>61912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28575</xdr:colOff>
      <xdr:row>43</xdr:row>
      <xdr:rowOff>61912</xdr:rowOff>
    </xdr:from>
    <xdr:to>
      <xdr:col>7</xdr:col>
      <xdr:colOff>333375</xdr:colOff>
      <xdr:row>57</xdr:row>
      <xdr:rowOff>138112</xdr:rowOff>
    </xdr:to>
    <xdr:graphicFrame macro="">
      <xdr:nvGraphicFramePr>
        <xdr:cNvPr id="11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341709</xdr:colOff>
      <xdr:row>43</xdr:row>
      <xdr:rowOff>61912</xdr:rowOff>
    </xdr:from>
    <xdr:to>
      <xdr:col>15</xdr:col>
      <xdr:colOff>36909</xdr:colOff>
      <xdr:row>57</xdr:row>
      <xdr:rowOff>138112</xdr:rowOff>
    </xdr:to>
    <xdr:graphicFrame macro="">
      <xdr:nvGraphicFramePr>
        <xdr:cNvPr id="1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23812</xdr:colOff>
      <xdr:row>43</xdr:row>
      <xdr:rowOff>61912</xdr:rowOff>
    </xdr:from>
    <xdr:to>
      <xdr:col>22</xdr:col>
      <xdr:colOff>328612</xdr:colOff>
      <xdr:row>57</xdr:row>
      <xdr:rowOff>138112</xdr:rowOff>
    </xdr:to>
    <xdr:graphicFrame macro="">
      <xdr:nvGraphicFramePr>
        <xdr:cNvPr id="13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23812</xdr:colOff>
      <xdr:row>57</xdr:row>
      <xdr:rowOff>133350</xdr:rowOff>
    </xdr:from>
    <xdr:to>
      <xdr:col>22</xdr:col>
      <xdr:colOff>328612</xdr:colOff>
      <xdr:row>72</xdr:row>
      <xdr:rowOff>19050</xdr:rowOff>
    </xdr:to>
    <xdr:graphicFrame macro="">
      <xdr:nvGraphicFramePr>
        <xdr:cNvPr id="14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28575</xdr:colOff>
      <xdr:row>72</xdr:row>
      <xdr:rowOff>11906</xdr:rowOff>
    </xdr:from>
    <xdr:to>
      <xdr:col>7</xdr:col>
      <xdr:colOff>333375</xdr:colOff>
      <xdr:row>86</xdr:row>
      <xdr:rowOff>88106</xdr:rowOff>
    </xdr:to>
    <xdr:graphicFrame macro="">
      <xdr:nvGraphicFramePr>
        <xdr:cNvPr id="1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341709</xdr:colOff>
      <xdr:row>72</xdr:row>
      <xdr:rowOff>11906</xdr:rowOff>
    </xdr:from>
    <xdr:to>
      <xdr:col>15</xdr:col>
      <xdr:colOff>36909</xdr:colOff>
      <xdr:row>86</xdr:row>
      <xdr:rowOff>88106</xdr:rowOff>
    </xdr:to>
    <xdr:graphicFrame macro="">
      <xdr:nvGraphicFramePr>
        <xdr:cNvPr id="1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341709</xdr:colOff>
      <xdr:row>57</xdr:row>
      <xdr:rowOff>133350</xdr:rowOff>
    </xdr:from>
    <xdr:to>
      <xdr:col>15</xdr:col>
      <xdr:colOff>36909</xdr:colOff>
      <xdr:row>72</xdr:row>
      <xdr:rowOff>19050</xdr:rowOff>
    </xdr:to>
    <xdr:graphicFrame macro="">
      <xdr:nvGraphicFramePr>
        <xdr:cNvPr id="17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23812</xdr:colOff>
      <xdr:row>72</xdr:row>
      <xdr:rowOff>11906</xdr:rowOff>
    </xdr:from>
    <xdr:to>
      <xdr:col>22</xdr:col>
      <xdr:colOff>328612</xdr:colOff>
      <xdr:row>86</xdr:row>
      <xdr:rowOff>88106</xdr:rowOff>
    </xdr:to>
    <xdr:graphicFrame macro="">
      <xdr:nvGraphicFramePr>
        <xdr:cNvPr id="1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28575</xdr:colOff>
      <xdr:row>57</xdr:row>
      <xdr:rowOff>133350</xdr:rowOff>
    </xdr:from>
    <xdr:to>
      <xdr:col>7</xdr:col>
      <xdr:colOff>333375</xdr:colOff>
      <xdr:row>72</xdr:row>
      <xdr:rowOff>19050</xdr:rowOff>
    </xdr:to>
    <xdr:graphicFrame macro="">
      <xdr:nvGraphicFramePr>
        <xdr:cNvPr id="1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333375</xdr:colOff>
      <xdr:row>86</xdr:row>
      <xdr:rowOff>80962</xdr:rowOff>
    </xdr:from>
    <xdr:to>
      <xdr:col>15</xdr:col>
      <xdr:colOff>28575</xdr:colOff>
      <xdr:row>100</xdr:row>
      <xdr:rowOff>157162</xdr:rowOff>
    </xdr:to>
    <xdr:graphicFrame macro="">
      <xdr:nvGraphicFramePr>
        <xdr:cNvPr id="2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28575</xdr:colOff>
      <xdr:row>86</xdr:row>
      <xdr:rowOff>80962</xdr:rowOff>
    </xdr:from>
    <xdr:to>
      <xdr:col>7</xdr:col>
      <xdr:colOff>333375</xdr:colOff>
      <xdr:row>100</xdr:row>
      <xdr:rowOff>157162</xdr:rowOff>
    </xdr:to>
    <xdr:graphicFrame macro="">
      <xdr:nvGraphicFramePr>
        <xdr:cNvPr id="2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14</xdr:row>
      <xdr:rowOff>130968</xdr:rowOff>
    </xdr:from>
    <xdr:to>
      <xdr:col>7</xdr:col>
      <xdr:colOff>309562</xdr:colOff>
      <xdr:row>29</xdr:row>
      <xdr:rowOff>16668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0</xdr:row>
      <xdr:rowOff>61912</xdr:rowOff>
    </xdr:from>
    <xdr:to>
      <xdr:col>15</xdr:col>
      <xdr:colOff>0</xdr:colOff>
      <xdr:row>14</xdr:row>
      <xdr:rowOff>138112</xdr:rowOff>
    </xdr:to>
    <xdr:graphicFrame macro="">
      <xdr:nvGraphicFramePr>
        <xdr:cNvPr id="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14</xdr:row>
      <xdr:rowOff>130968</xdr:rowOff>
    </xdr:from>
    <xdr:to>
      <xdr:col>15</xdr:col>
      <xdr:colOff>0</xdr:colOff>
      <xdr:row>29</xdr:row>
      <xdr:rowOff>16668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</xdr:colOff>
      <xdr:row>29</xdr:row>
      <xdr:rowOff>11906</xdr:rowOff>
    </xdr:from>
    <xdr:to>
      <xdr:col>7</xdr:col>
      <xdr:colOff>309562</xdr:colOff>
      <xdr:row>43</xdr:row>
      <xdr:rowOff>88106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304800</xdr:colOff>
      <xdr:row>29</xdr:row>
      <xdr:rowOff>11906</xdr:rowOff>
    </xdr:from>
    <xdr:to>
      <xdr:col>15</xdr:col>
      <xdr:colOff>0</xdr:colOff>
      <xdr:row>43</xdr:row>
      <xdr:rowOff>88106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4762</xdr:colOff>
      <xdr:row>0</xdr:row>
      <xdr:rowOff>61912</xdr:rowOff>
    </xdr:from>
    <xdr:to>
      <xdr:col>7</xdr:col>
      <xdr:colOff>309562</xdr:colOff>
      <xdr:row>14</xdr:row>
      <xdr:rowOff>138112</xdr:rowOff>
    </xdr:to>
    <xdr:graphicFrame macro="">
      <xdr:nvGraphicFramePr>
        <xdr:cNvPr id="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9525</xdr:colOff>
      <xdr:row>0</xdr:row>
      <xdr:rowOff>61912</xdr:rowOff>
    </xdr:from>
    <xdr:to>
      <xdr:col>22</xdr:col>
      <xdr:colOff>314325</xdr:colOff>
      <xdr:row>14</xdr:row>
      <xdr:rowOff>138112</xdr:rowOff>
    </xdr:to>
    <xdr:graphicFrame macro="">
      <xdr:nvGraphicFramePr>
        <xdr:cNvPr id="1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9525</xdr:colOff>
      <xdr:row>29</xdr:row>
      <xdr:rowOff>11906</xdr:rowOff>
    </xdr:from>
    <xdr:to>
      <xdr:col>22</xdr:col>
      <xdr:colOff>314325</xdr:colOff>
      <xdr:row>43</xdr:row>
      <xdr:rowOff>88106</xdr:rowOff>
    </xdr:to>
    <xdr:graphicFrame macro="">
      <xdr:nvGraphicFramePr>
        <xdr:cNvPr id="1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9525</xdr:colOff>
      <xdr:row>14</xdr:row>
      <xdr:rowOff>130968</xdr:rowOff>
    </xdr:from>
    <xdr:to>
      <xdr:col>22</xdr:col>
      <xdr:colOff>314325</xdr:colOff>
      <xdr:row>29</xdr:row>
      <xdr:rowOff>16668</xdr:rowOff>
    </xdr:to>
    <xdr:graphicFrame macro="">
      <xdr:nvGraphicFramePr>
        <xdr:cNvPr id="1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</xdr:row>
      <xdr:rowOff>19050</xdr:rowOff>
    </xdr:from>
    <xdr:to>
      <xdr:col>13</xdr:col>
      <xdr:colOff>561975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161926</xdr:colOff>
      <xdr:row>2</xdr:row>
      <xdr:rowOff>47625</xdr:rowOff>
    </xdr:from>
    <xdr:to>
      <xdr:col>22</xdr:col>
      <xdr:colOff>390525</xdr:colOff>
      <xdr:row>43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XFD268"/>
  <sheetViews>
    <sheetView topLeftCell="X82" workbookViewId="0">
      <selection activeCell="AC96" sqref="AC96"/>
    </sheetView>
  </sheetViews>
  <sheetFormatPr defaultRowHeight="15"/>
  <cols>
    <col min="1" max="1" width="2" bestFit="1" customWidth="1"/>
    <col min="2" max="2" width="28.5703125" bestFit="1" customWidth="1"/>
    <col min="3" max="3" width="7.7109375" style="6" customWidth="1"/>
    <col min="4" max="4" width="10" bestFit="1" customWidth="1"/>
    <col min="5" max="5" width="9.28515625" bestFit="1" customWidth="1"/>
    <col min="6" max="6" width="9.5703125" bestFit="1" customWidth="1"/>
    <col min="7" max="9" width="9.85546875" customWidth="1"/>
    <col min="10" max="10" width="12.42578125" customWidth="1"/>
    <col min="12" max="12" width="2" bestFit="1" customWidth="1"/>
    <col min="13" max="13" width="28.28515625" bestFit="1" customWidth="1"/>
    <col min="14" max="14" width="8.28515625" bestFit="1" customWidth="1"/>
    <col min="19" max="19" width="10.28515625" bestFit="1" customWidth="1"/>
    <col min="23" max="23" width="2" bestFit="1" customWidth="1"/>
    <col min="24" max="24" width="28.28515625" bestFit="1" customWidth="1"/>
    <col min="25" max="25" width="8.28515625" style="9" bestFit="1" customWidth="1"/>
    <col min="26" max="38" width="9.140625" style="97"/>
  </cols>
  <sheetData>
    <row r="1" spans="2:38" s="20" customFormat="1" ht="18.75">
      <c r="B1" s="122" t="s">
        <v>169</v>
      </c>
      <c r="C1" s="122" t="s">
        <v>260</v>
      </c>
      <c r="D1" s="122"/>
      <c r="Y1" s="47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</row>
    <row r="2" spans="2:38">
      <c r="B2" s="122"/>
      <c r="C2" s="122"/>
      <c r="D2" s="122"/>
      <c r="H2" s="121" t="s">
        <v>99</v>
      </c>
      <c r="I2" s="121"/>
      <c r="J2" s="30">
        <v>0.73549874999999998</v>
      </c>
    </row>
    <row r="3" spans="2:38">
      <c r="H3" s="121" t="s">
        <v>100</v>
      </c>
      <c r="I3" s="121"/>
      <c r="J3" s="30">
        <v>0.74569987199999999</v>
      </c>
    </row>
    <row r="4" spans="2:38" ht="17.25">
      <c r="B4" t="s">
        <v>0</v>
      </c>
      <c r="C4" s="8">
        <v>22920</v>
      </c>
      <c r="D4" s="6" t="s">
        <v>13</v>
      </c>
      <c r="E4" s="93">
        <f>IF($D$4="bhp",C4*$J$3,IF($D$4="kW",C4,C4*$J$2))</f>
        <v>17091.441066240001</v>
      </c>
      <c r="F4" s="93" t="s">
        <v>82</v>
      </c>
      <c r="H4" s="121" t="s">
        <v>125</v>
      </c>
      <c r="I4" s="121"/>
      <c r="J4" s="30">
        <v>0.98066500000000001</v>
      </c>
    </row>
    <row r="5" spans="2:38">
      <c r="B5" t="s">
        <v>1</v>
      </c>
      <c r="C5" s="92">
        <v>91</v>
      </c>
      <c r="D5" s="93" t="s">
        <v>14</v>
      </c>
      <c r="H5" s="121" t="s">
        <v>160</v>
      </c>
      <c r="I5" s="121"/>
      <c r="J5" s="30">
        <v>1.3332239E-3</v>
      </c>
    </row>
    <row r="6" spans="2:38">
      <c r="B6" t="s">
        <v>2</v>
      </c>
      <c r="C6" s="8">
        <v>6</v>
      </c>
      <c r="H6" s="121" t="s">
        <v>161</v>
      </c>
      <c r="I6" s="121"/>
      <c r="J6" s="30">
        <v>9.80665E-5</v>
      </c>
    </row>
    <row r="7" spans="2:38">
      <c r="B7" t="s">
        <v>77</v>
      </c>
      <c r="C7" s="8">
        <v>700</v>
      </c>
      <c r="D7" t="s">
        <v>16</v>
      </c>
      <c r="H7" s="121" t="s">
        <v>222</v>
      </c>
      <c r="I7" s="121"/>
      <c r="J7" s="35">
        <v>1.01325</v>
      </c>
    </row>
    <row r="8" spans="2:38" s="11" customFormat="1">
      <c r="B8" s="11" t="s">
        <v>78</v>
      </c>
      <c r="C8" s="8">
        <v>2800</v>
      </c>
      <c r="D8" s="11" t="s">
        <v>16</v>
      </c>
      <c r="H8" s="121" t="s">
        <v>166</v>
      </c>
      <c r="I8" s="121"/>
      <c r="J8" s="34">
        <v>298.14999999999998</v>
      </c>
      <c r="K8" s="35" t="s">
        <v>76</v>
      </c>
      <c r="Y8" s="9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</row>
    <row r="9" spans="2:38">
      <c r="B9" t="s">
        <v>3</v>
      </c>
      <c r="C9" s="8">
        <v>2.4418000000000002</v>
      </c>
      <c r="D9" t="s">
        <v>122</v>
      </c>
      <c r="H9" s="125" t="s">
        <v>172</v>
      </c>
      <c r="I9" s="125"/>
      <c r="J9" s="61">
        <v>4.1867999999999999</v>
      </c>
    </row>
    <row r="10" spans="2:38">
      <c r="B10" t="s">
        <v>4</v>
      </c>
      <c r="C10" s="8"/>
      <c r="D10" t="s">
        <v>57</v>
      </c>
      <c r="H10" s="121" t="s">
        <v>174</v>
      </c>
      <c r="I10" s="121"/>
      <c r="J10" s="35">
        <v>1.4</v>
      </c>
    </row>
    <row r="11" spans="2:38" ht="17.25">
      <c r="B11" t="s">
        <v>101</v>
      </c>
      <c r="C11" s="25">
        <f>PI()*($C$7/1000)^2/4*$C$8/1000</f>
        <v>1.0775662801812989</v>
      </c>
      <c r="D11" t="s">
        <v>120</v>
      </c>
      <c r="H11" s="121" t="s">
        <v>176</v>
      </c>
      <c r="I11" s="121"/>
      <c r="J11" s="35">
        <v>1.36</v>
      </c>
    </row>
    <row r="12" spans="2:38" s="11" customFormat="1">
      <c r="B12" s="11" t="s">
        <v>117</v>
      </c>
      <c r="C12" s="19">
        <v>2</v>
      </c>
      <c r="H12" s="121" t="s">
        <v>175</v>
      </c>
      <c r="I12" s="121"/>
      <c r="J12" s="35">
        <f xml:space="preserve"> (J10-1)/J10</f>
        <v>0.28571428571428564</v>
      </c>
      <c r="Y12" s="9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</row>
    <row r="13" spans="2:38" s="11" customFormat="1">
      <c r="B13" s="11" t="s">
        <v>42</v>
      </c>
      <c r="C13" s="123" t="s">
        <v>123</v>
      </c>
      <c r="D13" s="123"/>
      <c r="E13" s="123"/>
      <c r="H13" s="121" t="s">
        <v>177</v>
      </c>
      <c r="I13" s="121"/>
      <c r="J13" s="35">
        <f xml:space="preserve"> (J11-1)/J11</f>
        <v>0.26470588235294124</v>
      </c>
      <c r="Y13" s="9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</row>
    <row r="14" spans="2:38" s="40" customFormat="1">
      <c r="B14" s="40" t="s">
        <v>185</v>
      </c>
      <c r="C14" s="44">
        <v>0.73</v>
      </c>
      <c r="D14" s="41" t="s">
        <v>186</v>
      </c>
      <c r="E14" s="41"/>
      <c r="H14" s="42"/>
      <c r="I14" s="42"/>
      <c r="J14" s="43"/>
      <c r="Y14" s="4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</row>
    <row r="15" spans="2:38" s="40" customFormat="1">
      <c r="B15" s="40" t="s">
        <v>187</v>
      </c>
      <c r="C15" s="44">
        <v>0.72</v>
      </c>
      <c r="D15" s="41"/>
      <c r="E15" s="41"/>
      <c r="H15" s="42"/>
      <c r="I15" s="42"/>
      <c r="J15" s="43"/>
      <c r="Y15" s="4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</row>
    <row r="16" spans="2:38" s="40" customFormat="1">
      <c r="B16" s="40" t="s">
        <v>263</v>
      </c>
      <c r="C16" s="44">
        <v>22.7</v>
      </c>
      <c r="D16" s="41" t="s">
        <v>14</v>
      </c>
      <c r="E16" s="41"/>
      <c r="H16" s="42"/>
      <c r="I16" s="42"/>
      <c r="J16" s="43"/>
      <c r="Y16" s="4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</row>
    <row r="17" spans="2:16384" s="40" customFormat="1">
      <c r="B17" s="40" t="s">
        <v>264</v>
      </c>
      <c r="C17" s="91">
        <v>14800</v>
      </c>
      <c r="D17" s="41" t="s">
        <v>14</v>
      </c>
      <c r="E17" s="41"/>
      <c r="H17" s="42"/>
      <c r="I17" s="42"/>
      <c r="J17" s="43"/>
      <c r="Y17" s="4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</row>
    <row r="18" spans="2:16384" s="11" customFormat="1">
      <c r="C18" s="24"/>
      <c r="D18" s="24"/>
      <c r="E18" s="24"/>
      <c r="G18" s="51"/>
      <c r="H18" s="124" t="s">
        <v>162</v>
      </c>
      <c r="I18" s="124"/>
      <c r="J18" s="31">
        <f>$J$3</f>
        <v>0.74569987199999999</v>
      </c>
      <c r="Y18" s="9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</row>
    <row r="19" spans="2:16384" s="29" customFormat="1" ht="15.75">
      <c r="B19" s="33" t="s">
        <v>163</v>
      </c>
      <c r="C19" s="32"/>
      <c r="D19" s="32"/>
      <c r="E19" s="32"/>
      <c r="M19" s="33" t="s">
        <v>164</v>
      </c>
      <c r="X19" s="33" t="s">
        <v>165</v>
      </c>
      <c r="Y19" s="4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O19" s="120"/>
      <c r="AS19" s="29">
        <f>AQ20-AQ19</f>
        <v>0</v>
      </c>
      <c r="AT19" s="29">
        <f>AS19/3</f>
        <v>0</v>
      </c>
      <c r="AU19" s="29">
        <f>AT19/3</f>
        <v>0</v>
      </c>
    </row>
    <row r="20" spans="2:16384" ht="15.7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AM20" s="11"/>
      <c r="AN20" s="11"/>
      <c r="AO20" s="3"/>
      <c r="AP20" s="11"/>
      <c r="AQ20" s="29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  <c r="CLI20" s="11"/>
      <c r="CLJ20" s="11"/>
      <c r="CLK20" s="11"/>
      <c r="CLL20" s="11"/>
      <c r="CLM20" s="11"/>
      <c r="CLN20" s="11"/>
      <c r="CLO20" s="11"/>
      <c r="CLP20" s="11"/>
      <c r="CLQ20" s="11"/>
      <c r="CLR20" s="11"/>
      <c r="CLS20" s="11"/>
      <c r="CLT20" s="11"/>
      <c r="CLU20" s="11"/>
      <c r="CLV20" s="11"/>
      <c r="CLW20" s="11"/>
      <c r="CLX20" s="11"/>
      <c r="CLY20" s="11"/>
      <c r="CLZ20" s="11"/>
      <c r="CMA20" s="11"/>
      <c r="CMB20" s="11"/>
      <c r="CMC20" s="11"/>
      <c r="CMD20" s="11"/>
      <c r="CME20" s="11"/>
      <c r="CMF20" s="11"/>
      <c r="CMG20" s="11"/>
      <c r="CMH20" s="11"/>
      <c r="CMI20" s="11"/>
      <c r="CMJ20" s="11"/>
      <c r="CMK20" s="11"/>
      <c r="CML20" s="11"/>
      <c r="CMM20" s="11"/>
      <c r="CMN20" s="11"/>
      <c r="CMO20" s="11"/>
      <c r="CMP20" s="11"/>
      <c r="CMQ20" s="11"/>
      <c r="CMR20" s="11"/>
      <c r="CMS20" s="11"/>
      <c r="CMT20" s="11"/>
      <c r="CMU20" s="11"/>
      <c r="CMV20" s="11"/>
      <c r="CMW20" s="11"/>
      <c r="CMX20" s="11"/>
      <c r="CMY20" s="11"/>
      <c r="CMZ20" s="11"/>
      <c r="CNA20" s="11"/>
      <c r="CNB20" s="11"/>
      <c r="CNC20" s="11"/>
      <c r="CND20" s="11"/>
      <c r="CNE20" s="11"/>
      <c r="CNF20" s="11"/>
      <c r="CNG20" s="11"/>
      <c r="CNH20" s="11"/>
      <c r="CNI20" s="11"/>
      <c r="CNJ20" s="11"/>
      <c r="CNK20" s="11"/>
      <c r="CNL20" s="11"/>
      <c r="CNM20" s="11"/>
      <c r="CNN20" s="11"/>
      <c r="CNO20" s="11"/>
      <c r="CNP20" s="11"/>
      <c r="CNQ20" s="11"/>
      <c r="CNR20" s="11"/>
      <c r="CNS20" s="11"/>
      <c r="CNT20" s="11"/>
      <c r="CNU20" s="11"/>
      <c r="CNV20" s="11"/>
      <c r="CNW20" s="11"/>
      <c r="CNX20" s="11"/>
      <c r="CNY20" s="11"/>
      <c r="CNZ20" s="11"/>
      <c r="COA20" s="11"/>
      <c r="COB20" s="11"/>
      <c r="COC20" s="11"/>
      <c r="COD20" s="11"/>
      <c r="COE20" s="11"/>
      <c r="COF20" s="11"/>
      <c r="COG20" s="11"/>
      <c r="COH20" s="11"/>
      <c r="COI20" s="11"/>
      <c r="COJ20" s="11"/>
      <c r="COK20" s="11"/>
      <c r="COL20" s="11"/>
      <c r="COM20" s="11"/>
      <c r="CON20" s="11"/>
      <c r="COO20" s="11"/>
      <c r="COP20" s="11"/>
      <c r="COQ20" s="11"/>
      <c r="COR20" s="11"/>
      <c r="COS20" s="11"/>
      <c r="COT20" s="11"/>
      <c r="COU20" s="11"/>
      <c r="COV20" s="11"/>
      <c r="COW20" s="11"/>
      <c r="COX20" s="11"/>
      <c r="COY20" s="11"/>
      <c r="COZ20" s="11"/>
      <c r="CPA20" s="11"/>
      <c r="CPB20" s="11"/>
      <c r="CPC20" s="11"/>
      <c r="CPD20" s="11"/>
      <c r="CPE20" s="11"/>
      <c r="CPF20" s="11"/>
      <c r="CPG20" s="11"/>
      <c r="CPH20" s="11"/>
      <c r="CPI20" s="11"/>
      <c r="CPJ20" s="11"/>
      <c r="CPK20" s="11"/>
      <c r="CPL20" s="11"/>
      <c r="CPM20" s="11"/>
      <c r="CPN20" s="11"/>
      <c r="CPO20" s="11"/>
      <c r="CPP20" s="11"/>
      <c r="CPQ20" s="11"/>
      <c r="CPR20" s="11"/>
      <c r="CPS20" s="11"/>
      <c r="CPT20" s="11"/>
      <c r="CPU20" s="11"/>
      <c r="CPV20" s="11"/>
      <c r="CPW20" s="11"/>
      <c r="CPX20" s="11"/>
      <c r="CPY20" s="11"/>
      <c r="CPZ20" s="11"/>
      <c r="CQA20" s="11"/>
      <c r="CQB20" s="11"/>
      <c r="CQC20" s="11"/>
      <c r="CQD20" s="11"/>
      <c r="CQE20" s="11"/>
      <c r="CQF20" s="11"/>
      <c r="CQG20" s="11"/>
      <c r="CQH20" s="11"/>
      <c r="CQI20" s="11"/>
      <c r="CQJ20" s="11"/>
      <c r="CQK20" s="11"/>
      <c r="CQL20" s="11"/>
      <c r="CQM20" s="11"/>
      <c r="CQN20" s="11"/>
      <c r="CQO20" s="11"/>
      <c r="CQP20" s="11"/>
      <c r="CQQ20" s="11"/>
      <c r="CQR20" s="11"/>
      <c r="CQS20" s="11"/>
      <c r="CQT20" s="11"/>
      <c r="CQU20" s="11"/>
      <c r="CQV20" s="11"/>
      <c r="CQW20" s="11"/>
      <c r="CQX20" s="11"/>
      <c r="CQY20" s="11"/>
      <c r="CQZ20" s="11"/>
      <c r="CRA20" s="11"/>
      <c r="CRB20" s="11"/>
      <c r="CRC20" s="11"/>
      <c r="CRD20" s="11"/>
      <c r="CRE20" s="11"/>
      <c r="CRF20" s="11"/>
      <c r="CRG20" s="11"/>
      <c r="CRH20" s="11"/>
      <c r="CRI20" s="11"/>
      <c r="CRJ20" s="11"/>
      <c r="CRK20" s="11"/>
      <c r="CRL20" s="11"/>
      <c r="CRM20" s="11"/>
      <c r="CRN20" s="11"/>
      <c r="CRO20" s="11"/>
      <c r="CRP20" s="11"/>
      <c r="CRQ20" s="11"/>
      <c r="CRR20" s="11"/>
      <c r="CRS20" s="11"/>
      <c r="CRT20" s="11"/>
      <c r="CRU20" s="11"/>
      <c r="CRV20" s="11"/>
      <c r="CRW20" s="11"/>
      <c r="CRX20" s="11"/>
      <c r="CRY20" s="11"/>
      <c r="CRZ20" s="11"/>
      <c r="CSA20" s="11"/>
      <c r="CSB20" s="11"/>
      <c r="CSC20" s="11"/>
      <c r="CSD20" s="11"/>
      <c r="CSE20" s="11"/>
      <c r="CSF20" s="11"/>
      <c r="CSG20" s="11"/>
      <c r="CSH20" s="11"/>
      <c r="CSI20" s="11"/>
      <c r="CSJ20" s="11"/>
      <c r="CSK20" s="11"/>
      <c r="CSL20" s="11"/>
      <c r="CSM20" s="11"/>
      <c r="CSN20" s="11"/>
      <c r="CSO20" s="11"/>
      <c r="CSP20" s="11"/>
      <c r="CSQ20" s="11"/>
      <c r="CSR20" s="11"/>
      <c r="CSS20" s="11"/>
      <c r="CST20" s="11"/>
      <c r="CSU20" s="11"/>
      <c r="CSV20" s="11"/>
      <c r="CSW20" s="11"/>
      <c r="CSX20" s="11"/>
      <c r="CSY20" s="11"/>
      <c r="CSZ20" s="11"/>
      <c r="CTA20" s="11"/>
      <c r="CTB20" s="11"/>
      <c r="CTC20" s="11"/>
      <c r="CTD20" s="11"/>
      <c r="CTE20" s="11"/>
      <c r="CTF20" s="11"/>
      <c r="CTG20" s="11"/>
      <c r="CTH20" s="11"/>
      <c r="CTI20" s="11"/>
      <c r="CTJ20" s="11"/>
      <c r="CTK20" s="11"/>
      <c r="CTL20" s="11"/>
      <c r="CTM20" s="11"/>
      <c r="CTN20" s="11"/>
      <c r="CTO20" s="11"/>
      <c r="CTP20" s="11"/>
      <c r="CTQ20" s="11"/>
      <c r="CTR20" s="11"/>
      <c r="CTS20" s="11"/>
      <c r="CTT20" s="11"/>
      <c r="CTU20" s="11"/>
      <c r="CTV20" s="11"/>
      <c r="CTW20" s="11"/>
      <c r="CTX20" s="11"/>
      <c r="CTY20" s="11"/>
      <c r="CTZ20" s="11"/>
      <c r="CUA20" s="11"/>
      <c r="CUB20" s="11"/>
      <c r="CUC20" s="11"/>
      <c r="CUD20" s="11"/>
      <c r="CUE20" s="11"/>
      <c r="CUF20" s="11"/>
      <c r="CUG20" s="11"/>
      <c r="CUH20" s="11"/>
      <c r="CUI20" s="11"/>
      <c r="CUJ20" s="11"/>
      <c r="CUK20" s="11"/>
      <c r="CUL20" s="11"/>
      <c r="CUM20" s="11"/>
      <c r="CUN20" s="11"/>
      <c r="CUO20" s="11"/>
      <c r="CUP20" s="11"/>
      <c r="CUQ20" s="11"/>
      <c r="CUR20" s="11"/>
      <c r="CUS20" s="11"/>
      <c r="CUT20" s="11"/>
      <c r="CUU20" s="11"/>
      <c r="CUV20" s="11"/>
      <c r="CUW20" s="11"/>
      <c r="CUX20" s="11"/>
      <c r="CUY20" s="11"/>
      <c r="CUZ20" s="11"/>
      <c r="CVA20" s="11"/>
      <c r="CVB20" s="11"/>
      <c r="CVC20" s="11"/>
      <c r="CVD20" s="11"/>
      <c r="CVE20" s="11"/>
      <c r="CVF20" s="11"/>
      <c r="CVG20" s="11"/>
      <c r="CVH20" s="11"/>
      <c r="CVI20" s="11"/>
      <c r="CVJ20" s="11"/>
      <c r="CVK20" s="11"/>
      <c r="CVL20" s="11"/>
      <c r="CVM20" s="11"/>
      <c r="CVN20" s="11"/>
      <c r="CVO20" s="11"/>
      <c r="CVP20" s="11"/>
      <c r="CVQ20" s="11"/>
      <c r="CVR20" s="11"/>
      <c r="CVS20" s="11"/>
      <c r="CVT20" s="11"/>
      <c r="CVU20" s="11"/>
      <c r="CVV20" s="11"/>
      <c r="CVW20" s="11"/>
      <c r="CVX20" s="11"/>
      <c r="CVY20" s="11"/>
      <c r="CVZ20" s="11"/>
      <c r="CWA20" s="11"/>
      <c r="CWB20" s="11"/>
      <c r="CWC20" s="11"/>
      <c r="CWD20" s="11"/>
      <c r="CWE20" s="11"/>
      <c r="CWF20" s="11"/>
      <c r="CWG20" s="11"/>
      <c r="CWH20" s="11"/>
      <c r="CWI20" s="11"/>
      <c r="CWJ20" s="11"/>
      <c r="CWK20" s="11"/>
      <c r="CWL20" s="11"/>
      <c r="CWM20" s="11"/>
      <c r="CWN20" s="11"/>
      <c r="CWO20" s="11"/>
      <c r="CWP20" s="11"/>
      <c r="CWQ20" s="11"/>
      <c r="CWR20" s="11"/>
      <c r="CWS20" s="11"/>
      <c r="CWT20" s="11"/>
      <c r="CWU20" s="11"/>
      <c r="CWV20" s="11"/>
      <c r="CWW20" s="11"/>
      <c r="CWX20" s="11"/>
      <c r="CWY20" s="11"/>
      <c r="CWZ20" s="11"/>
      <c r="CXA20" s="11"/>
      <c r="CXB20" s="11"/>
      <c r="CXC20" s="11"/>
      <c r="CXD20" s="11"/>
      <c r="CXE20" s="11"/>
      <c r="CXF20" s="11"/>
      <c r="CXG20" s="11"/>
      <c r="CXH20" s="11"/>
      <c r="CXI20" s="11"/>
      <c r="CXJ20" s="11"/>
      <c r="CXK20" s="11"/>
      <c r="CXL20" s="11"/>
      <c r="CXM20" s="11"/>
      <c r="CXN20" s="11"/>
      <c r="CXO20" s="11"/>
      <c r="CXP20" s="11"/>
      <c r="CXQ20" s="11"/>
      <c r="CXR20" s="11"/>
      <c r="CXS20" s="11"/>
      <c r="CXT20" s="11"/>
      <c r="CXU20" s="11"/>
      <c r="CXV20" s="11"/>
      <c r="CXW20" s="11"/>
      <c r="CXX20" s="11"/>
      <c r="CXY20" s="11"/>
      <c r="CXZ20" s="11"/>
      <c r="CYA20" s="11"/>
      <c r="CYB20" s="11"/>
      <c r="CYC20" s="11"/>
      <c r="CYD20" s="11"/>
      <c r="CYE20" s="11"/>
      <c r="CYF20" s="11"/>
      <c r="CYG20" s="11"/>
      <c r="CYH20" s="11"/>
      <c r="CYI20" s="11"/>
      <c r="CYJ20" s="11"/>
      <c r="CYK20" s="11"/>
      <c r="CYL20" s="11"/>
      <c r="CYM20" s="11"/>
      <c r="CYN20" s="11"/>
      <c r="CYO20" s="11"/>
      <c r="CYP20" s="11"/>
      <c r="CYQ20" s="11"/>
      <c r="CYR20" s="11"/>
      <c r="CYS20" s="11"/>
      <c r="CYT20" s="11"/>
      <c r="CYU20" s="11"/>
      <c r="CYV20" s="11"/>
      <c r="CYW20" s="11"/>
      <c r="CYX20" s="11"/>
      <c r="CYY20" s="11"/>
      <c r="CYZ20" s="11"/>
      <c r="CZA20" s="11"/>
      <c r="CZB20" s="11"/>
      <c r="CZC20" s="11"/>
      <c r="CZD20" s="11"/>
      <c r="CZE20" s="11"/>
      <c r="CZF20" s="11"/>
      <c r="CZG20" s="11"/>
      <c r="CZH20" s="11"/>
      <c r="CZI20" s="11"/>
      <c r="CZJ20" s="11"/>
      <c r="CZK20" s="11"/>
      <c r="CZL20" s="11"/>
      <c r="CZM20" s="11"/>
      <c r="CZN20" s="11"/>
      <c r="CZO20" s="11"/>
      <c r="CZP20" s="11"/>
      <c r="CZQ20" s="11"/>
      <c r="CZR20" s="11"/>
      <c r="CZS20" s="11"/>
      <c r="CZT20" s="11"/>
      <c r="CZU20" s="11"/>
      <c r="CZV20" s="11"/>
      <c r="CZW20" s="11"/>
      <c r="CZX20" s="11"/>
      <c r="CZY20" s="11"/>
      <c r="CZZ20" s="11"/>
      <c r="DAA20" s="11"/>
      <c r="DAB20" s="11"/>
      <c r="DAC20" s="11"/>
      <c r="DAD20" s="11"/>
      <c r="DAE20" s="11"/>
      <c r="DAF20" s="11"/>
      <c r="DAG20" s="11"/>
      <c r="DAH20" s="11"/>
      <c r="DAI20" s="11"/>
      <c r="DAJ20" s="11"/>
      <c r="DAK20" s="11"/>
      <c r="DAL20" s="11"/>
      <c r="DAM20" s="11"/>
      <c r="DAN20" s="11"/>
      <c r="DAO20" s="11"/>
      <c r="DAP20" s="11"/>
      <c r="DAQ20" s="11"/>
      <c r="DAR20" s="11"/>
      <c r="DAS20" s="11"/>
      <c r="DAT20" s="11"/>
      <c r="DAU20" s="11"/>
      <c r="DAV20" s="11"/>
      <c r="DAW20" s="11"/>
      <c r="DAX20" s="11"/>
      <c r="DAY20" s="11"/>
      <c r="DAZ20" s="11"/>
      <c r="DBA20" s="11"/>
      <c r="DBB20" s="11"/>
      <c r="DBC20" s="11"/>
      <c r="DBD20" s="11"/>
      <c r="DBE20" s="11"/>
      <c r="DBF20" s="11"/>
      <c r="DBG20" s="11"/>
      <c r="DBH20" s="11"/>
      <c r="DBI20" s="11"/>
      <c r="DBJ20" s="11"/>
      <c r="DBK20" s="11"/>
      <c r="DBL20" s="11"/>
      <c r="DBM20" s="11"/>
      <c r="DBN20" s="11"/>
      <c r="DBO20" s="11"/>
      <c r="DBP20" s="11"/>
      <c r="DBQ20" s="11"/>
      <c r="DBR20" s="11"/>
      <c r="DBS20" s="11"/>
      <c r="DBT20" s="11"/>
      <c r="DBU20" s="11"/>
      <c r="DBV20" s="11"/>
      <c r="DBW20" s="11"/>
      <c r="DBX20" s="11"/>
      <c r="DBY20" s="11"/>
      <c r="DBZ20" s="11"/>
      <c r="DCA20" s="11"/>
      <c r="DCB20" s="11"/>
      <c r="DCC20" s="11"/>
      <c r="DCD20" s="11"/>
      <c r="DCE20" s="11"/>
      <c r="DCF20" s="11"/>
      <c r="DCG20" s="11"/>
      <c r="DCH20" s="11"/>
      <c r="DCI20" s="11"/>
      <c r="DCJ20" s="11"/>
      <c r="DCK20" s="11"/>
      <c r="DCL20" s="11"/>
      <c r="DCM20" s="11"/>
      <c r="DCN20" s="11"/>
      <c r="DCO20" s="11"/>
      <c r="DCP20" s="11"/>
      <c r="DCQ20" s="11"/>
      <c r="DCR20" s="11"/>
      <c r="DCS20" s="11"/>
      <c r="DCT20" s="11"/>
      <c r="DCU20" s="11"/>
      <c r="DCV20" s="11"/>
      <c r="DCW20" s="11"/>
      <c r="DCX20" s="11"/>
      <c r="DCY20" s="11"/>
      <c r="DCZ20" s="11"/>
      <c r="DDA20" s="11"/>
      <c r="DDB20" s="11"/>
      <c r="DDC20" s="11"/>
      <c r="DDD20" s="11"/>
      <c r="DDE20" s="11"/>
      <c r="DDF20" s="11"/>
      <c r="DDG20" s="11"/>
      <c r="DDH20" s="11"/>
      <c r="DDI20" s="11"/>
      <c r="DDJ20" s="11"/>
      <c r="DDK20" s="11"/>
      <c r="DDL20" s="11"/>
      <c r="DDM20" s="11"/>
      <c r="DDN20" s="11"/>
      <c r="DDO20" s="11"/>
      <c r="DDP20" s="11"/>
      <c r="DDQ20" s="11"/>
      <c r="DDR20" s="11"/>
      <c r="DDS20" s="11"/>
      <c r="DDT20" s="11"/>
      <c r="DDU20" s="11"/>
      <c r="DDV20" s="11"/>
      <c r="DDW20" s="11"/>
      <c r="DDX20" s="11"/>
      <c r="DDY20" s="11"/>
      <c r="DDZ20" s="11"/>
      <c r="DEA20" s="11"/>
      <c r="DEB20" s="11"/>
      <c r="DEC20" s="11"/>
      <c r="DED20" s="11"/>
      <c r="DEE20" s="11"/>
      <c r="DEF20" s="11"/>
      <c r="DEG20" s="11"/>
      <c r="DEH20" s="11"/>
      <c r="DEI20" s="11"/>
      <c r="DEJ20" s="11"/>
      <c r="DEK20" s="11"/>
      <c r="DEL20" s="11"/>
      <c r="DEM20" s="11"/>
      <c r="DEN20" s="11"/>
      <c r="DEO20" s="11"/>
      <c r="DEP20" s="11"/>
      <c r="DEQ20" s="11"/>
      <c r="DER20" s="11"/>
      <c r="DES20" s="11"/>
      <c r="DET20" s="11"/>
      <c r="DEU20" s="11"/>
      <c r="DEV20" s="11"/>
      <c r="DEW20" s="11"/>
      <c r="DEX20" s="11"/>
      <c r="DEY20" s="11"/>
      <c r="DEZ20" s="11"/>
      <c r="DFA20" s="11"/>
      <c r="DFB20" s="11"/>
      <c r="DFC20" s="11"/>
      <c r="DFD20" s="11"/>
      <c r="DFE20" s="11"/>
      <c r="DFF20" s="11"/>
      <c r="DFG20" s="11"/>
      <c r="DFH20" s="11"/>
      <c r="DFI20" s="11"/>
      <c r="DFJ20" s="11"/>
      <c r="DFK20" s="11"/>
      <c r="DFL20" s="11"/>
      <c r="DFM20" s="11"/>
      <c r="DFN20" s="11"/>
      <c r="DFO20" s="11"/>
      <c r="DFP20" s="11"/>
      <c r="DFQ20" s="11"/>
      <c r="DFR20" s="11"/>
      <c r="DFS20" s="11"/>
      <c r="DFT20" s="11"/>
      <c r="DFU20" s="11"/>
      <c r="DFV20" s="11"/>
      <c r="DFW20" s="11"/>
      <c r="DFX20" s="11"/>
      <c r="DFY20" s="11"/>
      <c r="DFZ20" s="11"/>
      <c r="DGA20" s="11"/>
      <c r="DGB20" s="11"/>
      <c r="DGC20" s="11"/>
      <c r="DGD20" s="11"/>
      <c r="DGE20" s="11"/>
      <c r="DGF20" s="11"/>
      <c r="DGG20" s="11"/>
      <c r="DGH20" s="11"/>
      <c r="DGI20" s="11"/>
      <c r="DGJ20" s="11"/>
      <c r="DGK20" s="11"/>
      <c r="DGL20" s="11"/>
      <c r="DGM20" s="11"/>
      <c r="DGN20" s="11"/>
      <c r="DGO20" s="11"/>
      <c r="DGP20" s="11"/>
      <c r="DGQ20" s="11"/>
      <c r="DGR20" s="11"/>
      <c r="DGS20" s="11"/>
      <c r="DGT20" s="11"/>
      <c r="DGU20" s="11"/>
      <c r="DGV20" s="11"/>
      <c r="DGW20" s="11"/>
      <c r="DGX20" s="11"/>
      <c r="DGY20" s="11"/>
      <c r="DGZ20" s="11"/>
      <c r="DHA20" s="11"/>
      <c r="DHB20" s="11"/>
      <c r="DHC20" s="11"/>
      <c r="DHD20" s="11"/>
      <c r="DHE20" s="11"/>
      <c r="DHF20" s="11"/>
      <c r="DHG20" s="11"/>
      <c r="DHH20" s="11"/>
      <c r="DHI20" s="11"/>
      <c r="DHJ20" s="11"/>
      <c r="DHK20" s="11"/>
      <c r="DHL20" s="11"/>
      <c r="DHM20" s="11"/>
      <c r="DHN20" s="11"/>
      <c r="DHO20" s="11"/>
      <c r="DHP20" s="11"/>
      <c r="DHQ20" s="11"/>
      <c r="DHR20" s="11"/>
      <c r="DHS20" s="11"/>
      <c r="DHT20" s="11"/>
      <c r="DHU20" s="11"/>
      <c r="DHV20" s="11"/>
      <c r="DHW20" s="11"/>
      <c r="DHX20" s="11"/>
      <c r="DHY20" s="11"/>
      <c r="DHZ20" s="11"/>
      <c r="DIA20" s="11"/>
      <c r="DIB20" s="11"/>
      <c r="DIC20" s="11"/>
      <c r="DID20" s="11"/>
      <c r="DIE20" s="11"/>
      <c r="DIF20" s="11"/>
      <c r="DIG20" s="11"/>
      <c r="DIH20" s="11"/>
      <c r="DII20" s="11"/>
      <c r="DIJ20" s="11"/>
      <c r="DIK20" s="11"/>
      <c r="DIL20" s="11"/>
      <c r="DIM20" s="11"/>
      <c r="DIN20" s="11"/>
      <c r="DIO20" s="11"/>
      <c r="DIP20" s="11"/>
      <c r="DIQ20" s="11"/>
      <c r="DIR20" s="11"/>
      <c r="DIS20" s="11"/>
      <c r="DIT20" s="11"/>
      <c r="DIU20" s="11"/>
      <c r="DIV20" s="11"/>
      <c r="DIW20" s="11"/>
      <c r="DIX20" s="11"/>
      <c r="DIY20" s="11"/>
      <c r="DIZ20" s="11"/>
      <c r="DJA20" s="11"/>
      <c r="DJB20" s="11"/>
      <c r="DJC20" s="11"/>
      <c r="DJD20" s="11"/>
      <c r="DJE20" s="11"/>
      <c r="DJF20" s="11"/>
      <c r="DJG20" s="11"/>
      <c r="DJH20" s="11"/>
      <c r="DJI20" s="11"/>
      <c r="DJJ20" s="11"/>
      <c r="DJK20" s="11"/>
      <c r="DJL20" s="11"/>
      <c r="DJM20" s="11"/>
      <c r="DJN20" s="11"/>
      <c r="DJO20" s="11"/>
      <c r="DJP20" s="11"/>
      <c r="DJQ20" s="11"/>
      <c r="DJR20" s="11"/>
      <c r="DJS20" s="11"/>
      <c r="DJT20" s="11"/>
      <c r="DJU20" s="11"/>
      <c r="DJV20" s="11"/>
      <c r="DJW20" s="11"/>
      <c r="DJX20" s="11"/>
      <c r="DJY20" s="11"/>
      <c r="DJZ20" s="11"/>
      <c r="DKA20" s="11"/>
      <c r="DKB20" s="11"/>
      <c r="DKC20" s="11"/>
      <c r="DKD20" s="11"/>
      <c r="DKE20" s="11"/>
      <c r="DKF20" s="11"/>
      <c r="DKG20" s="11"/>
      <c r="DKH20" s="11"/>
      <c r="DKI20" s="11"/>
      <c r="DKJ20" s="11"/>
      <c r="DKK20" s="11"/>
      <c r="DKL20" s="11"/>
      <c r="DKM20" s="11"/>
      <c r="DKN20" s="11"/>
      <c r="DKO20" s="11"/>
      <c r="DKP20" s="11"/>
      <c r="DKQ20" s="11"/>
      <c r="DKR20" s="11"/>
      <c r="DKS20" s="11"/>
      <c r="DKT20" s="11"/>
      <c r="DKU20" s="11"/>
      <c r="DKV20" s="11"/>
      <c r="DKW20" s="11"/>
      <c r="DKX20" s="11"/>
      <c r="DKY20" s="11"/>
      <c r="DKZ20" s="11"/>
      <c r="DLA20" s="11"/>
      <c r="DLB20" s="11"/>
      <c r="DLC20" s="11"/>
      <c r="DLD20" s="11"/>
      <c r="DLE20" s="11"/>
      <c r="DLF20" s="11"/>
      <c r="DLG20" s="11"/>
      <c r="DLH20" s="11"/>
      <c r="DLI20" s="11"/>
      <c r="DLJ20" s="11"/>
      <c r="DLK20" s="11"/>
      <c r="DLL20" s="11"/>
      <c r="DLM20" s="11"/>
      <c r="DLN20" s="11"/>
      <c r="DLO20" s="11"/>
      <c r="DLP20" s="11"/>
      <c r="DLQ20" s="11"/>
      <c r="DLR20" s="11"/>
      <c r="DLS20" s="11"/>
      <c r="DLT20" s="11"/>
      <c r="DLU20" s="11"/>
      <c r="DLV20" s="11"/>
      <c r="DLW20" s="11"/>
      <c r="DLX20" s="11"/>
      <c r="DLY20" s="11"/>
      <c r="DLZ20" s="11"/>
      <c r="DMA20" s="11"/>
      <c r="DMB20" s="11"/>
      <c r="DMC20" s="11"/>
      <c r="DMD20" s="11"/>
      <c r="DME20" s="11"/>
      <c r="DMF20" s="11"/>
      <c r="DMG20" s="11"/>
      <c r="DMH20" s="11"/>
      <c r="DMI20" s="11"/>
      <c r="DMJ20" s="11"/>
      <c r="DMK20" s="11"/>
      <c r="DML20" s="11"/>
      <c r="DMM20" s="11"/>
      <c r="DMN20" s="11"/>
      <c r="DMO20" s="11"/>
      <c r="DMP20" s="11"/>
      <c r="DMQ20" s="11"/>
      <c r="DMR20" s="11"/>
      <c r="DMS20" s="11"/>
      <c r="DMT20" s="11"/>
      <c r="DMU20" s="11"/>
      <c r="DMV20" s="11"/>
      <c r="DMW20" s="11"/>
      <c r="DMX20" s="11"/>
      <c r="DMY20" s="11"/>
      <c r="DMZ20" s="11"/>
      <c r="DNA20" s="11"/>
      <c r="DNB20" s="11"/>
      <c r="DNC20" s="11"/>
      <c r="DND20" s="11"/>
      <c r="DNE20" s="11"/>
      <c r="DNF20" s="11"/>
      <c r="DNG20" s="11"/>
      <c r="DNH20" s="11"/>
      <c r="DNI20" s="11"/>
      <c r="DNJ20" s="11"/>
      <c r="DNK20" s="11"/>
      <c r="DNL20" s="11"/>
      <c r="DNM20" s="11"/>
      <c r="DNN20" s="11"/>
      <c r="DNO20" s="11"/>
      <c r="DNP20" s="11"/>
      <c r="DNQ20" s="11"/>
      <c r="DNR20" s="11"/>
      <c r="DNS20" s="11"/>
      <c r="DNT20" s="11"/>
      <c r="DNU20" s="11"/>
      <c r="DNV20" s="11"/>
      <c r="DNW20" s="11"/>
      <c r="DNX20" s="11"/>
      <c r="DNY20" s="11"/>
      <c r="DNZ20" s="11"/>
      <c r="DOA20" s="11"/>
      <c r="DOB20" s="11"/>
      <c r="DOC20" s="11"/>
      <c r="DOD20" s="11"/>
      <c r="DOE20" s="11"/>
      <c r="DOF20" s="11"/>
      <c r="DOG20" s="11"/>
      <c r="DOH20" s="11"/>
      <c r="DOI20" s="11"/>
      <c r="DOJ20" s="11"/>
      <c r="DOK20" s="11"/>
      <c r="DOL20" s="11"/>
      <c r="DOM20" s="11"/>
      <c r="DON20" s="11"/>
      <c r="DOO20" s="11"/>
      <c r="DOP20" s="11"/>
      <c r="DOQ20" s="11"/>
      <c r="DOR20" s="11"/>
      <c r="DOS20" s="11"/>
      <c r="DOT20" s="11"/>
      <c r="DOU20" s="11"/>
      <c r="DOV20" s="11"/>
      <c r="DOW20" s="11"/>
      <c r="DOX20" s="11"/>
      <c r="DOY20" s="11"/>
      <c r="DOZ20" s="11"/>
      <c r="DPA20" s="11"/>
      <c r="DPB20" s="11"/>
      <c r="DPC20" s="11"/>
      <c r="DPD20" s="11"/>
      <c r="DPE20" s="11"/>
      <c r="DPF20" s="11"/>
      <c r="DPG20" s="11"/>
      <c r="DPH20" s="11"/>
      <c r="DPI20" s="11"/>
      <c r="DPJ20" s="11"/>
      <c r="DPK20" s="11"/>
      <c r="DPL20" s="11"/>
      <c r="DPM20" s="11"/>
      <c r="DPN20" s="11"/>
      <c r="DPO20" s="11"/>
      <c r="DPP20" s="11"/>
      <c r="DPQ20" s="11"/>
      <c r="DPR20" s="11"/>
      <c r="DPS20" s="11"/>
      <c r="DPT20" s="11"/>
      <c r="DPU20" s="11"/>
      <c r="DPV20" s="11"/>
      <c r="DPW20" s="11"/>
      <c r="DPX20" s="11"/>
      <c r="DPY20" s="11"/>
      <c r="DPZ20" s="11"/>
      <c r="DQA20" s="11"/>
      <c r="DQB20" s="11"/>
      <c r="DQC20" s="11"/>
      <c r="DQD20" s="11"/>
      <c r="DQE20" s="11"/>
      <c r="DQF20" s="11"/>
      <c r="DQG20" s="11"/>
      <c r="DQH20" s="11"/>
      <c r="DQI20" s="11"/>
      <c r="DQJ20" s="11"/>
      <c r="DQK20" s="11"/>
      <c r="DQL20" s="11"/>
      <c r="DQM20" s="11"/>
      <c r="DQN20" s="11"/>
      <c r="DQO20" s="11"/>
      <c r="DQP20" s="11"/>
      <c r="DQQ20" s="11"/>
      <c r="DQR20" s="11"/>
      <c r="DQS20" s="11"/>
      <c r="DQT20" s="11"/>
      <c r="DQU20" s="11"/>
      <c r="DQV20" s="11"/>
      <c r="DQW20" s="11"/>
      <c r="DQX20" s="11"/>
      <c r="DQY20" s="11"/>
      <c r="DQZ20" s="11"/>
      <c r="DRA20" s="11"/>
      <c r="DRB20" s="11"/>
      <c r="DRC20" s="11"/>
      <c r="DRD20" s="11"/>
      <c r="DRE20" s="11"/>
      <c r="DRF20" s="11"/>
      <c r="DRG20" s="11"/>
      <c r="DRH20" s="11"/>
      <c r="DRI20" s="11"/>
      <c r="DRJ20" s="11"/>
      <c r="DRK20" s="11"/>
      <c r="DRL20" s="11"/>
      <c r="DRM20" s="11"/>
      <c r="DRN20" s="11"/>
      <c r="DRO20" s="11"/>
      <c r="DRP20" s="11"/>
      <c r="DRQ20" s="11"/>
      <c r="DRR20" s="11"/>
      <c r="DRS20" s="11"/>
      <c r="DRT20" s="11"/>
      <c r="DRU20" s="11"/>
      <c r="DRV20" s="11"/>
      <c r="DRW20" s="11"/>
      <c r="DRX20" s="11"/>
      <c r="DRY20" s="11"/>
      <c r="DRZ20" s="11"/>
      <c r="DSA20" s="11"/>
      <c r="DSB20" s="11"/>
      <c r="DSC20" s="11"/>
      <c r="DSD20" s="11"/>
      <c r="DSE20" s="11"/>
      <c r="DSF20" s="11"/>
      <c r="DSG20" s="11"/>
      <c r="DSH20" s="11"/>
      <c r="DSI20" s="11"/>
      <c r="DSJ20" s="11"/>
      <c r="DSK20" s="11"/>
      <c r="DSL20" s="11"/>
      <c r="DSM20" s="11"/>
      <c r="DSN20" s="11"/>
      <c r="DSO20" s="11"/>
      <c r="DSP20" s="11"/>
      <c r="DSQ20" s="11"/>
      <c r="DSR20" s="11"/>
      <c r="DSS20" s="11"/>
      <c r="DST20" s="11"/>
      <c r="DSU20" s="11"/>
      <c r="DSV20" s="11"/>
      <c r="DSW20" s="11"/>
      <c r="DSX20" s="11"/>
      <c r="DSY20" s="11"/>
      <c r="DSZ20" s="11"/>
      <c r="DTA20" s="11"/>
      <c r="DTB20" s="11"/>
      <c r="DTC20" s="11"/>
      <c r="DTD20" s="11"/>
      <c r="DTE20" s="11"/>
      <c r="DTF20" s="11"/>
      <c r="DTG20" s="11"/>
      <c r="DTH20" s="11"/>
      <c r="DTI20" s="11"/>
      <c r="DTJ20" s="11"/>
      <c r="DTK20" s="11"/>
      <c r="DTL20" s="11"/>
      <c r="DTM20" s="11"/>
      <c r="DTN20" s="11"/>
      <c r="DTO20" s="11"/>
      <c r="DTP20" s="11"/>
      <c r="DTQ20" s="11"/>
      <c r="DTR20" s="11"/>
      <c r="DTS20" s="11"/>
      <c r="DTT20" s="11"/>
      <c r="DTU20" s="11"/>
      <c r="DTV20" s="11"/>
      <c r="DTW20" s="11"/>
      <c r="DTX20" s="11"/>
      <c r="DTY20" s="11"/>
      <c r="DTZ20" s="11"/>
      <c r="DUA20" s="11"/>
      <c r="DUB20" s="11"/>
      <c r="DUC20" s="11"/>
      <c r="DUD20" s="11"/>
      <c r="DUE20" s="11"/>
      <c r="DUF20" s="11"/>
      <c r="DUG20" s="11"/>
      <c r="DUH20" s="11"/>
      <c r="DUI20" s="11"/>
      <c r="DUJ20" s="11"/>
      <c r="DUK20" s="11"/>
      <c r="DUL20" s="11"/>
      <c r="DUM20" s="11"/>
      <c r="DUN20" s="11"/>
      <c r="DUO20" s="11"/>
      <c r="DUP20" s="11"/>
      <c r="DUQ20" s="11"/>
      <c r="DUR20" s="11"/>
      <c r="DUS20" s="11"/>
      <c r="DUT20" s="11"/>
      <c r="DUU20" s="11"/>
      <c r="DUV20" s="11"/>
      <c r="DUW20" s="11"/>
      <c r="DUX20" s="11"/>
      <c r="DUY20" s="11"/>
      <c r="DUZ20" s="11"/>
      <c r="DVA20" s="11"/>
      <c r="DVB20" s="11"/>
      <c r="DVC20" s="11"/>
      <c r="DVD20" s="11"/>
      <c r="DVE20" s="11"/>
      <c r="DVF20" s="11"/>
      <c r="DVG20" s="11"/>
      <c r="DVH20" s="11"/>
      <c r="DVI20" s="11"/>
      <c r="DVJ20" s="11"/>
      <c r="DVK20" s="11"/>
      <c r="DVL20" s="11"/>
      <c r="DVM20" s="11"/>
      <c r="DVN20" s="11"/>
      <c r="DVO20" s="11"/>
      <c r="DVP20" s="11"/>
      <c r="DVQ20" s="11"/>
      <c r="DVR20" s="11"/>
      <c r="DVS20" s="11"/>
      <c r="DVT20" s="11"/>
      <c r="DVU20" s="11"/>
      <c r="DVV20" s="11"/>
      <c r="DVW20" s="11"/>
      <c r="DVX20" s="11"/>
      <c r="DVY20" s="11"/>
      <c r="DVZ20" s="11"/>
      <c r="DWA20" s="11"/>
      <c r="DWB20" s="11"/>
      <c r="DWC20" s="11"/>
      <c r="DWD20" s="11"/>
      <c r="DWE20" s="11"/>
      <c r="DWF20" s="11"/>
      <c r="DWG20" s="11"/>
      <c r="DWH20" s="11"/>
      <c r="DWI20" s="11"/>
      <c r="DWJ20" s="11"/>
      <c r="DWK20" s="11"/>
      <c r="DWL20" s="11"/>
      <c r="DWM20" s="11"/>
      <c r="DWN20" s="11"/>
      <c r="DWO20" s="11"/>
      <c r="DWP20" s="11"/>
      <c r="DWQ20" s="11"/>
      <c r="DWR20" s="11"/>
      <c r="DWS20" s="11"/>
      <c r="DWT20" s="11"/>
      <c r="DWU20" s="11"/>
      <c r="DWV20" s="11"/>
      <c r="DWW20" s="11"/>
      <c r="DWX20" s="11"/>
      <c r="DWY20" s="11"/>
      <c r="DWZ20" s="11"/>
      <c r="DXA20" s="11"/>
      <c r="DXB20" s="11"/>
      <c r="DXC20" s="11"/>
      <c r="DXD20" s="11"/>
      <c r="DXE20" s="11"/>
      <c r="DXF20" s="11"/>
      <c r="DXG20" s="11"/>
      <c r="DXH20" s="11"/>
      <c r="DXI20" s="11"/>
      <c r="DXJ20" s="11"/>
      <c r="DXK20" s="11"/>
      <c r="DXL20" s="11"/>
      <c r="DXM20" s="11"/>
      <c r="DXN20" s="11"/>
      <c r="DXO20" s="11"/>
      <c r="DXP20" s="11"/>
      <c r="DXQ20" s="11"/>
      <c r="DXR20" s="11"/>
      <c r="DXS20" s="11"/>
      <c r="DXT20" s="11"/>
      <c r="DXU20" s="11"/>
      <c r="DXV20" s="11"/>
      <c r="DXW20" s="11"/>
      <c r="DXX20" s="11"/>
      <c r="DXY20" s="11"/>
      <c r="DXZ20" s="11"/>
      <c r="DYA20" s="11"/>
      <c r="DYB20" s="11"/>
      <c r="DYC20" s="11"/>
      <c r="DYD20" s="11"/>
      <c r="DYE20" s="11"/>
      <c r="DYF20" s="11"/>
      <c r="DYG20" s="11"/>
      <c r="DYH20" s="11"/>
      <c r="DYI20" s="11"/>
      <c r="DYJ20" s="11"/>
      <c r="DYK20" s="11"/>
      <c r="DYL20" s="11"/>
      <c r="DYM20" s="11"/>
      <c r="DYN20" s="11"/>
      <c r="DYO20" s="11"/>
      <c r="DYP20" s="11"/>
      <c r="DYQ20" s="11"/>
      <c r="DYR20" s="11"/>
      <c r="DYS20" s="11"/>
      <c r="DYT20" s="11"/>
      <c r="DYU20" s="11"/>
      <c r="DYV20" s="11"/>
      <c r="DYW20" s="11"/>
      <c r="DYX20" s="11"/>
      <c r="DYY20" s="11"/>
      <c r="DYZ20" s="11"/>
      <c r="DZA20" s="11"/>
      <c r="DZB20" s="11"/>
      <c r="DZC20" s="11"/>
      <c r="DZD20" s="11"/>
      <c r="DZE20" s="11"/>
      <c r="DZF20" s="11"/>
      <c r="DZG20" s="11"/>
      <c r="DZH20" s="11"/>
      <c r="DZI20" s="11"/>
      <c r="DZJ20" s="11"/>
      <c r="DZK20" s="11"/>
      <c r="DZL20" s="11"/>
      <c r="DZM20" s="11"/>
      <c r="DZN20" s="11"/>
      <c r="DZO20" s="11"/>
      <c r="DZP20" s="11"/>
      <c r="DZQ20" s="11"/>
      <c r="DZR20" s="11"/>
      <c r="DZS20" s="11"/>
      <c r="DZT20" s="11"/>
      <c r="DZU20" s="11"/>
      <c r="DZV20" s="11"/>
      <c r="DZW20" s="11"/>
      <c r="DZX20" s="11"/>
      <c r="DZY20" s="11"/>
      <c r="DZZ20" s="11"/>
      <c r="EAA20" s="11"/>
      <c r="EAB20" s="11"/>
      <c r="EAC20" s="11"/>
      <c r="EAD20" s="11"/>
      <c r="EAE20" s="11"/>
      <c r="EAF20" s="11"/>
      <c r="EAG20" s="11"/>
      <c r="EAH20" s="11"/>
      <c r="EAI20" s="11"/>
      <c r="EAJ20" s="11"/>
      <c r="EAK20" s="11"/>
      <c r="EAL20" s="11"/>
      <c r="EAM20" s="11"/>
      <c r="EAN20" s="11"/>
      <c r="EAO20" s="11"/>
      <c r="EAP20" s="11"/>
      <c r="EAQ20" s="11"/>
      <c r="EAR20" s="11"/>
      <c r="EAS20" s="11"/>
      <c r="EAT20" s="11"/>
      <c r="EAU20" s="11"/>
      <c r="EAV20" s="11"/>
      <c r="EAW20" s="11"/>
      <c r="EAX20" s="11"/>
      <c r="EAY20" s="11"/>
      <c r="EAZ20" s="11"/>
      <c r="EBA20" s="11"/>
      <c r="EBB20" s="11"/>
      <c r="EBC20" s="11"/>
      <c r="EBD20" s="11"/>
      <c r="EBE20" s="11"/>
      <c r="EBF20" s="11"/>
      <c r="EBG20" s="11"/>
      <c r="EBH20" s="11"/>
      <c r="EBI20" s="11"/>
      <c r="EBJ20" s="11"/>
      <c r="EBK20" s="11"/>
      <c r="EBL20" s="11"/>
      <c r="EBM20" s="11"/>
      <c r="EBN20" s="11"/>
      <c r="EBO20" s="11"/>
      <c r="EBP20" s="11"/>
      <c r="EBQ20" s="11"/>
      <c r="EBR20" s="11"/>
      <c r="EBS20" s="11"/>
      <c r="EBT20" s="11"/>
      <c r="EBU20" s="11"/>
      <c r="EBV20" s="11"/>
      <c r="EBW20" s="11"/>
      <c r="EBX20" s="11"/>
      <c r="EBY20" s="11"/>
      <c r="EBZ20" s="11"/>
      <c r="ECA20" s="11"/>
      <c r="ECB20" s="11"/>
      <c r="ECC20" s="11"/>
      <c r="ECD20" s="11"/>
      <c r="ECE20" s="11"/>
      <c r="ECF20" s="11"/>
      <c r="ECG20" s="11"/>
      <c r="ECH20" s="11"/>
      <c r="ECI20" s="11"/>
      <c r="ECJ20" s="11"/>
      <c r="ECK20" s="11"/>
      <c r="ECL20" s="11"/>
      <c r="ECM20" s="11"/>
      <c r="ECN20" s="11"/>
      <c r="ECO20" s="11"/>
      <c r="ECP20" s="11"/>
      <c r="ECQ20" s="11"/>
      <c r="ECR20" s="11"/>
      <c r="ECS20" s="11"/>
      <c r="ECT20" s="11"/>
      <c r="ECU20" s="11"/>
      <c r="ECV20" s="11"/>
      <c r="ECW20" s="11"/>
      <c r="ECX20" s="11"/>
      <c r="ECY20" s="11"/>
      <c r="ECZ20" s="11"/>
      <c r="EDA20" s="11"/>
      <c r="EDB20" s="11"/>
      <c r="EDC20" s="11"/>
      <c r="EDD20" s="11"/>
      <c r="EDE20" s="11"/>
      <c r="EDF20" s="11"/>
      <c r="EDG20" s="11"/>
      <c r="EDH20" s="11"/>
      <c r="EDI20" s="11"/>
      <c r="EDJ20" s="11"/>
      <c r="EDK20" s="11"/>
      <c r="EDL20" s="11"/>
      <c r="EDM20" s="11"/>
      <c r="EDN20" s="11"/>
      <c r="EDO20" s="11"/>
      <c r="EDP20" s="11"/>
      <c r="EDQ20" s="11"/>
      <c r="EDR20" s="11"/>
      <c r="EDS20" s="11"/>
      <c r="EDT20" s="11"/>
      <c r="EDU20" s="11"/>
      <c r="EDV20" s="11"/>
      <c r="EDW20" s="11"/>
      <c r="EDX20" s="11"/>
      <c r="EDY20" s="11"/>
      <c r="EDZ20" s="11"/>
      <c r="EEA20" s="11"/>
      <c r="EEB20" s="11"/>
      <c r="EEC20" s="11"/>
      <c r="EED20" s="11"/>
      <c r="EEE20" s="11"/>
      <c r="EEF20" s="11"/>
      <c r="EEG20" s="11"/>
      <c r="EEH20" s="11"/>
      <c r="EEI20" s="11"/>
      <c r="EEJ20" s="11"/>
      <c r="EEK20" s="11"/>
      <c r="EEL20" s="11"/>
      <c r="EEM20" s="11"/>
      <c r="EEN20" s="11"/>
      <c r="EEO20" s="11"/>
      <c r="EEP20" s="11"/>
      <c r="EEQ20" s="11"/>
      <c r="EER20" s="11"/>
      <c r="EES20" s="11"/>
      <c r="EET20" s="11"/>
      <c r="EEU20" s="11"/>
      <c r="EEV20" s="11"/>
      <c r="EEW20" s="11"/>
      <c r="EEX20" s="11"/>
      <c r="EEY20" s="11"/>
      <c r="EEZ20" s="11"/>
      <c r="EFA20" s="11"/>
      <c r="EFB20" s="11"/>
      <c r="EFC20" s="11"/>
      <c r="EFD20" s="11"/>
      <c r="EFE20" s="11"/>
      <c r="EFF20" s="11"/>
      <c r="EFG20" s="11"/>
      <c r="EFH20" s="11"/>
      <c r="EFI20" s="11"/>
      <c r="EFJ20" s="11"/>
      <c r="EFK20" s="11"/>
      <c r="EFL20" s="11"/>
      <c r="EFM20" s="11"/>
      <c r="EFN20" s="11"/>
      <c r="EFO20" s="11"/>
      <c r="EFP20" s="11"/>
      <c r="EFQ20" s="11"/>
      <c r="EFR20" s="11"/>
      <c r="EFS20" s="11"/>
      <c r="EFT20" s="11"/>
      <c r="EFU20" s="11"/>
      <c r="EFV20" s="11"/>
      <c r="EFW20" s="11"/>
      <c r="EFX20" s="11"/>
      <c r="EFY20" s="11"/>
      <c r="EFZ20" s="11"/>
      <c r="EGA20" s="11"/>
      <c r="EGB20" s="11"/>
      <c r="EGC20" s="11"/>
      <c r="EGD20" s="11"/>
      <c r="EGE20" s="11"/>
      <c r="EGF20" s="11"/>
      <c r="EGG20" s="11"/>
      <c r="EGH20" s="11"/>
      <c r="EGI20" s="11"/>
      <c r="EGJ20" s="11"/>
      <c r="EGK20" s="11"/>
      <c r="EGL20" s="11"/>
      <c r="EGM20" s="11"/>
      <c r="EGN20" s="11"/>
      <c r="EGO20" s="11"/>
      <c r="EGP20" s="11"/>
      <c r="EGQ20" s="11"/>
      <c r="EGR20" s="11"/>
      <c r="EGS20" s="11"/>
      <c r="EGT20" s="11"/>
      <c r="EGU20" s="11"/>
      <c r="EGV20" s="11"/>
      <c r="EGW20" s="11"/>
      <c r="EGX20" s="11"/>
      <c r="EGY20" s="11"/>
      <c r="EGZ20" s="11"/>
      <c r="EHA20" s="11"/>
      <c r="EHB20" s="11"/>
      <c r="EHC20" s="11"/>
      <c r="EHD20" s="11"/>
      <c r="EHE20" s="11"/>
      <c r="EHF20" s="11"/>
      <c r="EHG20" s="11"/>
      <c r="EHH20" s="11"/>
      <c r="EHI20" s="11"/>
      <c r="EHJ20" s="11"/>
      <c r="EHK20" s="11"/>
      <c r="EHL20" s="11"/>
      <c r="EHM20" s="11"/>
      <c r="EHN20" s="11"/>
      <c r="EHO20" s="11"/>
      <c r="EHP20" s="11"/>
      <c r="EHQ20" s="11"/>
      <c r="EHR20" s="11"/>
      <c r="EHS20" s="11"/>
      <c r="EHT20" s="11"/>
      <c r="EHU20" s="11"/>
      <c r="EHV20" s="11"/>
      <c r="EHW20" s="11"/>
      <c r="EHX20" s="11"/>
      <c r="EHY20" s="11"/>
      <c r="EHZ20" s="11"/>
      <c r="EIA20" s="11"/>
      <c r="EIB20" s="11"/>
      <c r="EIC20" s="11"/>
      <c r="EID20" s="11"/>
      <c r="EIE20" s="11"/>
      <c r="EIF20" s="11"/>
      <c r="EIG20" s="11"/>
      <c r="EIH20" s="11"/>
      <c r="EII20" s="11"/>
      <c r="EIJ20" s="11"/>
      <c r="EIK20" s="11"/>
      <c r="EIL20" s="11"/>
      <c r="EIM20" s="11"/>
      <c r="EIN20" s="11"/>
      <c r="EIO20" s="11"/>
      <c r="EIP20" s="11"/>
      <c r="EIQ20" s="11"/>
      <c r="EIR20" s="11"/>
      <c r="EIS20" s="11"/>
      <c r="EIT20" s="11"/>
      <c r="EIU20" s="11"/>
      <c r="EIV20" s="11"/>
      <c r="EIW20" s="11"/>
      <c r="EIX20" s="11"/>
      <c r="EIY20" s="11"/>
      <c r="EIZ20" s="11"/>
      <c r="EJA20" s="11"/>
      <c r="EJB20" s="11"/>
      <c r="EJC20" s="11"/>
      <c r="EJD20" s="11"/>
      <c r="EJE20" s="11"/>
      <c r="EJF20" s="11"/>
      <c r="EJG20" s="11"/>
      <c r="EJH20" s="11"/>
      <c r="EJI20" s="11"/>
      <c r="EJJ20" s="11"/>
      <c r="EJK20" s="11"/>
      <c r="EJL20" s="11"/>
      <c r="EJM20" s="11"/>
      <c r="EJN20" s="11"/>
      <c r="EJO20" s="11"/>
      <c r="EJP20" s="11"/>
      <c r="EJQ20" s="11"/>
      <c r="EJR20" s="11"/>
      <c r="EJS20" s="11"/>
      <c r="EJT20" s="11"/>
      <c r="EJU20" s="11"/>
      <c r="EJV20" s="11"/>
      <c r="EJW20" s="11"/>
      <c r="EJX20" s="11"/>
      <c r="EJY20" s="11"/>
      <c r="EJZ20" s="11"/>
      <c r="EKA20" s="11"/>
      <c r="EKB20" s="11"/>
      <c r="EKC20" s="11"/>
      <c r="EKD20" s="11"/>
      <c r="EKE20" s="11"/>
      <c r="EKF20" s="11"/>
      <c r="EKG20" s="11"/>
      <c r="EKH20" s="11"/>
      <c r="EKI20" s="11"/>
      <c r="EKJ20" s="11"/>
      <c r="EKK20" s="11"/>
      <c r="EKL20" s="11"/>
      <c r="EKM20" s="11"/>
      <c r="EKN20" s="11"/>
      <c r="EKO20" s="11"/>
      <c r="EKP20" s="11"/>
      <c r="EKQ20" s="11"/>
      <c r="EKR20" s="11"/>
      <c r="EKS20" s="11"/>
      <c r="EKT20" s="11"/>
      <c r="EKU20" s="11"/>
      <c r="EKV20" s="11"/>
      <c r="EKW20" s="11"/>
      <c r="EKX20" s="11"/>
      <c r="EKY20" s="11"/>
      <c r="EKZ20" s="11"/>
      <c r="ELA20" s="11"/>
      <c r="ELB20" s="11"/>
      <c r="ELC20" s="11"/>
      <c r="ELD20" s="11"/>
      <c r="ELE20" s="11"/>
      <c r="ELF20" s="11"/>
      <c r="ELG20" s="11"/>
      <c r="ELH20" s="11"/>
      <c r="ELI20" s="11"/>
      <c r="ELJ20" s="11"/>
      <c r="ELK20" s="11"/>
      <c r="ELL20" s="11"/>
      <c r="ELM20" s="11"/>
      <c r="ELN20" s="11"/>
      <c r="ELO20" s="11"/>
      <c r="ELP20" s="11"/>
      <c r="ELQ20" s="11"/>
      <c r="ELR20" s="11"/>
      <c r="ELS20" s="11"/>
      <c r="ELT20" s="11"/>
      <c r="ELU20" s="11"/>
      <c r="ELV20" s="11"/>
      <c r="ELW20" s="11"/>
      <c r="ELX20" s="11"/>
      <c r="ELY20" s="11"/>
      <c r="ELZ20" s="11"/>
      <c r="EMA20" s="11"/>
      <c r="EMB20" s="11"/>
      <c r="EMC20" s="11"/>
      <c r="EMD20" s="11"/>
      <c r="EME20" s="11"/>
      <c r="EMF20" s="11"/>
      <c r="EMG20" s="11"/>
      <c r="EMH20" s="11"/>
      <c r="EMI20" s="11"/>
      <c r="EMJ20" s="11"/>
      <c r="EMK20" s="11"/>
      <c r="EML20" s="11"/>
      <c r="EMM20" s="11"/>
      <c r="EMN20" s="11"/>
      <c r="EMO20" s="11"/>
      <c r="EMP20" s="11"/>
      <c r="EMQ20" s="11"/>
      <c r="EMR20" s="11"/>
      <c r="EMS20" s="11"/>
      <c r="EMT20" s="11"/>
      <c r="EMU20" s="11"/>
      <c r="EMV20" s="11"/>
      <c r="EMW20" s="11"/>
      <c r="EMX20" s="11"/>
      <c r="EMY20" s="11"/>
      <c r="EMZ20" s="11"/>
      <c r="ENA20" s="11"/>
      <c r="ENB20" s="11"/>
      <c r="ENC20" s="11"/>
      <c r="END20" s="11"/>
      <c r="ENE20" s="11"/>
      <c r="ENF20" s="11"/>
      <c r="ENG20" s="11"/>
      <c r="ENH20" s="11"/>
      <c r="ENI20" s="11"/>
      <c r="ENJ20" s="11"/>
      <c r="ENK20" s="11"/>
      <c r="ENL20" s="11"/>
      <c r="ENM20" s="11"/>
      <c r="ENN20" s="11"/>
      <c r="ENO20" s="11"/>
      <c r="ENP20" s="11"/>
      <c r="ENQ20" s="11"/>
      <c r="ENR20" s="11"/>
      <c r="ENS20" s="11"/>
      <c r="ENT20" s="11"/>
      <c r="ENU20" s="11"/>
      <c r="ENV20" s="11"/>
      <c r="ENW20" s="11"/>
      <c r="ENX20" s="11"/>
      <c r="ENY20" s="11"/>
      <c r="ENZ20" s="11"/>
      <c r="EOA20" s="11"/>
      <c r="EOB20" s="11"/>
      <c r="EOC20" s="11"/>
      <c r="EOD20" s="11"/>
      <c r="EOE20" s="11"/>
      <c r="EOF20" s="11"/>
      <c r="EOG20" s="11"/>
      <c r="EOH20" s="11"/>
      <c r="EOI20" s="11"/>
      <c r="EOJ20" s="11"/>
      <c r="EOK20" s="11"/>
      <c r="EOL20" s="11"/>
      <c r="EOM20" s="11"/>
      <c r="EON20" s="11"/>
      <c r="EOO20" s="11"/>
      <c r="EOP20" s="11"/>
      <c r="EOQ20" s="11"/>
      <c r="EOR20" s="11"/>
      <c r="EOS20" s="11"/>
      <c r="EOT20" s="11"/>
      <c r="EOU20" s="11"/>
      <c r="EOV20" s="11"/>
      <c r="EOW20" s="11"/>
      <c r="EOX20" s="11"/>
      <c r="EOY20" s="11"/>
      <c r="EOZ20" s="11"/>
      <c r="EPA20" s="11"/>
      <c r="EPB20" s="11"/>
      <c r="EPC20" s="11"/>
      <c r="EPD20" s="11"/>
      <c r="EPE20" s="11"/>
      <c r="EPF20" s="11"/>
      <c r="EPG20" s="11"/>
      <c r="EPH20" s="11"/>
      <c r="EPI20" s="11"/>
      <c r="EPJ20" s="11"/>
      <c r="EPK20" s="11"/>
      <c r="EPL20" s="11"/>
      <c r="EPM20" s="11"/>
      <c r="EPN20" s="11"/>
      <c r="EPO20" s="11"/>
      <c r="EPP20" s="11"/>
      <c r="EPQ20" s="11"/>
      <c r="EPR20" s="11"/>
      <c r="EPS20" s="11"/>
      <c r="EPT20" s="11"/>
      <c r="EPU20" s="11"/>
      <c r="EPV20" s="11"/>
      <c r="EPW20" s="11"/>
      <c r="EPX20" s="11"/>
      <c r="EPY20" s="11"/>
      <c r="EPZ20" s="11"/>
      <c r="EQA20" s="11"/>
      <c r="EQB20" s="11"/>
      <c r="EQC20" s="11"/>
      <c r="EQD20" s="11"/>
      <c r="EQE20" s="11"/>
      <c r="EQF20" s="11"/>
      <c r="EQG20" s="11"/>
      <c r="EQH20" s="11"/>
      <c r="EQI20" s="11"/>
      <c r="EQJ20" s="11"/>
      <c r="EQK20" s="11"/>
      <c r="EQL20" s="11"/>
      <c r="EQM20" s="11"/>
      <c r="EQN20" s="11"/>
      <c r="EQO20" s="11"/>
      <c r="EQP20" s="11"/>
      <c r="EQQ20" s="11"/>
      <c r="EQR20" s="11"/>
      <c r="EQS20" s="11"/>
      <c r="EQT20" s="11"/>
      <c r="EQU20" s="11"/>
      <c r="EQV20" s="11"/>
      <c r="EQW20" s="11"/>
      <c r="EQX20" s="11"/>
      <c r="EQY20" s="11"/>
      <c r="EQZ20" s="11"/>
      <c r="ERA20" s="11"/>
      <c r="ERB20" s="11"/>
      <c r="ERC20" s="11"/>
      <c r="ERD20" s="11"/>
      <c r="ERE20" s="11"/>
      <c r="ERF20" s="11"/>
      <c r="ERG20" s="11"/>
      <c r="ERH20" s="11"/>
      <c r="ERI20" s="11"/>
      <c r="ERJ20" s="11"/>
      <c r="ERK20" s="11"/>
      <c r="ERL20" s="11"/>
      <c r="ERM20" s="11"/>
      <c r="ERN20" s="11"/>
      <c r="ERO20" s="11"/>
      <c r="ERP20" s="11"/>
      <c r="ERQ20" s="11"/>
      <c r="ERR20" s="11"/>
      <c r="ERS20" s="11"/>
      <c r="ERT20" s="11"/>
      <c r="ERU20" s="11"/>
      <c r="ERV20" s="11"/>
      <c r="ERW20" s="11"/>
      <c r="ERX20" s="11"/>
      <c r="ERY20" s="11"/>
      <c r="ERZ20" s="11"/>
      <c r="ESA20" s="11"/>
      <c r="ESB20" s="11"/>
      <c r="ESC20" s="11"/>
      <c r="ESD20" s="11"/>
      <c r="ESE20" s="11"/>
      <c r="ESF20" s="11"/>
      <c r="ESG20" s="11"/>
      <c r="ESH20" s="11"/>
      <c r="ESI20" s="11"/>
      <c r="ESJ20" s="11"/>
      <c r="ESK20" s="11"/>
      <c r="ESL20" s="11"/>
      <c r="ESM20" s="11"/>
      <c r="ESN20" s="11"/>
      <c r="ESO20" s="11"/>
      <c r="ESP20" s="11"/>
      <c r="ESQ20" s="11"/>
      <c r="ESR20" s="11"/>
      <c r="ESS20" s="11"/>
      <c r="EST20" s="11"/>
      <c r="ESU20" s="11"/>
      <c r="ESV20" s="11"/>
      <c r="ESW20" s="11"/>
      <c r="ESX20" s="11"/>
      <c r="ESY20" s="11"/>
      <c r="ESZ20" s="11"/>
      <c r="ETA20" s="11"/>
      <c r="ETB20" s="11"/>
      <c r="ETC20" s="11"/>
      <c r="ETD20" s="11"/>
      <c r="ETE20" s="11"/>
      <c r="ETF20" s="11"/>
      <c r="ETG20" s="11"/>
      <c r="ETH20" s="11"/>
      <c r="ETI20" s="11"/>
      <c r="ETJ20" s="11"/>
      <c r="ETK20" s="11"/>
      <c r="ETL20" s="11"/>
      <c r="ETM20" s="11"/>
      <c r="ETN20" s="11"/>
      <c r="ETO20" s="11"/>
      <c r="ETP20" s="11"/>
      <c r="ETQ20" s="11"/>
      <c r="ETR20" s="11"/>
      <c r="ETS20" s="11"/>
      <c r="ETT20" s="11"/>
      <c r="ETU20" s="11"/>
      <c r="ETV20" s="11"/>
      <c r="ETW20" s="11"/>
      <c r="ETX20" s="11"/>
      <c r="ETY20" s="11"/>
      <c r="ETZ20" s="11"/>
      <c r="EUA20" s="11"/>
      <c r="EUB20" s="11"/>
      <c r="EUC20" s="11"/>
      <c r="EUD20" s="11"/>
      <c r="EUE20" s="11"/>
      <c r="EUF20" s="11"/>
      <c r="EUG20" s="11"/>
      <c r="EUH20" s="11"/>
      <c r="EUI20" s="11"/>
      <c r="EUJ20" s="11"/>
      <c r="EUK20" s="11"/>
      <c r="EUL20" s="11"/>
      <c r="EUM20" s="11"/>
      <c r="EUN20" s="11"/>
      <c r="EUO20" s="11"/>
      <c r="EUP20" s="11"/>
      <c r="EUQ20" s="11"/>
      <c r="EUR20" s="11"/>
      <c r="EUS20" s="11"/>
      <c r="EUT20" s="11"/>
      <c r="EUU20" s="11"/>
      <c r="EUV20" s="11"/>
      <c r="EUW20" s="11"/>
      <c r="EUX20" s="11"/>
      <c r="EUY20" s="11"/>
      <c r="EUZ20" s="11"/>
      <c r="EVA20" s="11"/>
      <c r="EVB20" s="11"/>
      <c r="EVC20" s="11"/>
      <c r="EVD20" s="11"/>
      <c r="EVE20" s="11"/>
      <c r="EVF20" s="11"/>
      <c r="EVG20" s="11"/>
      <c r="EVH20" s="11"/>
      <c r="EVI20" s="11"/>
      <c r="EVJ20" s="11"/>
      <c r="EVK20" s="11"/>
      <c r="EVL20" s="11"/>
      <c r="EVM20" s="11"/>
      <c r="EVN20" s="11"/>
      <c r="EVO20" s="11"/>
      <c r="EVP20" s="11"/>
      <c r="EVQ20" s="11"/>
      <c r="EVR20" s="11"/>
      <c r="EVS20" s="11"/>
      <c r="EVT20" s="11"/>
      <c r="EVU20" s="11"/>
      <c r="EVV20" s="11"/>
      <c r="EVW20" s="11"/>
      <c r="EVX20" s="11"/>
      <c r="EVY20" s="11"/>
      <c r="EVZ20" s="11"/>
      <c r="EWA20" s="11"/>
      <c r="EWB20" s="11"/>
      <c r="EWC20" s="11"/>
      <c r="EWD20" s="11"/>
      <c r="EWE20" s="11"/>
      <c r="EWF20" s="11"/>
      <c r="EWG20" s="11"/>
      <c r="EWH20" s="11"/>
      <c r="EWI20" s="11"/>
      <c r="EWJ20" s="11"/>
      <c r="EWK20" s="11"/>
      <c r="EWL20" s="11"/>
      <c r="EWM20" s="11"/>
      <c r="EWN20" s="11"/>
      <c r="EWO20" s="11"/>
      <c r="EWP20" s="11"/>
      <c r="EWQ20" s="11"/>
      <c r="EWR20" s="11"/>
      <c r="EWS20" s="11"/>
      <c r="EWT20" s="11"/>
      <c r="EWU20" s="11"/>
      <c r="EWV20" s="11"/>
      <c r="EWW20" s="11"/>
      <c r="EWX20" s="11"/>
      <c r="EWY20" s="11"/>
      <c r="EWZ20" s="11"/>
      <c r="EXA20" s="11"/>
      <c r="EXB20" s="11"/>
      <c r="EXC20" s="11"/>
      <c r="EXD20" s="11"/>
      <c r="EXE20" s="11"/>
      <c r="EXF20" s="11"/>
      <c r="EXG20" s="11"/>
      <c r="EXH20" s="11"/>
      <c r="EXI20" s="11"/>
      <c r="EXJ20" s="11"/>
      <c r="EXK20" s="11"/>
      <c r="EXL20" s="11"/>
      <c r="EXM20" s="11"/>
      <c r="EXN20" s="11"/>
      <c r="EXO20" s="11"/>
      <c r="EXP20" s="11"/>
      <c r="EXQ20" s="11"/>
      <c r="EXR20" s="11"/>
      <c r="EXS20" s="11"/>
      <c r="EXT20" s="11"/>
      <c r="EXU20" s="11"/>
      <c r="EXV20" s="11"/>
      <c r="EXW20" s="11"/>
      <c r="EXX20" s="11"/>
      <c r="EXY20" s="11"/>
      <c r="EXZ20" s="11"/>
      <c r="EYA20" s="11"/>
      <c r="EYB20" s="11"/>
      <c r="EYC20" s="11"/>
      <c r="EYD20" s="11"/>
      <c r="EYE20" s="11"/>
      <c r="EYF20" s="11"/>
      <c r="EYG20" s="11"/>
      <c r="EYH20" s="11"/>
      <c r="EYI20" s="11"/>
      <c r="EYJ20" s="11"/>
      <c r="EYK20" s="11"/>
      <c r="EYL20" s="11"/>
      <c r="EYM20" s="11"/>
      <c r="EYN20" s="11"/>
      <c r="EYO20" s="11"/>
      <c r="EYP20" s="11"/>
      <c r="EYQ20" s="11"/>
      <c r="EYR20" s="11"/>
      <c r="EYS20" s="11"/>
      <c r="EYT20" s="11"/>
      <c r="EYU20" s="11"/>
      <c r="EYV20" s="11"/>
      <c r="EYW20" s="11"/>
      <c r="EYX20" s="11"/>
      <c r="EYY20" s="11"/>
      <c r="EYZ20" s="11"/>
      <c r="EZA20" s="11"/>
      <c r="EZB20" s="11"/>
      <c r="EZC20" s="11"/>
      <c r="EZD20" s="11"/>
      <c r="EZE20" s="11"/>
      <c r="EZF20" s="11"/>
      <c r="EZG20" s="11"/>
      <c r="EZH20" s="11"/>
      <c r="EZI20" s="11"/>
      <c r="EZJ20" s="11"/>
      <c r="EZK20" s="11"/>
      <c r="EZL20" s="11"/>
      <c r="EZM20" s="11"/>
      <c r="EZN20" s="11"/>
      <c r="EZO20" s="11"/>
      <c r="EZP20" s="11"/>
      <c r="EZQ20" s="11"/>
      <c r="EZR20" s="11"/>
      <c r="EZS20" s="11"/>
      <c r="EZT20" s="11"/>
      <c r="EZU20" s="11"/>
      <c r="EZV20" s="11"/>
      <c r="EZW20" s="11"/>
      <c r="EZX20" s="11"/>
      <c r="EZY20" s="11"/>
      <c r="EZZ20" s="11"/>
      <c r="FAA20" s="11"/>
      <c r="FAB20" s="11"/>
      <c r="FAC20" s="11"/>
      <c r="FAD20" s="11"/>
      <c r="FAE20" s="11"/>
      <c r="FAF20" s="11"/>
      <c r="FAG20" s="11"/>
      <c r="FAH20" s="11"/>
      <c r="FAI20" s="11"/>
      <c r="FAJ20" s="11"/>
      <c r="FAK20" s="11"/>
      <c r="FAL20" s="11"/>
      <c r="FAM20" s="11"/>
      <c r="FAN20" s="11"/>
      <c r="FAO20" s="11"/>
      <c r="FAP20" s="11"/>
      <c r="FAQ20" s="11"/>
      <c r="FAR20" s="11"/>
      <c r="FAS20" s="11"/>
      <c r="FAT20" s="11"/>
      <c r="FAU20" s="11"/>
      <c r="FAV20" s="11"/>
      <c r="FAW20" s="11"/>
      <c r="FAX20" s="11"/>
      <c r="FAY20" s="11"/>
      <c r="FAZ20" s="11"/>
      <c r="FBA20" s="11"/>
      <c r="FBB20" s="11"/>
      <c r="FBC20" s="11"/>
      <c r="FBD20" s="11"/>
      <c r="FBE20" s="11"/>
      <c r="FBF20" s="11"/>
      <c r="FBG20" s="11"/>
      <c r="FBH20" s="11"/>
      <c r="FBI20" s="11"/>
      <c r="FBJ20" s="11"/>
      <c r="FBK20" s="11"/>
      <c r="FBL20" s="11"/>
      <c r="FBM20" s="11"/>
      <c r="FBN20" s="11"/>
      <c r="FBO20" s="11"/>
      <c r="FBP20" s="11"/>
      <c r="FBQ20" s="11"/>
      <c r="FBR20" s="11"/>
      <c r="FBS20" s="11"/>
      <c r="FBT20" s="11"/>
      <c r="FBU20" s="11"/>
      <c r="FBV20" s="11"/>
      <c r="FBW20" s="11"/>
      <c r="FBX20" s="11"/>
      <c r="FBY20" s="11"/>
      <c r="FBZ20" s="11"/>
      <c r="FCA20" s="11"/>
      <c r="FCB20" s="11"/>
      <c r="FCC20" s="11"/>
      <c r="FCD20" s="11"/>
      <c r="FCE20" s="11"/>
      <c r="FCF20" s="11"/>
      <c r="FCG20" s="11"/>
      <c r="FCH20" s="11"/>
      <c r="FCI20" s="11"/>
      <c r="FCJ20" s="11"/>
      <c r="FCK20" s="11"/>
      <c r="FCL20" s="11"/>
      <c r="FCM20" s="11"/>
      <c r="FCN20" s="11"/>
      <c r="FCO20" s="11"/>
      <c r="FCP20" s="11"/>
      <c r="FCQ20" s="11"/>
      <c r="FCR20" s="11"/>
      <c r="FCS20" s="11"/>
      <c r="FCT20" s="11"/>
      <c r="FCU20" s="11"/>
      <c r="FCV20" s="11"/>
      <c r="FCW20" s="11"/>
      <c r="FCX20" s="11"/>
      <c r="FCY20" s="11"/>
      <c r="FCZ20" s="11"/>
      <c r="FDA20" s="11"/>
      <c r="FDB20" s="11"/>
      <c r="FDC20" s="11"/>
      <c r="FDD20" s="11"/>
      <c r="FDE20" s="11"/>
      <c r="FDF20" s="11"/>
      <c r="FDG20" s="11"/>
      <c r="FDH20" s="11"/>
      <c r="FDI20" s="11"/>
      <c r="FDJ20" s="11"/>
      <c r="FDK20" s="11"/>
      <c r="FDL20" s="11"/>
      <c r="FDM20" s="11"/>
      <c r="FDN20" s="11"/>
      <c r="FDO20" s="11"/>
      <c r="FDP20" s="11"/>
      <c r="FDQ20" s="11"/>
      <c r="FDR20" s="11"/>
      <c r="FDS20" s="11"/>
      <c r="FDT20" s="11"/>
      <c r="FDU20" s="11"/>
      <c r="FDV20" s="11"/>
      <c r="FDW20" s="11"/>
      <c r="FDX20" s="11"/>
      <c r="FDY20" s="11"/>
      <c r="FDZ20" s="11"/>
      <c r="FEA20" s="11"/>
      <c r="FEB20" s="11"/>
      <c r="FEC20" s="11"/>
      <c r="FED20" s="11"/>
      <c r="FEE20" s="11"/>
      <c r="FEF20" s="11"/>
      <c r="FEG20" s="11"/>
      <c r="FEH20" s="11"/>
      <c r="FEI20" s="11"/>
      <c r="FEJ20" s="11"/>
      <c r="FEK20" s="11"/>
      <c r="FEL20" s="11"/>
      <c r="FEM20" s="11"/>
      <c r="FEN20" s="11"/>
      <c r="FEO20" s="11"/>
      <c r="FEP20" s="11"/>
      <c r="FEQ20" s="11"/>
      <c r="FER20" s="11"/>
      <c r="FES20" s="11"/>
      <c r="FET20" s="11"/>
      <c r="FEU20" s="11"/>
      <c r="FEV20" s="11"/>
      <c r="FEW20" s="11"/>
      <c r="FEX20" s="11"/>
      <c r="FEY20" s="11"/>
      <c r="FEZ20" s="11"/>
      <c r="FFA20" s="11"/>
      <c r="FFB20" s="11"/>
      <c r="FFC20" s="11"/>
      <c r="FFD20" s="11"/>
      <c r="FFE20" s="11"/>
      <c r="FFF20" s="11"/>
      <c r="FFG20" s="11"/>
      <c r="FFH20" s="11"/>
      <c r="FFI20" s="11"/>
      <c r="FFJ20" s="11"/>
      <c r="FFK20" s="11"/>
      <c r="FFL20" s="11"/>
      <c r="FFM20" s="11"/>
      <c r="FFN20" s="11"/>
      <c r="FFO20" s="11"/>
      <c r="FFP20" s="11"/>
      <c r="FFQ20" s="11"/>
      <c r="FFR20" s="11"/>
      <c r="FFS20" s="11"/>
      <c r="FFT20" s="11"/>
      <c r="FFU20" s="11"/>
      <c r="FFV20" s="11"/>
      <c r="FFW20" s="11"/>
      <c r="FFX20" s="11"/>
      <c r="FFY20" s="11"/>
      <c r="FFZ20" s="11"/>
      <c r="FGA20" s="11"/>
      <c r="FGB20" s="11"/>
      <c r="FGC20" s="11"/>
      <c r="FGD20" s="11"/>
      <c r="FGE20" s="11"/>
      <c r="FGF20" s="11"/>
      <c r="FGG20" s="11"/>
      <c r="FGH20" s="11"/>
      <c r="FGI20" s="11"/>
      <c r="FGJ20" s="11"/>
      <c r="FGK20" s="11"/>
      <c r="FGL20" s="11"/>
      <c r="FGM20" s="11"/>
      <c r="FGN20" s="11"/>
      <c r="FGO20" s="11"/>
      <c r="FGP20" s="11"/>
      <c r="FGQ20" s="11"/>
      <c r="FGR20" s="11"/>
      <c r="FGS20" s="11"/>
      <c r="FGT20" s="11"/>
      <c r="FGU20" s="11"/>
      <c r="FGV20" s="11"/>
      <c r="FGW20" s="11"/>
      <c r="FGX20" s="11"/>
      <c r="FGY20" s="11"/>
      <c r="FGZ20" s="11"/>
      <c r="FHA20" s="11"/>
      <c r="FHB20" s="11"/>
      <c r="FHC20" s="11"/>
      <c r="FHD20" s="11"/>
      <c r="FHE20" s="11"/>
      <c r="FHF20" s="11"/>
      <c r="FHG20" s="11"/>
      <c r="FHH20" s="11"/>
      <c r="FHI20" s="11"/>
      <c r="FHJ20" s="11"/>
      <c r="FHK20" s="11"/>
      <c r="FHL20" s="11"/>
      <c r="FHM20" s="11"/>
      <c r="FHN20" s="11"/>
      <c r="FHO20" s="11"/>
      <c r="FHP20" s="11"/>
      <c r="FHQ20" s="11"/>
      <c r="FHR20" s="11"/>
      <c r="FHS20" s="11"/>
      <c r="FHT20" s="11"/>
      <c r="FHU20" s="11"/>
      <c r="FHV20" s="11"/>
      <c r="FHW20" s="11"/>
      <c r="FHX20" s="11"/>
      <c r="FHY20" s="11"/>
      <c r="FHZ20" s="11"/>
      <c r="FIA20" s="11"/>
      <c r="FIB20" s="11"/>
      <c r="FIC20" s="11"/>
      <c r="FID20" s="11"/>
      <c r="FIE20" s="11"/>
      <c r="FIF20" s="11"/>
      <c r="FIG20" s="11"/>
      <c r="FIH20" s="11"/>
      <c r="FII20" s="11"/>
      <c r="FIJ20" s="11"/>
      <c r="FIK20" s="11"/>
      <c r="FIL20" s="11"/>
      <c r="FIM20" s="11"/>
      <c r="FIN20" s="11"/>
      <c r="FIO20" s="11"/>
      <c r="FIP20" s="11"/>
      <c r="FIQ20" s="11"/>
      <c r="FIR20" s="11"/>
      <c r="FIS20" s="11"/>
      <c r="FIT20" s="11"/>
      <c r="FIU20" s="11"/>
      <c r="FIV20" s="11"/>
      <c r="FIW20" s="11"/>
      <c r="FIX20" s="11"/>
      <c r="FIY20" s="11"/>
      <c r="FIZ20" s="11"/>
      <c r="FJA20" s="11"/>
      <c r="FJB20" s="11"/>
      <c r="FJC20" s="11"/>
      <c r="FJD20" s="11"/>
      <c r="FJE20" s="11"/>
      <c r="FJF20" s="11"/>
      <c r="FJG20" s="11"/>
      <c r="FJH20" s="11"/>
      <c r="FJI20" s="11"/>
      <c r="FJJ20" s="11"/>
      <c r="FJK20" s="11"/>
      <c r="FJL20" s="11"/>
      <c r="FJM20" s="11"/>
      <c r="FJN20" s="11"/>
      <c r="FJO20" s="11"/>
      <c r="FJP20" s="11"/>
      <c r="FJQ20" s="11"/>
      <c r="FJR20" s="11"/>
      <c r="FJS20" s="11"/>
      <c r="FJT20" s="11"/>
      <c r="FJU20" s="11"/>
      <c r="FJV20" s="11"/>
      <c r="FJW20" s="11"/>
      <c r="FJX20" s="11"/>
      <c r="FJY20" s="11"/>
      <c r="FJZ20" s="11"/>
      <c r="FKA20" s="11"/>
      <c r="FKB20" s="11"/>
      <c r="FKC20" s="11"/>
      <c r="FKD20" s="11"/>
      <c r="FKE20" s="11"/>
      <c r="FKF20" s="11"/>
      <c r="FKG20" s="11"/>
      <c r="FKH20" s="11"/>
      <c r="FKI20" s="11"/>
      <c r="FKJ20" s="11"/>
      <c r="FKK20" s="11"/>
      <c r="FKL20" s="11"/>
      <c r="FKM20" s="11"/>
      <c r="FKN20" s="11"/>
      <c r="FKO20" s="11"/>
      <c r="FKP20" s="11"/>
      <c r="FKQ20" s="11"/>
      <c r="FKR20" s="11"/>
      <c r="FKS20" s="11"/>
      <c r="FKT20" s="11"/>
      <c r="FKU20" s="11"/>
      <c r="FKV20" s="11"/>
      <c r="FKW20" s="11"/>
      <c r="FKX20" s="11"/>
      <c r="FKY20" s="11"/>
      <c r="FKZ20" s="11"/>
      <c r="FLA20" s="11"/>
      <c r="FLB20" s="11"/>
      <c r="FLC20" s="11"/>
      <c r="FLD20" s="11"/>
      <c r="FLE20" s="11"/>
      <c r="FLF20" s="11"/>
      <c r="FLG20" s="11"/>
      <c r="FLH20" s="11"/>
      <c r="FLI20" s="11"/>
      <c r="FLJ20" s="11"/>
      <c r="FLK20" s="11"/>
      <c r="FLL20" s="11"/>
      <c r="FLM20" s="11"/>
      <c r="FLN20" s="11"/>
      <c r="FLO20" s="11"/>
      <c r="FLP20" s="11"/>
      <c r="FLQ20" s="11"/>
      <c r="FLR20" s="11"/>
      <c r="FLS20" s="11"/>
      <c r="FLT20" s="11"/>
      <c r="FLU20" s="11"/>
      <c r="FLV20" s="11"/>
      <c r="FLW20" s="11"/>
      <c r="FLX20" s="11"/>
      <c r="FLY20" s="11"/>
      <c r="FLZ20" s="11"/>
      <c r="FMA20" s="11"/>
      <c r="FMB20" s="11"/>
      <c r="FMC20" s="11"/>
      <c r="FMD20" s="11"/>
      <c r="FME20" s="11"/>
      <c r="FMF20" s="11"/>
      <c r="FMG20" s="11"/>
      <c r="FMH20" s="11"/>
      <c r="FMI20" s="11"/>
      <c r="FMJ20" s="11"/>
      <c r="FMK20" s="11"/>
      <c r="FML20" s="11"/>
      <c r="FMM20" s="11"/>
      <c r="FMN20" s="11"/>
      <c r="FMO20" s="11"/>
      <c r="FMP20" s="11"/>
      <c r="FMQ20" s="11"/>
      <c r="FMR20" s="11"/>
      <c r="FMS20" s="11"/>
      <c r="FMT20" s="11"/>
      <c r="FMU20" s="11"/>
      <c r="FMV20" s="11"/>
      <c r="FMW20" s="11"/>
      <c r="FMX20" s="11"/>
      <c r="FMY20" s="11"/>
      <c r="FMZ20" s="11"/>
      <c r="FNA20" s="11"/>
      <c r="FNB20" s="11"/>
      <c r="FNC20" s="11"/>
      <c r="FND20" s="11"/>
      <c r="FNE20" s="11"/>
      <c r="FNF20" s="11"/>
      <c r="FNG20" s="11"/>
      <c r="FNH20" s="11"/>
      <c r="FNI20" s="11"/>
      <c r="FNJ20" s="11"/>
      <c r="FNK20" s="11"/>
      <c r="FNL20" s="11"/>
      <c r="FNM20" s="11"/>
      <c r="FNN20" s="11"/>
      <c r="FNO20" s="11"/>
      <c r="FNP20" s="11"/>
      <c r="FNQ20" s="11"/>
      <c r="FNR20" s="11"/>
      <c r="FNS20" s="11"/>
      <c r="FNT20" s="11"/>
      <c r="FNU20" s="11"/>
      <c r="FNV20" s="11"/>
      <c r="FNW20" s="11"/>
      <c r="FNX20" s="11"/>
      <c r="FNY20" s="11"/>
      <c r="FNZ20" s="11"/>
      <c r="FOA20" s="11"/>
      <c r="FOB20" s="11"/>
      <c r="FOC20" s="11"/>
      <c r="FOD20" s="11"/>
      <c r="FOE20" s="11"/>
      <c r="FOF20" s="11"/>
      <c r="FOG20" s="11"/>
      <c r="FOH20" s="11"/>
      <c r="FOI20" s="11"/>
      <c r="FOJ20" s="11"/>
      <c r="FOK20" s="11"/>
      <c r="FOL20" s="11"/>
      <c r="FOM20" s="11"/>
      <c r="FON20" s="11"/>
      <c r="FOO20" s="11"/>
      <c r="FOP20" s="11"/>
      <c r="FOQ20" s="11"/>
      <c r="FOR20" s="11"/>
      <c r="FOS20" s="11"/>
      <c r="FOT20" s="11"/>
      <c r="FOU20" s="11"/>
      <c r="FOV20" s="11"/>
      <c r="FOW20" s="11"/>
      <c r="FOX20" s="11"/>
      <c r="FOY20" s="11"/>
      <c r="FOZ20" s="11"/>
      <c r="FPA20" s="11"/>
      <c r="FPB20" s="11"/>
      <c r="FPC20" s="11"/>
      <c r="FPD20" s="11"/>
      <c r="FPE20" s="11"/>
      <c r="FPF20" s="11"/>
      <c r="FPG20" s="11"/>
      <c r="FPH20" s="11"/>
      <c r="FPI20" s="11"/>
      <c r="FPJ20" s="11"/>
      <c r="FPK20" s="11"/>
      <c r="FPL20" s="11"/>
      <c r="FPM20" s="11"/>
      <c r="FPN20" s="11"/>
      <c r="FPO20" s="11"/>
      <c r="FPP20" s="11"/>
      <c r="FPQ20" s="11"/>
      <c r="FPR20" s="11"/>
      <c r="FPS20" s="11"/>
      <c r="FPT20" s="11"/>
      <c r="FPU20" s="11"/>
      <c r="FPV20" s="11"/>
      <c r="FPW20" s="11"/>
      <c r="FPX20" s="11"/>
      <c r="FPY20" s="11"/>
      <c r="FPZ20" s="11"/>
      <c r="FQA20" s="11"/>
      <c r="FQB20" s="11"/>
      <c r="FQC20" s="11"/>
      <c r="FQD20" s="11"/>
      <c r="FQE20" s="11"/>
      <c r="FQF20" s="11"/>
      <c r="FQG20" s="11"/>
      <c r="FQH20" s="11"/>
      <c r="FQI20" s="11"/>
      <c r="FQJ20" s="11"/>
      <c r="FQK20" s="11"/>
      <c r="FQL20" s="11"/>
      <c r="FQM20" s="11"/>
      <c r="FQN20" s="11"/>
      <c r="FQO20" s="11"/>
      <c r="FQP20" s="11"/>
      <c r="FQQ20" s="11"/>
      <c r="FQR20" s="11"/>
      <c r="FQS20" s="11"/>
      <c r="FQT20" s="11"/>
      <c r="FQU20" s="11"/>
      <c r="FQV20" s="11"/>
      <c r="FQW20" s="11"/>
      <c r="FQX20" s="11"/>
      <c r="FQY20" s="11"/>
      <c r="FQZ20" s="11"/>
      <c r="FRA20" s="11"/>
      <c r="FRB20" s="11"/>
      <c r="FRC20" s="11"/>
      <c r="FRD20" s="11"/>
      <c r="FRE20" s="11"/>
      <c r="FRF20" s="11"/>
      <c r="FRG20" s="11"/>
      <c r="FRH20" s="11"/>
      <c r="FRI20" s="11"/>
      <c r="FRJ20" s="11"/>
      <c r="FRK20" s="11"/>
      <c r="FRL20" s="11"/>
      <c r="FRM20" s="11"/>
      <c r="FRN20" s="11"/>
      <c r="FRO20" s="11"/>
      <c r="FRP20" s="11"/>
      <c r="FRQ20" s="11"/>
      <c r="FRR20" s="11"/>
      <c r="FRS20" s="11"/>
      <c r="FRT20" s="11"/>
      <c r="FRU20" s="11"/>
      <c r="FRV20" s="11"/>
      <c r="FRW20" s="11"/>
      <c r="FRX20" s="11"/>
      <c r="FRY20" s="11"/>
      <c r="FRZ20" s="11"/>
      <c r="FSA20" s="11"/>
      <c r="FSB20" s="11"/>
      <c r="FSC20" s="11"/>
      <c r="FSD20" s="11"/>
      <c r="FSE20" s="11"/>
      <c r="FSF20" s="11"/>
      <c r="FSG20" s="11"/>
      <c r="FSH20" s="11"/>
      <c r="FSI20" s="11"/>
      <c r="FSJ20" s="11"/>
      <c r="FSK20" s="11"/>
      <c r="FSL20" s="11"/>
      <c r="FSM20" s="11"/>
      <c r="FSN20" s="11"/>
      <c r="FSO20" s="11"/>
      <c r="FSP20" s="11"/>
      <c r="FSQ20" s="11"/>
      <c r="FSR20" s="11"/>
      <c r="FSS20" s="11"/>
      <c r="FST20" s="11"/>
      <c r="FSU20" s="11"/>
      <c r="FSV20" s="11"/>
      <c r="FSW20" s="11"/>
      <c r="FSX20" s="11"/>
      <c r="FSY20" s="11"/>
      <c r="FSZ20" s="11"/>
      <c r="FTA20" s="11"/>
      <c r="FTB20" s="11"/>
      <c r="FTC20" s="11"/>
      <c r="FTD20" s="11"/>
      <c r="FTE20" s="11"/>
      <c r="FTF20" s="11"/>
      <c r="FTG20" s="11"/>
      <c r="FTH20" s="11"/>
      <c r="FTI20" s="11"/>
      <c r="FTJ20" s="11"/>
      <c r="FTK20" s="11"/>
      <c r="FTL20" s="11"/>
      <c r="FTM20" s="11"/>
      <c r="FTN20" s="11"/>
      <c r="FTO20" s="11"/>
      <c r="FTP20" s="11"/>
      <c r="FTQ20" s="11"/>
      <c r="FTR20" s="11"/>
      <c r="FTS20" s="11"/>
      <c r="FTT20" s="11"/>
      <c r="FTU20" s="11"/>
      <c r="FTV20" s="11"/>
      <c r="FTW20" s="11"/>
      <c r="FTX20" s="11"/>
      <c r="FTY20" s="11"/>
      <c r="FTZ20" s="11"/>
      <c r="FUA20" s="11"/>
      <c r="FUB20" s="11"/>
      <c r="FUC20" s="11"/>
      <c r="FUD20" s="11"/>
      <c r="FUE20" s="11"/>
      <c r="FUF20" s="11"/>
      <c r="FUG20" s="11"/>
      <c r="FUH20" s="11"/>
      <c r="FUI20" s="11"/>
      <c r="FUJ20" s="11"/>
      <c r="FUK20" s="11"/>
      <c r="FUL20" s="11"/>
      <c r="FUM20" s="11"/>
      <c r="FUN20" s="11"/>
      <c r="FUO20" s="11"/>
      <c r="FUP20" s="11"/>
      <c r="FUQ20" s="11"/>
      <c r="FUR20" s="11"/>
      <c r="FUS20" s="11"/>
      <c r="FUT20" s="11"/>
      <c r="FUU20" s="11"/>
      <c r="FUV20" s="11"/>
      <c r="FUW20" s="11"/>
      <c r="FUX20" s="11"/>
      <c r="FUY20" s="11"/>
      <c r="FUZ20" s="11"/>
      <c r="FVA20" s="11"/>
      <c r="FVB20" s="11"/>
      <c r="FVC20" s="11"/>
      <c r="FVD20" s="11"/>
      <c r="FVE20" s="11"/>
      <c r="FVF20" s="11"/>
      <c r="FVG20" s="11"/>
      <c r="FVH20" s="11"/>
      <c r="FVI20" s="11"/>
      <c r="FVJ20" s="11"/>
      <c r="FVK20" s="11"/>
      <c r="FVL20" s="11"/>
      <c r="FVM20" s="11"/>
      <c r="FVN20" s="11"/>
      <c r="FVO20" s="11"/>
      <c r="FVP20" s="11"/>
      <c r="FVQ20" s="11"/>
      <c r="FVR20" s="11"/>
      <c r="FVS20" s="11"/>
      <c r="FVT20" s="11"/>
      <c r="FVU20" s="11"/>
      <c r="FVV20" s="11"/>
      <c r="FVW20" s="11"/>
      <c r="FVX20" s="11"/>
      <c r="FVY20" s="11"/>
      <c r="FVZ20" s="11"/>
      <c r="FWA20" s="11"/>
      <c r="FWB20" s="11"/>
      <c r="FWC20" s="11"/>
      <c r="FWD20" s="11"/>
      <c r="FWE20" s="11"/>
      <c r="FWF20" s="11"/>
      <c r="FWG20" s="11"/>
      <c r="FWH20" s="11"/>
      <c r="FWI20" s="11"/>
      <c r="FWJ20" s="11"/>
      <c r="FWK20" s="11"/>
      <c r="FWL20" s="11"/>
      <c r="FWM20" s="11"/>
      <c r="FWN20" s="11"/>
      <c r="FWO20" s="11"/>
      <c r="FWP20" s="11"/>
      <c r="FWQ20" s="11"/>
      <c r="FWR20" s="11"/>
      <c r="FWS20" s="11"/>
      <c r="FWT20" s="11"/>
      <c r="FWU20" s="11"/>
      <c r="FWV20" s="11"/>
      <c r="FWW20" s="11"/>
      <c r="FWX20" s="11"/>
      <c r="FWY20" s="11"/>
      <c r="FWZ20" s="11"/>
      <c r="FXA20" s="11"/>
      <c r="FXB20" s="11"/>
      <c r="FXC20" s="11"/>
      <c r="FXD20" s="11"/>
      <c r="FXE20" s="11"/>
      <c r="FXF20" s="11"/>
      <c r="FXG20" s="11"/>
      <c r="FXH20" s="11"/>
      <c r="FXI20" s="11"/>
      <c r="FXJ20" s="11"/>
      <c r="FXK20" s="11"/>
      <c r="FXL20" s="11"/>
      <c r="FXM20" s="11"/>
      <c r="FXN20" s="11"/>
      <c r="FXO20" s="11"/>
      <c r="FXP20" s="11"/>
      <c r="FXQ20" s="11"/>
      <c r="FXR20" s="11"/>
      <c r="FXS20" s="11"/>
      <c r="FXT20" s="11"/>
      <c r="FXU20" s="11"/>
      <c r="FXV20" s="11"/>
      <c r="FXW20" s="11"/>
      <c r="FXX20" s="11"/>
      <c r="FXY20" s="11"/>
      <c r="FXZ20" s="11"/>
      <c r="FYA20" s="11"/>
      <c r="FYB20" s="11"/>
      <c r="FYC20" s="11"/>
      <c r="FYD20" s="11"/>
      <c r="FYE20" s="11"/>
      <c r="FYF20" s="11"/>
      <c r="FYG20" s="11"/>
      <c r="FYH20" s="11"/>
      <c r="FYI20" s="11"/>
      <c r="FYJ20" s="11"/>
      <c r="FYK20" s="11"/>
      <c r="FYL20" s="11"/>
      <c r="FYM20" s="11"/>
      <c r="FYN20" s="11"/>
      <c r="FYO20" s="11"/>
      <c r="FYP20" s="11"/>
      <c r="FYQ20" s="11"/>
      <c r="FYR20" s="11"/>
      <c r="FYS20" s="11"/>
      <c r="FYT20" s="11"/>
      <c r="FYU20" s="11"/>
      <c r="FYV20" s="11"/>
      <c r="FYW20" s="11"/>
      <c r="FYX20" s="11"/>
      <c r="FYY20" s="11"/>
      <c r="FYZ20" s="11"/>
      <c r="FZA20" s="11"/>
      <c r="FZB20" s="11"/>
      <c r="FZC20" s="11"/>
      <c r="FZD20" s="11"/>
      <c r="FZE20" s="11"/>
      <c r="FZF20" s="11"/>
      <c r="FZG20" s="11"/>
      <c r="FZH20" s="11"/>
      <c r="FZI20" s="11"/>
      <c r="FZJ20" s="11"/>
      <c r="FZK20" s="11"/>
      <c r="FZL20" s="11"/>
      <c r="FZM20" s="11"/>
      <c r="FZN20" s="11"/>
      <c r="FZO20" s="11"/>
      <c r="FZP20" s="11"/>
      <c r="FZQ20" s="11"/>
      <c r="FZR20" s="11"/>
      <c r="FZS20" s="11"/>
      <c r="FZT20" s="11"/>
      <c r="FZU20" s="11"/>
      <c r="FZV20" s="11"/>
      <c r="FZW20" s="11"/>
      <c r="FZX20" s="11"/>
      <c r="FZY20" s="11"/>
      <c r="FZZ20" s="11"/>
      <c r="GAA20" s="11"/>
      <c r="GAB20" s="11"/>
      <c r="GAC20" s="11"/>
      <c r="GAD20" s="11"/>
      <c r="GAE20" s="11"/>
      <c r="GAF20" s="11"/>
      <c r="GAG20" s="11"/>
      <c r="GAH20" s="11"/>
      <c r="GAI20" s="11"/>
      <c r="GAJ20" s="11"/>
      <c r="GAK20" s="11"/>
      <c r="GAL20" s="11"/>
      <c r="GAM20" s="11"/>
      <c r="GAN20" s="11"/>
      <c r="GAO20" s="11"/>
      <c r="GAP20" s="11"/>
      <c r="GAQ20" s="11"/>
      <c r="GAR20" s="11"/>
      <c r="GAS20" s="11"/>
      <c r="GAT20" s="11"/>
      <c r="GAU20" s="11"/>
      <c r="GAV20" s="11"/>
      <c r="GAW20" s="11"/>
      <c r="GAX20" s="11"/>
      <c r="GAY20" s="11"/>
      <c r="GAZ20" s="11"/>
      <c r="GBA20" s="11"/>
      <c r="GBB20" s="11"/>
      <c r="GBC20" s="11"/>
      <c r="GBD20" s="11"/>
      <c r="GBE20" s="11"/>
      <c r="GBF20" s="11"/>
      <c r="GBG20" s="11"/>
      <c r="GBH20" s="11"/>
      <c r="GBI20" s="11"/>
      <c r="GBJ20" s="11"/>
      <c r="GBK20" s="11"/>
      <c r="GBL20" s="11"/>
      <c r="GBM20" s="11"/>
      <c r="GBN20" s="11"/>
      <c r="GBO20" s="11"/>
      <c r="GBP20" s="11"/>
      <c r="GBQ20" s="11"/>
      <c r="GBR20" s="11"/>
      <c r="GBS20" s="11"/>
      <c r="GBT20" s="11"/>
      <c r="GBU20" s="11"/>
      <c r="GBV20" s="11"/>
      <c r="GBW20" s="11"/>
      <c r="GBX20" s="11"/>
      <c r="GBY20" s="11"/>
      <c r="GBZ20" s="11"/>
      <c r="GCA20" s="11"/>
      <c r="GCB20" s="11"/>
      <c r="GCC20" s="11"/>
      <c r="GCD20" s="11"/>
      <c r="GCE20" s="11"/>
      <c r="GCF20" s="11"/>
      <c r="GCG20" s="11"/>
      <c r="GCH20" s="11"/>
      <c r="GCI20" s="11"/>
      <c r="GCJ20" s="11"/>
      <c r="GCK20" s="11"/>
      <c r="GCL20" s="11"/>
      <c r="GCM20" s="11"/>
      <c r="GCN20" s="11"/>
      <c r="GCO20" s="11"/>
      <c r="GCP20" s="11"/>
      <c r="GCQ20" s="11"/>
      <c r="GCR20" s="11"/>
      <c r="GCS20" s="11"/>
      <c r="GCT20" s="11"/>
      <c r="GCU20" s="11"/>
      <c r="GCV20" s="11"/>
      <c r="GCW20" s="11"/>
      <c r="GCX20" s="11"/>
      <c r="GCY20" s="11"/>
      <c r="GCZ20" s="11"/>
      <c r="GDA20" s="11"/>
      <c r="GDB20" s="11"/>
      <c r="GDC20" s="11"/>
      <c r="GDD20" s="11"/>
      <c r="GDE20" s="11"/>
      <c r="GDF20" s="11"/>
      <c r="GDG20" s="11"/>
      <c r="GDH20" s="11"/>
      <c r="GDI20" s="11"/>
      <c r="GDJ20" s="11"/>
      <c r="GDK20" s="11"/>
      <c r="GDL20" s="11"/>
      <c r="GDM20" s="11"/>
      <c r="GDN20" s="11"/>
      <c r="GDO20" s="11"/>
      <c r="GDP20" s="11"/>
      <c r="GDQ20" s="11"/>
      <c r="GDR20" s="11"/>
      <c r="GDS20" s="11"/>
      <c r="GDT20" s="11"/>
      <c r="GDU20" s="11"/>
      <c r="GDV20" s="11"/>
      <c r="GDW20" s="11"/>
      <c r="GDX20" s="11"/>
      <c r="GDY20" s="11"/>
      <c r="GDZ20" s="11"/>
      <c r="GEA20" s="11"/>
      <c r="GEB20" s="11"/>
      <c r="GEC20" s="11"/>
      <c r="GED20" s="11"/>
      <c r="GEE20" s="11"/>
      <c r="GEF20" s="11"/>
      <c r="GEG20" s="11"/>
      <c r="GEH20" s="11"/>
      <c r="GEI20" s="11"/>
      <c r="GEJ20" s="11"/>
      <c r="GEK20" s="11"/>
      <c r="GEL20" s="11"/>
      <c r="GEM20" s="11"/>
      <c r="GEN20" s="11"/>
      <c r="GEO20" s="11"/>
      <c r="GEP20" s="11"/>
      <c r="GEQ20" s="11"/>
      <c r="GER20" s="11"/>
      <c r="GES20" s="11"/>
      <c r="GET20" s="11"/>
      <c r="GEU20" s="11"/>
      <c r="GEV20" s="11"/>
      <c r="GEW20" s="11"/>
      <c r="GEX20" s="11"/>
      <c r="GEY20" s="11"/>
      <c r="GEZ20" s="11"/>
      <c r="GFA20" s="11"/>
      <c r="GFB20" s="11"/>
      <c r="GFC20" s="11"/>
      <c r="GFD20" s="11"/>
      <c r="GFE20" s="11"/>
      <c r="GFF20" s="11"/>
      <c r="GFG20" s="11"/>
      <c r="GFH20" s="11"/>
      <c r="GFI20" s="11"/>
      <c r="GFJ20" s="11"/>
      <c r="GFK20" s="11"/>
      <c r="GFL20" s="11"/>
      <c r="GFM20" s="11"/>
      <c r="GFN20" s="11"/>
      <c r="GFO20" s="11"/>
      <c r="GFP20" s="11"/>
      <c r="GFQ20" s="11"/>
      <c r="GFR20" s="11"/>
      <c r="GFS20" s="11"/>
      <c r="GFT20" s="11"/>
      <c r="GFU20" s="11"/>
      <c r="GFV20" s="11"/>
      <c r="GFW20" s="11"/>
      <c r="GFX20" s="11"/>
      <c r="GFY20" s="11"/>
      <c r="GFZ20" s="11"/>
      <c r="GGA20" s="11"/>
      <c r="GGB20" s="11"/>
      <c r="GGC20" s="11"/>
      <c r="GGD20" s="11"/>
      <c r="GGE20" s="11"/>
      <c r="GGF20" s="11"/>
      <c r="GGG20" s="11"/>
      <c r="GGH20" s="11"/>
      <c r="GGI20" s="11"/>
      <c r="GGJ20" s="11"/>
      <c r="GGK20" s="11"/>
      <c r="GGL20" s="11"/>
      <c r="GGM20" s="11"/>
      <c r="GGN20" s="11"/>
      <c r="GGO20" s="11"/>
      <c r="GGP20" s="11"/>
      <c r="GGQ20" s="11"/>
      <c r="GGR20" s="11"/>
      <c r="GGS20" s="11"/>
      <c r="GGT20" s="11"/>
      <c r="GGU20" s="11"/>
      <c r="GGV20" s="11"/>
      <c r="GGW20" s="11"/>
      <c r="GGX20" s="11"/>
      <c r="GGY20" s="11"/>
      <c r="GGZ20" s="11"/>
      <c r="GHA20" s="11"/>
      <c r="GHB20" s="11"/>
      <c r="GHC20" s="11"/>
      <c r="GHD20" s="11"/>
      <c r="GHE20" s="11"/>
      <c r="GHF20" s="11"/>
      <c r="GHG20" s="11"/>
      <c r="GHH20" s="11"/>
      <c r="GHI20" s="11"/>
      <c r="GHJ20" s="11"/>
      <c r="GHK20" s="11"/>
      <c r="GHL20" s="11"/>
      <c r="GHM20" s="11"/>
      <c r="GHN20" s="11"/>
      <c r="GHO20" s="11"/>
      <c r="GHP20" s="11"/>
      <c r="GHQ20" s="11"/>
      <c r="GHR20" s="11"/>
      <c r="GHS20" s="11"/>
      <c r="GHT20" s="11"/>
      <c r="GHU20" s="11"/>
      <c r="GHV20" s="11"/>
      <c r="GHW20" s="11"/>
      <c r="GHX20" s="11"/>
      <c r="GHY20" s="11"/>
      <c r="GHZ20" s="11"/>
      <c r="GIA20" s="11"/>
      <c r="GIB20" s="11"/>
      <c r="GIC20" s="11"/>
      <c r="GID20" s="11"/>
      <c r="GIE20" s="11"/>
      <c r="GIF20" s="11"/>
      <c r="GIG20" s="11"/>
      <c r="GIH20" s="11"/>
      <c r="GII20" s="11"/>
      <c r="GIJ20" s="11"/>
      <c r="GIK20" s="11"/>
      <c r="GIL20" s="11"/>
      <c r="GIM20" s="11"/>
      <c r="GIN20" s="11"/>
      <c r="GIO20" s="11"/>
      <c r="GIP20" s="11"/>
      <c r="GIQ20" s="11"/>
      <c r="GIR20" s="11"/>
      <c r="GIS20" s="11"/>
      <c r="GIT20" s="11"/>
      <c r="GIU20" s="11"/>
      <c r="GIV20" s="11"/>
      <c r="GIW20" s="11"/>
      <c r="GIX20" s="11"/>
      <c r="GIY20" s="11"/>
      <c r="GIZ20" s="11"/>
      <c r="GJA20" s="11"/>
      <c r="GJB20" s="11"/>
      <c r="GJC20" s="11"/>
      <c r="GJD20" s="11"/>
      <c r="GJE20" s="11"/>
      <c r="GJF20" s="11"/>
      <c r="GJG20" s="11"/>
      <c r="GJH20" s="11"/>
      <c r="GJI20" s="11"/>
      <c r="GJJ20" s="11"/>
      <c r="GJK20" s="11"/>
      <c r="GJL20" s="11"/>
      <c r="GJM20" s="11"/>
      <c r="GJN20" s="11"/>
      <c r="GJO20" s="11"/>
      <c r="GJP20" s="11"/>
      <c r="GJQ20" s="11"/>
      <c r="GJR20" s="11"/>
      <c r="GJS20" s="11"/>
      <c r="GJT20" s="11"/>
      <c r="GJU20" s="11"/>
      <c r="GJV20" s="11"/>
      <c r="GJW20" s="11"/>
      <c r="GJX20" s="11"/>
      <c r="GJY20" s="11"/>
      <c r="GJZ20" s="11"/>
      <c r="GKA20" s="11"/>
      <c r="GKB20" s="11"/>
      <c r="GKC20" s="11"/>
      <c r="GKD20" s="11"/>
      <c r="GKE20" s="11"/>
      <c r="GKF20" s="11"/>
      <c r="GKG20" s="11"/>
      <c r="GKH20" s="11"/>
      <c r="GKI20" s="11"/>
      <c r="GKJ20" s="11"/>
      <c r="GKK20" s="11"/>
      <c r="GKL20" s="11"/>
      <c r="GKM20" s="11"/>
      <c r="GKN20" s="11"/>
      <c r="GKO20" s="11"/>
      <c r="GKP20" s="11"/>
      <c r="GKQ20" s="11"/>
      <c r="GKR20" s="11"/>
      <c r="GKS20" s="11"/>
      <c r="GKT20" s="11"/>
      <c r="GKU20" s="11"/>
      <c r="GKV20" s="11"/>
      <c r="GKW20" s="11"/>
      <c r="GKX20" s="11"/>
      <c r="GKY20" s="11"/>
      <c r="GKZ20" s="11"/>
      <c r="GLA20" s="11"/>
      <c r="GLB20" s="11"/>
      <c r="GLC20" s="11"/>
      <c r="GLD20" s="11"/>
      <c r="GLE20" s="11"/>
      <c r="GLF20" s="11"/>
      <c r="GLG20" s="11"/>
      <c r="GLH20" s="11"/>
      <c r="GLI20" s="11"/>
      <c r="GLJ20" s="11"/>
      <c r="GLK20" s="11"/>
      <c r="GLL20" s="11"/>
      <c r="GLM20" s="11"/>
      <c r="GLN20" s="11"/>
      <c r="GLO20" s="11"/>
      <c r="GLP20" s="11"/>
      <c r="GLQ20" s="11"/>
      <c r="GLR20" s="11"/>
      <c r="GLS20" s="11"/>
      <c r="GLT20" s="11"/>
      <c r="GLU20" s="11"/>
      <c r="GLV20" s="11"/>
      <c r="GLW20" s="11"/>
      <c r="GLX20" s="11"/>
      <c r="GLY20" s="11"/>
      <c r="GLZ20" s="11"/>
      <c r="GMA20" s="11"/>
      <c r="GMB20" s="11"/>
      <c r="GMC20" s="11"/>
      <c r="GMD20" s="11"/>
      <c r="GME20" s="11"/>
      <c r="GMF20" s="11"/>
      <c r="GMG20" s="11"/>
      <c r="GMH20" s="11"/>
      <c r="GMI20" s="11"/>
      <c r="GMJ20" s="11"/>
      <c r="GMK20" s="11"/>
      <c r="GML20" s="11"/>
      <c r="GMM20" s="11"/>
      <c r="GMN20" s="11"/>
      <c r="GMO20" s="11"/>
      <c r="GMP20" s="11"/>
      <c r="GMQ20" s="11"/>
      <c r="GMR20" s="11"/>
      <c r="GMS20" s="11"/>
      <c r="GMT20" s="11"/>
      <c r="GMU20" s="11"/>
      <c r="GMV20" s="11"/>
      <c r="GMW20" s="11"/>
      <c r="GMX20" s="11"/>
      <c r="GMY20" s="11"/>
      <c r="GMZ20" s="11"/>
      <c r="GNA20" s="11"/>
      <c r="GNB20" s="11"/>
      <c r="GNC20" s="11"/>
      <c r="GND20" s="11"/>
      <c r="GNE20" s="11"/>
      <c r="GNF20" s="11"/>
      <c r="GNG20" s="11"/>
      <c r="GNH20" s="11"/>
      <c r="GNI20" s="11"/>
      <c r="GNJ20" s="11"/>
      <c r="GNK20" s="11"/>
      <c r="GNL20" s="11"/>
      <c r="GNM20" s="11"/>
      <c r="GNN20" s="11"/>
      <c r="GNO20" s="11"/>
      <c r="GNP20" s="11"/>
      <c r="GNQ20" s="11"/>
      <c r="GNR20" s="11"/>
      <c r="GNS20" s="11"/>
      <c r="GNT20" s="11"/>
      <c r="GNU20" s="11"/>
      <c r="GNV20" s="11"/>
      <c r="GNW20" s="11"/>
      <c r="GNX20" s="11"/>
      <c r="GNY20" s="11"/>
      <c r="GNZ20" s="11"/>
      <c r="GOA20" s="11"/>
      <c r="GOB20" s="11"/>
      <c r="GOC20" s="11"/>
      <c r="GOD20" s="11"/>
      <c r="GOE20" s="11"/>
      <c r="GOF20" s="11"/>
      <c r="GOG20" s="11"/>
      <c r="GOH20" s="11"/>
      <c r="GOI20" s="11"/>
      <c r="GOJ20" s="11"/>
      <c r="GOK20" s="11"/>
      <c r="GOL20" s="11"/>
      <c r="GOM20" s="11"/>
      <c r="GON20" s="11"/>
      <c r="GOO20" s="11"/>
      <c r="GOP20" s="11"/>
      <c r="GOQ20" s="11"/>
      <c r="GOR20" s="11"/>
      <c r="GOS20" s="11"/>
      <c r="GOT20" s="11"/>
      <c r="GOU20" s="11"/>
      <c r="GOV20" s="11"/>
      <c r="GOW20" s="11"/>
      <c r="GOX20" s="11"/>
      <c r="GOY20" s="11"/>
      <c r="GOZ20" s="11"/>
      <c r="GPA20" s="11"/>
      <c r="GPB20" s="11"/>
      <c r="GPC20" s="11"/>
      <c r="GPD20" s="11"/>
      <c r="GPE20" s="11"/>
      <c r="GPF20" s="11"/>
      <c r="GPG20" s="11"/>
      <c r="GPH20" s="11"/>
      <c r="GPI20" s="11"/>
      <c r="GPJ20" s="11"/>
      <c r="GPK20" s="11"/>
      <c r="GPL20" s="11"/>
      <c r="GPM20" s="11"/>
      <c r="GPN20" s="11"/>
      <c r="GPO20" s="11"/>
      <c r="GPP20" s="11"/>
      <c r="GPQ20" s="11"/>
      <c r="GPR20" s="11"/>
      <c r="GPS20" s="11"/>
      <c r="GPT20" s="11"/>
      <c r="GPU20" s="11"/>
      <c r="GPV20" s="11"/>
      <c r="GPW20" s="11"/>
      <c r="GPX20" s="11"/>
      <c r="GPY20" s="11"/>
      <c r="GPZ20" s="11"/>
      <c r="GQA20" s="11"/>
      <c r="GQB20" s="11"/>
      <c r="GQC20" s="11"/>
      <c r="GQD20" s="11"/>
      <c r="GQE20" s="11"/>
      <c r="GQF20" s="11"/>
      <c r="GQG20" s="11"/>
      <c r="GQH20" s="11"/>
      <c r="GQI20" s="11"/>
      <c r="GQJ20" s="11"/>
      <c r="GQK20" s="11"/>
      <c r="GQL20" s="11"/>
      <c r="GQM20" s="11"/>
      <c r="GQN20" s="11"/>
      <c r="GQO20" s="11"/>
      <c r="GQP20" s="11"/>
      <c r="GQQ20" s="11"/>
      <c r="GQR20" s="11"/>
      <c r="GQS20" s="11"/>
      <c r="GQT20" s="11"/>
      <c r="GQU20" s="11"/>
      <c r="GQV20" s="11"/>
      <c r="GQW20" s="11"/>
      <c r="GQX20" s="11"/>
      <c r="GQY20" s="11"/>
      <c r="GQZ20" s="11"/>
      <c r="GRA20" s="11"/>
      <c r="GRB20" s="11"/>
      <c r="GRC20" s="11"/>
      <c r="GRD20" s="11"/>
      <c r="GRE20" s="11"/>
      <c r="GRF20" s="11"/>
      <c r="GRG20" s="11"/>
      <c r="GRH20" s="11"/>
      <c r="GRI20" s="11"/>
      <c r="GRJ20" s="11"/>
      <c r="GRK20" s="11"/>
      <c r="GRL20" s="11"/>
      <c r="GRM20" s="11"/>
      <c r="GRN20" s="11"/>
      <c r="GRO20" s="11"/>
      <c r="GRP20" s="11"/>
      <c r="GRQ20" s="11"/>
      <c r="GRR20" s="11"/>
      <c r="GRS20" s="11"/>
      <c r="GRT20" s="11"/>
      <c r="GRU20" s="11"/>
      <c r="GRV20" s="11"/>
      <c r="GRW20" s="11"/>
      <c r="GRX20" s="11"/>
      <c r="GRY20" s="11"/>
      <c r="GRZ20" s="11"/>
      <c r="GSA20" s="11"/>
      <c r="GSB20" s="11"/>
      <c r="GSC20" s="11"/>
      <c r="GSD20" s="11"/>
      <c r="GSE20" s="11"/>
      <c r="GSF20" s="11"/>
      <c r="GSG20" s="11"/>
      <c r="GSH20" s="11"/>
      <c r="GSI20" s="11"/>
      <c r="GSJ20" s="11"/>
      <c r="GSK20" s="11"/>
      <c r="GSL20" s="11"/>
      <c r="GSM20" s="11"/>
      <c r="GSN20" s="11"/>
      <c r="GSO20" s="11"/>
      <c r="GSP20" s="11"/>
      <c r="GSQ20" s="11"/>
      <c r="GSR20" s="11"/>
      <c r="GSS20" s="11"/>
      <c r="GST20" s="11"/>
      <c r="GSU20" s="11"/>
      <c r="GSV20" s="11"/>
      <c r="GSW20" s="11"/>
      <c r="GSX20" s="11"/>
      <c r="GSY20" s="11"/>
      <c r="GSZ20" s="11"/>
      <c r="GTA20" s="11"/>
      <c r="GTB20" s="11"/>
      <c r="GTC20" s="11"/>
      <c r="GTD20" s="11"/>
      <c r="GTE20" s="11"/>
      <c r="GTF20" s="11"/>
      <c r="GTG20" s="11"/>
      <c r="GTH20" s="11"/>
      <c r="GTI20" s="11"/>
      <c r="GTJ20" s="11"/>
      <c r="GTK20" s="11"/>
      <c r="GTL20" s="11"/>
      <c r="GTM20" s="11"/>
      <c r="GTN20" s="11"/>
      <c r="GTO20" s="11"/>
      <c r="GTP20" s="11"/>
      <c r="GTQ20" s="11"/>
      <c r="GTR20" s="11"/>
      <c r="GTS20" s="11"/>
      <c r="GTT20" s="11"/>
      <c r="GTU20" s="11"/>
      <c r="GTV20" s="11"/>
      <c r="GTW20" s="11"/>
      <c r="GTX20" s="11"/>
      <c r="GTY20" s="11"/>
      <c r="GTZ20" s="11"/>
      <c r="GUA20" s="11"/>
      <c r="GUB20" s="11"/>
      <c r="GUC20" s="11"/>
      <c r="GUD20" s="11"/>
      <c r="GUE20" s="11"/>
      <c r="GUF20" s="11"/>
      <c r="GUG20" s="11"/>
      <c r="GUH20" s="11"/>
      <c r="GUI20" s="11"/>
      <c r="GUJ20" s="11"/>
      <c r="GUK20" s="11"/>
      <c r="GUL20" s="11"/>
      <c r="GUM20" s="11"/>
      <c r="GUN20" s="11"/>
      <c r="GUO20" s="11"/>
      <c r="GUP20" s="11"/>
      <c r="GUQ20" s="11"/>
      <c r="GUR20" s="11"/>
      <c r="GUS20" s="11"/>
      <c r="GUT20" s="11"/>
      <c r="GUU20" s="11"/>
      <c r="GUV20" s="11"/>
      <c r="GUW20" s="11"/>
      <c r="GUX20" s="11"/>
      <c r="GUY20" s="11"/>
      <c r="GUZ20" s="11"/>
      <c r="GVA20" s="11"/>
      <c r="GVB20" s="11"/>
      <c r="GVC20" s="11"/>
      <c r="GVD20" s="11"/>
      <c r="GVE20" s="11"/>
      <c r="GVF20" s="11"/>
      <c r="GVG20" s="11"/>
      <c r="GVH20" s="11"/>
      <c r="GVI20" s="11"/>
      <c r="GVJ20" s="11"/>
      <c r="GVK20" s="11"/>
      <c r="GVL20" s="11"/>
      <c r="GVM20" s="11"/>
      <c r="GVN20" s="11"/>
      <c r="GVO20" s="11"/>
      <c r="GVP20" s="11"/>
      <c r="GVQ20" s="11"/>
      <c r="GVR20" s="11"/>
      <c r="GVS20" s="11"/>
      <c r="GVT20" s="11"/>
      <c r="GVU20" s="11"/>
      <c r="GVV20" s="11"/>
      <c r="GVW20" s="11"/>
      <c r="GVX20" s="11"/>
      <c r="GVY20" s="11"/>
      <c r="GVZ20" s="11"/>
      <c r="GWA20" s="11"/>
      <c r="GWB20" s="11"/>
      <c r="GWC20" s="11"/>
      <c r="GWD20" s="11"/>
      <c r="GWE20" s="11"/>
      <c r="GWF20" s="11"/>
      <c r="GWG20" s="11"/>
      <c r="GWH20" s="11"/>
      <c r="GWI20" s="11"/>
      <c r="GWJ20" s="11"/>
      <c r="GWK20" s="11"/>
      <c r="GWL20" s="11"/>
      <c r="GWM20" s="11"/>
      <c r="GWN20" s="11"/>
      <c r="GWO20" s="11"/>
      <c r="GWP20" s="11"/>
      <c r="GWQ20" s="11"/>
      <c r="GWR20" s="11"/>
      <c r="GWS20" s="11"/>
      <c r="GWT20" s="11"/>
      <c r="GWU20" s="11"/>
      <c r="GWV20" s="11"/>
      <c r="GWW20" s="11"/>
      <c r="GWX20" s="11"/>
      <c r="GWY20" s="11"/>
      <c r="GWZ20" s="11"/>
      <c r="GXA20" s="11"/>
      <c r="GXB20" s="11"/>
      <c r="GXC20" s="11"/>
      <c r="GXD20" s="11"/>
      <c r="GXE20" s="11"/>
      <c r="GXF20" s="11"/>
      <c r="GXG20" s="11"/>
      <c r="GXH20" s="11"/>
      <c r="GXI20" s="11"/>
      <c r="GXJ20" s="11"/>
      <c r="GXK20" s="11"/>
      <c r="GXL20" s="11"/>
      <c r="GXM20" s="11"/>
      <c r="GXN20" s="11"/>
      <c r="GXO20" s="11"/>
      <c r="GXP20" s="11"/>
      <c r="GXQ20" s="11"/>
      <c r="GXR20" s="11"/>
      <c r="GXS20" s="11"/>
      <c r="GXT20" s="11"/>
      <c r="GXU20" s="11"/>
      <c r="GXV20" s="11"/>
      <c r="GXW20" s="11"/>
      <c r="GXX20" s="11"/>
      <c r="GXY20" s="11"/>
      <c r="GXZ20" s="11"/>
      <c r="GYA20" s="11"/>
      <c r="GYB20" s="11"/>
      <c r="GYC20" s="11"/>
      <c r="GYD20" s="11"/>
      <c r="GYE20" s="11"/>
      <c r="GYF20" s="11"/>
      <c r="GYG20" s="11"/>
      <c r="GYH20" s="11"/>
      <c r="GYI20" s="11"/>
      <c r="GYJ20" s="11"/>
      <c r="GYK20" s="11"/>
      <c r="GYL20" s="11"/>
      <c r="GYM20" s="11"/>
      <c r="GYN20" s="11"/>
      <c r="GYO20" s="11"/>
      <c r="GYP20" s="11"/>
      <c r="GYQ20" s="11"/>
      <c r="GYR20" s="11"/>
      <c r="GYS20" s="11"/>
      <c r="GYT20" s="11"/>
      <c r="GYU20" s="11"/>
      <c r="GYV20" s="11"/>
      <c r="GYW20" s="11"/>
      <c r="GYX20" s="11"/>
      <c r="GYY20" s="11"/>
      <c r="GYZ20" s="11"/>
      <c r="GZA20" s="11"/>
      <c r="GZB20" s="11"/>
      <c r="GZC20" s="11"/>
      <c r="GZD20" s="11"/>
      <c r="GZE20" s="11"/>
      <c r="GZF20" s="11"/>
      <c r="GZG20" s="11"/>
      <c r="GZH20" s="11"/>
      <c r="GZI20" s="11"/>
      <c r="GZJ20" s="11"/>
      <c r="GZK20" s="11"/>
      <c r="GZL20" s="11"/>
      <c r="GZM20" s="11"/>
      <c r="GZN20" s="11"/>
      <c r="GZO20" s="11"/>
      <c r="GZP20" s="11"/>
      <c r="GZQ20" s="11"/>
      <c r="GZR20" s="11"/>
      <c r="GZS20" s="11"/>
      <c r="GZT20" s="11"/>
      <c r="GZU20" s="11"/>
      <c r="GZV20" s="11"/>
      <c r="GZW20" s="11"/>
      <c r="GZX20" s="11"/>
      <c r="GZY20" s="11"/>
      <c r="GZZ20" s="11"/>
      <c r="HAA20" s="11"/>
      <c r="HAB20" s="11"/>
      <c r="HAC20" s="11"/>
      <c r="HAD20" s="11"/>
      <c r="HAE20" s="11"/>
      <c r="HAF20" s="11"/>
      <c r="HAG20" s="11"/>
      <c r="HAH20" s="11"/>
      <c r="HAI20" s="11"/>
      <c r="HAJ20" s="11"/>
      <c r="HAK20" s="11"/>
      <c r="HAL20" s="11"/>
      <c r="HAM20" s="11"/>
      <c r="HAN20" s="11"/>
      <c r="HAO20" s="11"/>
      <c r="HAP20" s="11"/>
      <c r="HAQ20" s="11"/>
      <c r="HAR20" s="11"/>
      <c r="HAS20" s="11"/>
      <c r="HAT20" s="11"/>
      <c r="HAU20" s="11"/>
      <c r="HAV20" s="11"/>
      <c r="HAW20" s="11"/>
      <c r="HAX20" s="11"/>
      <c r="HAY20" s="11"/>
      <c r="HAZ20" s="11"/>
      <c r="HBA20" s="11"/>
      <c r="HBB20" s="11"/>
      <c r="HBC20" s="11"/>
      <c r="HBD20" s="11"/>
      <c r="HBE20" s="11"/>
      <c r="HBF20" s="11"/>
      <c r="HBG20" s="11"/>
      <c r="HBH20" s="11"/>
      <c r="HBI20" s="11"/>
      <c r="HBJ20" s="11"/>
      <c r="HBK20" s="11"/>
      <c r="HBL20" s="11"/>
      <c r="HBM20" s="11"/>
      <c r="HBN20" s="11"/>
      <c r="HBO20" s="11"/>
      <c r="HBP20" s="11"/>
      <c r="HBQ20" s="11"/>
      <c r="HBR20" s="11"/>
      <c r="HBS20" s="11"/>
      <c r="HBT20" s="11"/>
      <c r="HBU20" s="11"/>
      <c r="HBV20" s="11"/>
      <c r="HBW20" s="11"/>
      <c r="HBX20" s="11"/>
      <c r="HBY20" s="11"/>
      <c r="HBZ20" s="11"/>
      <c r="HCA20" s="11"/>
      <c r="HCB20" s="11"/>
      <c r="HCC20" s="11"/>
      <c r="HCD20" s="11"/>
      <c r="HCE20" s="11"/>
      <c r="HCF20" s="11"/>
      <c r="HCG20" s="11"/>
      <c r="HCH20" s="11"/>
      <c r="HCI20" s="11"/>
      <c r="HCJ20" s="11"/>
      <c r="HCK20" s="11"/>
      <c r="HCL20" s="11"/>
      <c r="HCM20" s="11"/>
      <c r="HCN20" s="11"/>
      <c r="HCO20" s="11"/>
      <c r="HCP20" s="11"/>
      <c r="HCQ20" s="11"/>
      <c r="HCR20" s="11"/>
      <c r="HCS20" s="11"/>
      <c r="HCT20" s="11"/>
      <c r="HCU20" s="11"/>
      <c r="HCV20" s="11"/>
      <c r="HCW20" s="11"/>
      <c r="HCX20" s="11"/>
      <c r="HCY20" s="11"/>
      <c r="HCZ20" s="11"/>
      <c r="HDA20" s="11"/>
      <c r="HDB20" s="11"/>
      <c r="HDC20" s="11"/>
      <c r="HDD20" s="11"/>
      <c r="HDE20" s="11"/>
      <c r="HDF20" s="11"/>
      <c r="HDG20" s="11"/>
      <c r="HDH20" s="11"/>
      <c r="HDI20" s="11"/>
      <c r="HDJ20" s="11"/>
      <c r="HDK20" s="11"/>
      <c r="HDL20" s="11"/>
      <c r="HDM20" s="11"/>
      <c r="HDN20" s="11"/>
      <c r="HDO20" s="11"/>
      <c r="HDP20" s="11"/>
      <c r="HDQ20" s="11"/>
      <c r="HDR20" s="11"/>
      <c r="HDS20" s="11"/>
      <c r="HDT20" s="11"/>
      <c r="HDU20" s="11"/>
      <c r="HDV20" s="11"/>
      <c r="HDW20" s="11"/>
      <c r="HDX20" s="11"/>
      <c r="HDY20" s="11"/>
      <c r="HDZ20" s="11"/>
      <c r="HEA20" s="11"/>
      <c r="HEB20" s="11"/>
      <c r="HEC20" s="11"/>
      <c r="HED20" s="11"/>
      <c r="HEE20" s="11"/>
      <c r="HEF20" s="11"/>
      <c r="HEG20" s="11"/>
      <c r="HEH20" s="11"/>
      <c r="HEI20" s="11"/>
      <c r="HEJ20" s="11"/>
      <c r="HEK20" s="11"/>
      <c r="HEL20" s="11"/>
      <c r="HEM20" s="11"/>
      <c r="HEN20" s="11"/>
      <c r="HEO20" s="11"/>
      <c r="HEP20" s="11"/>
      <c r="HEQ20" s="11"/>
      <c r="HER20" s="11"/>
      <c r="HES20" s="11"/>
      <c r="HET20" s="11"/>
      <c r="HEU20" s="11"/>
      <c r="HEV20" s="11"/>
      <c r="HEW20" s="11"/>
      <c r="HEX20" s="11"/>
      <c r="HEY20" s="11"/>
      <c r="HEZ20" s="11"/>
      <c r="HFA20" s="11"/>
      <c r="HFB20" s="11"/>
      <c r="HFC20" s="11"/>
      <c r="HFD20" s="11"/>
      <c r="HFE20" s="11"/>
      <c r="HFF20" s="11"/>
      <c r="HFG20" s="11"/>
      <c r="HFH20" s="11"/>
      <c r="HFI20" s="11"/>
      <c r="HFJ20" s="11"/>
      <c r="HFK20" s="11"/>
      <c r="HFL20" s="11"/>
      <c r="HFM20" s="11"/>
      <c r="HFN20" s="11"/>
      <c r="HFO20" s="11"/>
      <c r="HFP20" s="11"/>
      <c r="HFQ20" s="11"/>
      <c r="HFR20" s="11"/>
      <c r="HFS20" s="11"/>
      <c r="HFT20" s="11"/>
      <c r="HFU20" s="11"/>
      <c r="HFV20" s="11"/>
      <c r="HFW20" s="11"/>
      <c r="HFX20" s="11"/>
      <c r="HFY20" s="11"/>
      <c r="HFZ20" s="11"/>
      <c r="HGA20" s="11"/>
      <c r="HGB20" s="11"/>
      <c r="HGC20" s="11"/>
      <c r="HGD20" s="11"/>
      <c r="HGE20" s="11"/>
      <c r="HGF20" s="11"/>
      <c r="HGG20" s="11"/>
      <c r="HGH20" s="11"/>
      <c r="HGI20" s="11"/>
      <c r="HGJ20" s="11"/>
      <c r="HGK20" s="11"/>
      <c r="HGL20" s="11"/>
      <c r="HGM20" s="11"/>
      <c r="HGN20" s="11"/>
      <c r="HGO20" s="11"/>
      <c r="HGP20" s="11"/>
      <c r="HGQ20" s="11"/>
      <c r="HGR20" s="11"/>
      <c r="HGS20" s="11"/>
      <c r="HGT20" s="11"/>
      <c r="HGU20" s="11"/>
      <c r="HGV20" s="11"/>
      <c r="HGW20" s="11"/>
      <c r="HGX20" s="11"/>
      <c r="HGY20" s="11"/>
      <c r="HGZ20" s="11"/>
      <c r="HHA20" s="11"/>
      <c r="HHB20" s="11"/>
      <c r="HHC20" s="11"/>
      <c r="HHD20" s="11"/>
      <c r="HHE20" s="11"/>
      <c r="HHF20" s="11"/>
      <c r="HHG20" s="11"/>
      <c r="HHH20" s="11"/>
      <c r="HHI20" s="11"/>
      <c r="HHJ20" s="11"/>
      <c r="HHK20" s="11"/>
      <c r="HHL20" s="11"/>
      <c r="HHM20" s="11"/>
      <c r="HHN20" s="11"/>
      <c r="HHO20" s="11"/>
      <c r="HHP20" s="11"/>
      <c r="HHQ20" s="11"/>
      <c r="HHR20" s="11"/>
      <c r="HHS20" s="11"/>
      <c r="HHT20" s="11"/>
      <c r="HHU20" s="11"/>
      <c r="HHV20" s="11"/>
      <c r="HHW20" s="11"/>
      <c r="HHX20" s="11"/>
      <c r="HHY20" s="11"/>
      <c r="HHZ20" s="11"/>
      <c r="HIA20" s="11"/>
      <c r="HIB20" s="11"/>
      <c r="HIC20" s="11"/>
      <c r="HID20" s="11"/>
      <c r="HIE20" s="11"/>
      <c r="HIF20" s="11"/>
      <c r="HIG20" s="11"/>
      <c r="HIH20" s="11"/>
      <c r="HII20" s="11"/>
      <c r="HIJ20" s="11"/>
      <c r="HIK20" s="11"/>
      <c r="HIL20" s="11"/>
      <c r="HIM20" s="11"/>
      <c r="HIN20" s="11"/>
      <c r="HIO20" s="11"/>
      <c r="HIP20" s="11"/>
      <c r="HIQ20" s="11"/>
      <c r="HIR20" s="11"/>
      <c r="HIS20" s="11"/>
      <c r="HIT20" s="11"/>
      <c r="HIU20" s="11"/>
      <c r="HIV20" s="11"/>
      <c r="HIW20" s="11"/>
      <c r="HIX20" s="11"/>
      <c r="HIY20" s="11"/>
      <c r="HIZ20" s="11"/>
      <c r="HJA20" s="11"/>
      <c r="HJB20" s="11"/>
      <c r="HJC20" s="11"/>
      <c r="HJD20" s="11"/>
      <c r="HJE20" s="11"/>
      <c r="HJF20" s="11"/>
      <c r="HJG20" s="11"/>
      <c r="HJH20" s="11"/>
      <c r="HJI20" s="11"/>
      <c r="HJJ20" s="11"/>
      <c r="HJK20" s="11"/>
      <c r="HJL20" s="11"/>
      <c r="HJM20" s="11"/>
      <c r="HJN20" s="11"/>
      <c r="HJO20" s="11"/>
      <c r="HJP20" s="11"/>
      <c r="HJQ20" s="11"/>
      <c r="HJR20" s="11"/>
      <c r="HJS20" s="11"/>
      <c r="HJT20" s="11"/>
      <c r="HJU20" s="11"/>
      <c r="HJV20" s="11"/>
      <c r="HJW20" s="11"/>
      <c r="HJX20" s="11"/>
      <c r="HJY20" s="11"/>
      <c r="HJZ20" s="11"/>
      <c r="HKA20" s="11"/>
      <c r="HKB20" s="11"/>
      <c r="HKC20" s="11"/>
      <c r="HKD20" s="11"/>
      <c r="HKE20" s="11"/>
      <c r="HKF20" s="11"/>
      <c r="HKG20" s="11"/>
      <c r="HKH20" s="11"/>
      <c r="HKI20" s="11"/>
      <c r="HKJ20" s="11"/>
      <c r="HKK20" s="11"/>
      <c r="HKL20" s="11"/>
      <c r="HKM20" s="11"/>
      <c r="HKN20" s="11"/>
      <c r="HKO20" s="11"/>
      <c r="HKP20" s="11"/>
      <c r="HKQ20" s="11"/>
      <c r="HKR20" s="11"/>
      <c r="HKS20" s="11"/>
      <c r="HKT20" s="11"/>
      <c r="HKU20" s="11"/>
      <c r="HKV20" s="11"/>
      <c r="HKW20" s="11"/>
      <c r="HKX20" s="11"/>
      <c r="HKY20" s="11"/>
      <c r="HKZ20" s="11"/>
      <c r="HLA20" s="11"/>
      <c r="HLB20" s="11"/>
      <c r="HLC20" s="11"/>
      <c r="HLD20" s="11"/>
      <c r="HLE20" s="11"/>
      <c r="HLF20" s="11"/>
      <c r="HLG20" s="11"/>
      <c r="HLH20" s="11"/>
      <c r="HLI20" s="11"/>
      <c r="HLJ20" s="11"/>
      <c r="HLK20" s="11"/>
      <c r="HLL20" s="11"/>
      <c r="HLM20" s="11"/>
      <c r="HLN20" s="11"/>
      <c r="HLO20" s="11"/>
      <c r="HLP20" s="11"/>
      <c r="HLQ20" s="11"/>
      <c r="HLR20" s="11"/>
      <c r="HLS20" s="11"/>
      <c r="HLT20" s="11"/>
      <c r="HLU20" s="11"/>
      <c r="HLV20" s="11"/>
      <c r="HLW20" s="11"/>
      <c r="HLX20" s="11"/>
      <c r="HLY20" s="11"/>
      <c r="HLZ20" s="11"/>
      <c r="HMA20" s="11"/>
      <c r="HMB20" s="11"/>
      <c r="HMC20" s="11"/>
      <c r="HMD20" s="11"/>
      <c r="HME20" s="11"/>
      <c r="HMF20" s="11"/>
      <c r="HMG20" s="11"/>
      <c r="HMH20" s="11"/>
      <c r="HMI20" s="11"/>
      <c r="HMJ20" s="11"/>
      <c r="HMK20" s="11"/>
      <c r="HML20" s="11"/>
      <c r="HMM20" s="11"/>
      <c r="HMN20" s="11"/>
      <c r="HMO20" s="11"/>
      <c r="HMP20" s="11"/>
      <c r="HMQ20" s="11"/>
      <c r="HMR20" s="11"/>
      <c r="HMS20" s="11"/>
      <c r="HMT20" s="11"/>
      <c r="HMU20" s="11"/>
      <c r="HMV20" s="11"/>
      <c r="HMW20" s="11"/>
      <c r="HMX20" s="11"/>
      <c r="HMY20" s="11"/>
      <c r="HMZ20" s="11"/>
      <c r="HNA20" s="11"/>
      <c r="HNB20" s="11"/>
      <c r="HNC20" s="11"/>
      <c r="HND20" s="11"/>
      <c r="HNE20" s="11"/>
      <c r="HNF20" s="11"/>
      <c r="HNG20" s="11"/>
      <c r="HNH20" s="11"/>
      <c r="HNI20" s="11"/>
      <c r="HNJ20" s="11"/>
      <c r="HNK20" s="11"/>
      <c r="HNL20" s="11"/>
      <c r="HNM20" s="11"/>
      <c r="HNN20" s="11"/>
      <c r="HNO20" s="11"/>
      <c r="HNP20" s="11"/>
      <c r="HNQ20" s="11"/>
      <c r="HNR20" s="11"/>
      <c r="HNS20" s="11"/>
      <c r="HNT20" s="11"/>
      <c r="HNU20" s="11"/>
      <c r="HNV20" s="11"/>
      <c r="HNW20" s="11"/>
      <c r="HNX20" s="11"/>
      <c r="HNY20" s="11"/>
      <c r="HNZ20" s="11"/>
      <c r="HOA20" s="11"/>
      <c r="HOB20" s="11"/>
      <c r="HOC20" s="11"/>
      <c r="HOD20" s="11"/>
      <c r="HOE20" s="11"/>
      <c r="HOF20" s="11"/>
      <c r="HOG20" s="11"/>
      <c r="HOH20" s="11"/>
      <c r="HOI20" s="11"/>
      <c r="HOJ20" s="11"/>
      <c r="HOK20" s="11"/>
      <c r="HOL20" s="11"/>
      <c r="HOM20" s="11"/>
      <c r="HON20" s="11"/>
      <c r="HOO20" s="11"/>
      <c r="HOP20" s="11"/>
      <c r="HOQ20" s="11"/>
      <c r="HOR20" s="11"/>
      <c r="HOS20" s="11"/>
      <c r="HOT20" s="11"/>
      <c r="HOU20" s="11"/>
      <c r="HOV20" s="11"/>
      <c r="HOW20" s="11"/>
      <c r="HOX20" s="11"/>
      <c r="HOY20" s="11"/>
      <c r="HOZ20" s="11"/>
      <c r="HPA20" s="11"/>
      <c r="HPB20" s="11"/>
      <c r="HPC20" s="11"/>
      <c r="HPD20" s="11"/>
      <c r="HPE20" s="11"/>
      <c r="HPF20" s="11"/>
      <c r="HPG20" s="11"/>
      <c r="HPH20" s="11"/>
      <c r="HPI20" s="11"/>
      <c r="HPJ20" s="11"/>
      <c r="HPK20" s="11"/>
      <c r="HPL20" s="11"/>
      <c r="HPM20" s="11"/>
      <c r="HPN20" s="11"/>
      <c r="HPO20" s="11"/>
      <c r="HPP20" s="11"/>
      <c r="HPQ20" s="11"/>
      <c r="HPR20" s="11"/>
      <c r="HPS20" s="11"/>
      <c r="HPT20" s="11"/>
      <c r="HPU20" s="11"/>
      <c r="HPV20" s="11"/>
      <c r="HPW20" s="11"/>
      <c r="HPX20" s="11"/>
      <c r="HPY20" s="11"/>
      <c r="HPZ20" s="11"/>
      <c r="HQA20" s="11"/>
      <c r="HQB20" s="11"/>
      <c r="HQC20" s="11"/>
      <c r="HQD20" s="11"/>
      <c r="HQE20" s="11"/>
      <c r="HQF20" s="11"/>
      <c r="HQG20" s="11"/>
      <c r="HQH20" s="11"/>
      <c r="HQI20" s="11"/>
      <c r="HQJ20" s="11"/>
      <c r="HQK20" s="11"/>
      <c r="HQL20" s="11"/>
      <c r="HQM20" s="11"/>
      <c r="HQN20" s="11"/>
      <c r="HQO20" s="11"/>
      <c r="HQP20" s="11"/>
      <c r="HQQ20" s="11"/>
      <c r="HQR20" s="11"/>
      <c r="HQS20" s="11"/>
      <c r="HQT20" s="11"/>
      <c r="HQU20" s="11"/>
      <c r="HQV20" s="11"/>
      <c r="HQW20" s="11"/>
      <c r="HQX20" s="11"/>
      <c r="HQY20" s="11"/>
      <c r="HQZ20" s="11"/>
      <c r="HRA20" s="11"/>
      <c r="HRB20" s="11"/>
      <c r="HRC20" s="11"/>
      <c r="HRD20" s="11"/>
      <c r="HRE20" s="11"/>
      <c r="HRF20" s="11"/>
      <c r="HRG20" s="11"/>
      <c r="HRH20" s="11"/>
      <c r="HRI20" s="11"/>
      <c r="HRJ20" s="11"/>
      <c r="HRK20" s="11"/>
      <c r="HRL20" s="11"/>
      <c r="HRM20" s="11"/>
      <c r="HRN20" s="11"/>
      <c r="HRO20" s="11"/>
      <c r="HRP20" s="11"/>
      <c r="HRQ20" s="11"/>
      <c r="HRR20" s="11"/>
      <c r="HRS20" s="11"/>
      <c r="HRT20" s="11"/>
      <c r="HRU20" s="11"/>
      <c r="HRV20" s="11"/>
      <c r="HRW20" s="11"/>
      <c r="HRX20" s="11"/>
      <c r="HRY20" s="11"/>
      <c r="HRZ20" s="11"/>
      <c r="HSA20" s="11"/>
      <c r="HSB20" s="11"/>
      <c r="HSC20" s="11"/>
      <c r="HSD20" s="11"/>
      <c r="HSE20" s="11"/>
      <c r="HSF20" s="11"/>
      <c r="HSG20" s="11"/>
      <c r="HSH20" s="11"/>
      <c r="HSI20" s="11"/>
      <c r="HSJ20" s="11"/>
      <c r="HSK20" s="11"/>
      <c r="HSL20" s="11"/>
      <c r="HSM20" s="11"/>
      <c r="HSN20" s="11"/>
      <c r="HSO20" s="11"/>
      <c r="HSP20" s="11"/>
      <c r="HSQ20" s="11"/>
      <c r="HSR20" s="11"/>
      <c r="HSS20" s="11"/>
      <c r="HST20" s="11"/>
      <c r="HSU20" s="11"/>
      <c r="HSV20" s="11"/>
      <c r="HSW20" s="11"/>
      <c r="HSX20" s="11"/>
      <c r="HSY20" s="11"/>
      <c r="HSZ20" s="11"/>
      <c r="HTA20" s="11"/>
      <c r="HTB20" s="11"/>
      <c r="HTC20" s="11"/>
      <c r="HTD20" s="11"/>
      <c r="HTE20" s="11"/>
      <c r="HTF20" s="11"/>
      <c r="HTG20" s="11"/>
      <c r="HTH20" s="11"/>
      <c r="HTI20" s="11"/>
      <c r="HTJ20" s="11"/>
      <c r="HTK20" s="11"/>
      <c r="HTL20" s="11"/>
      <c r="HTM20" s="11"/>
      <c r="HTN20" s="11"/>
      <c r="HTO20" s="11"/>
      <c r="HTP20" s="11"/>
      <c r="HTQ20" s="11"/>
      <c r="HTR20" s="11"/>
      <c r="HTS20" s="11"/>
      <c r="HTT20" s="11"/>
      <c r="HTU20" s="11"/>
      <c r="HTV20" s="11"/>
      <c r="HTW20" s="11"/>
      <c r="HTX20" s="11"/>
      <c r="HTY20" s="11"/>
      <c r="HTZ20" s="11"/>
      <c r="HUA20" s="11"/>
      <c r="HUB20" s="11"/>
      <c r="HUC20" s="11"/>
      <c r="HUD20" s="11"/>
      <c r="HUE20" s="11"/>
      <c r="HUF20" s="11"/>
      <c r="HUG20" s="11"/>
      <c r="HUH20" s="11"/>
      <c r="HUI20" s="11"/>
      <c r="HUJ20" s="11"/>
      <c r="HUK20" s="11"/>
      <c r="HUL20" s="11"/>
      <c r="HUM20" s="11"/>
      <c r="HUN20" s="11"/>
      <c r="HUO20" s="11"/>
      <c r="HUP20" s="11"/>
      <c r="HUQ20" s="11"/>
      <c r="HUR20" s="11"/>
      <c r="HUS20" s="11"/>
      <c r="HUT20" s="11"/>
      <c r="HUU20" s="11"/>
      <c r="HUV20" s="11"/>
      <c r="HUW20" s="11"/>
      <c r="HUX20" s="11"/>
      <c r="HUY20" s="11"/>
      <c r="HUZ20" s="11"/>
      <c r="HVA20" s="11"/>
      <c r="HVB20" s="11"/>
      <c r="HVC20" s="11"/>
      <c r="HVD20" s="11"/>
      <c r="HVE20" s="11"/>
      <c r="HVF20" s="11"/>
      <c r="HVG20" s="11"/>
      <c r="HVH20" s="11"/>
      <c r="HVI20" s="11"/>
      <c r="HVJ20" s="11"/>
      <c r="HVK20" s="11"/>
      <c r="HVL20" s="11"/>
      <c r="HVM20" s="11"/>
      <c r="HVN20" s="11"/>
      <c r="HVO20" s="11"/>
      <c r="HVP20" s="11"/>
      <c r="HVQ20" s="11"/>
      <c r="HVR20" s="11"/>
      <c r="HVS20" s="11"/>
      <c r="HVT20" s="11"/>
      <c r="HVU20" s="11"/>
      <c r="HVV20" s="11"/>
      <c r="HVW20" s="11"/>
      <c r="HVX20" s="11"/>
      <c r="HVY20" s="11"/>
      <c r="HVZ20" s="11"/>
      <c r="HWA20" s="11"/>
      <c r="HWB20" s="11"/>
      <c r="HWC20" s="11"/>
      <c r="HWD20" s="11"/>
      <c r="HWE20" s="11"/>
      <c r="HWF20" s="11"/>
      <c r="HWG20" s="11"/>
      <c r="HWH20" s="11"/>
      <c r="HWI20" s="11"/>
      <c r="HWJ20" s="11"/>
      <c r="HWK20" s="11"/>
      <c r="HWL20" s="11"/>
      <c r="HWM20" s="11"/>
      <c r="HWN20" s="11"/>
      <c r="HWO20" s="11"/>
      <c r="HWP20" s="11"/>
      <c r="HWQ20" s="11"/>
      <c r="HWR20" s="11"/>
      <c r="HWS20" s="11"/>
      <c r="HWT20" s="11"/>
      <c r="HWU20" s="11"/>
      <c r="HWV20" s="11"/>
      <c r="HWW20" s="11"/>
      <c r="HWX20" s="11"/>
      <c r="HWY20" s="11"/>
      <c r="HWZ20" s="11"/>
      <c r="HXA20" s="11"/>
      <c r="HXB20" s="11"/>
      <c r="HXC20" s="11"/>
      <c r="HXD20" s="11"/>
      <c r="HXE20" s="11"/>
      <c r="HXF20" s="11"/>
      <c r="HXG20" s="11"/>
      <c r="HXH20" s="11"/>
      <c r="HXI20" s="11"/>
      <c r="HXJ20" s="11"/>
      <c r="HXK20" s="11"/>
      <c r="HXL20" s="11"/>
      <c r="HXM20" s="11"/>
      <c r="HXN20" s="11"/>
      <c r="HXO20" s="11"/>
      <c r="HXP20" s="11"/>
      <c r="HXQ20" s="11"/>
      <c r="HXR20" s="11"/>
      <c r="HXS20" s="11"/>
      <c r="HXT20" s="11"/>
      <c r="HXU20" s="11"/>
      <c r="HXV20" s="11"/>
      <c r="HXW20" s="11"/>
      <c r="HXX20" s="11"/>
      <c r="HXY20" s="11"/>
      <c r="HXZ20" s="11"/>
      <c r="HYA20" s="11"/>
      <c r="HYB20" s="11"/>
      <c r="HYC20" s="11"/>
      <c r="HYD20" s="11"/>
      <c r="HYE20" s="11"/>
      <c r="HYF20" s="11"/>
      <c r="HYG20" s="11"/>
      <c r="HYH20" s="11"/>
      <c r="HYI20" s="11"/>
      <c r="HYJ20" s="11"/>
      <c r="HYK20" s="11"/>
      <c r="HYL20" s="11"/>
      <c r="HYM20" s="11"/>
      <c r="HYN20" s="11"/>
      <c r="HYO20" s="11"/>
      <c r="HYP20" s="11"/>
      <c r="HYQ20" s="11"/>
      <c r="HYR20" s="11"/>
      <c r="HYS20" s="11"/>
      <c r="HYT20" s="11"/>
      <c r="HYU20" s="11"/>
      <c r="HYV20" s="11"/>
      <c r="HYW20" s="11"/>
      <c r="HYX20" s="11"/>
      <c r="HYY20" s="11"/>
      <c r="HYZ20" s="11"/>
      <c r="HZA20" s="11"/>
      <c r="HZB20" s="11"/>
      <c r="HZC20" s="11"/>
      <c r="HZD20" s="11"/>
      <c r="HZE20" s="11"/>
      <c r="HZF20" s="11"/>
      <c r="HZG20" s="11"/>
      <c r="HZH20" s="11"/>
      <c r="HZI20" s="11"/>
      <c r="HZJ20" s="11"/>
      <c r="HZK20" s="11"/>
      <c r="HZL20" s="11"/>
      <c r="HZM20" s="11"/>
      <c r="HZN20" s="11"/>
      <c r="HZO20" s="11"/>
      <c r="HZP20" s="11"/>
      <c r="HZQ20" s="11"/>
      <c r="HZR20" s="11"/>
      <c r="HZS20" s="11"/>
      <c r="HZT20" s="11"/>
      <c r="HZU20" s="11"/>
      <c r="HZV20" s="11"/>
      <c r="HZW20" s="11"/>
      <c r="HZX20" s="11"/>
      <c r="HZY20" s="11"/>
      <c r="HZZ20" s="11"/>
      <c r="IAA20" s="11"/>
      <c r="IAB20" s="11"/>
      <c r="IAC20" s="11"/>
      <c r="IAD20" s="11"/>
      <c r="IAE20" s="11"/>
      <c r="IAF20" s="11"/>
      <c r="IAG20" s="11"/>
      <c r="IAH20" s="11"/>
      <c r="IAI20" s="11"/>
      <c r="IAJ20" s="11"/>
      <c r="IAK20" s="11"/>
      <c r="IAL20" s="11"/>
      <c r="IAM20" s="11"/>
      <c r="IAN20" s="11"/>
      <c r="IAO20" s="11"/>
      <c r="IAP20" s="11"/>
      <c r="IAQ20" s="11"/>
      <c r="IAR20" s="11"/>
      <c r="IAS20" s="11"/>
      <c r="IAT20" s="11"/>
      <c r="IAU20" s="11"/>
      <c r="IAV20" s="11"/>
      <c r="IAW20" s="11"/>
      <c r="IAX20" s="11"/>
      <c r="IAY20" s="11"/>
      <c r="IAZ20" s="11"/>
      <c r="IBA20" s="11"/>
      <c r="IBB20" s="11"/>
      <c r="IBC20" s="11"/>
      <c r="IBD20" s="11"/>
      <c r="IBE20" s="11"/>
      <c r="IBF20" s="11"/>
      <c r="IBG20" s="11"/>
      <c r="IBH20" s="11"/>
      <c r="IBI20" s="11"/>
      <c r="IBJ20" s="11"/>
      <c r="IBK20" s="11"/>
      <c r="IBL20" s="11"/>
      <c r="IBM20" s="11"/>
      <c r="IBN20" s="11"/>
      <c r="IBO20" s="11"/>
      <c r="IBP20" s="11"/>
      <c r="IBQ20" s="11"/>
      <c r="IBR20" s="11"/>
      <c r="IBS20" s="11"/>
      <c r="IBT20" s="11"/>
      <c r="IBU20" s="11"/>
      <c r="IBV20" s="11"/>
      <c r="IBW20" s="11"/>
      <c r="IBX20" s="11"/>
      <c r="IBY20" s="11"/>
      <c r="IBZ20" s="11"/>
      <c r="ICA20" s="11"/>
      <c r="ICB20" s="11"/>
      <c r="ICC20" s="11"/>
      <c r="ICD20" s="11"/>
      <c r="ICE20" s="11"/>
      <c r="ICF20" s="11"/>
      <c r="ICG20" s="11"/>
      <c r="ICH20" s="11"/>
      <c r="ICI20" s="11"/>
      <c r="ICJ20" s="11"/>
      <c r="ICK20" s="11"/>
      <c r="ICL20" s="11"/>
      <c r="ICM20" s="11"/>
      <c r="ICN20" s="11"/>
      <c r="ICO20" s="11"/>
      <c r="ICP20" s="11"/>
      <c r="ICQ20" s="11"/>
      <c r="ICR20" s="11"/>
      <c r="ICS20" s="11"/>
      <c r="ICT20" s="11"/>
      <c r="ICU20" s="11"/>
      <c r="ICV20" s="11"/>
      <c r="ICW20" s="11"/>
      <c r="ICX20" s="11"/>
      <c r="ICY20" s="11"/>
      <c r="ICZ20" s="11"/>
      <c r="IDA20" s="11"/>
      <c r="IDB20" s="11"/>
      <c r="IDC20" s="11"/>
      <c r="IDD20" s="11"/>
      <c r="IDE20" s="11"/>
      <c r="IDF20" s="11"/>
      <c r="IDG20" s="11"/>
      <c r="IDH20" s="11"/>
      <c r="IDI20" s="11"/>
      <c r="IDJ20" s="11"/>
      <c r="IDK20" s="11"/>
      <c r="IDL20" s="11"/>
      <c r="IDM20" s="11"/>
      <c r="IDN20" s="11"/>
      <c r="IDO20" s="11"/>
      <c r="IDP20" s="11"/>
      <c r="IDQ20" s="11"/>
      <c r="IDR20" s="11"/>
      <c r="IDS20" s="11"/>
      <c r="IDT20" s="11"/>
      <c r="IDU20" s="11"/>
      <c r="IDV20" s="11"/>
      <c r="IDW20" s="11"/>
      <c r="IDX20" s="11"/>
      <c r="IDY20" s="11"/>
      <c r="IDZ20" s="11"/>
      <c r="IEA20" s="11"/>
      <c r="IEB20" s="11"/>
      <c r="IEC20" s="11"/>
      <c r="IED20" s="11"/>
      <c r="IEE20" s="11"/>
      <c r="IEF20" s="11"/>
      <c r="IEG20" s="11"/>
      <c r="IEH20" s="11"/>
      <c r="IEI20" s="11"/>
      <c r="IEJ20" s="11"/>
      <c r="IEK20" s="11"/>
      <c r="IEL20" s="11"/>
      <c r="IEM20" s="11"/>
      <c r="IEN20" s="11"/>
      <c r="IEO20" s="11"/>
      <c r="IEP20" s="11"/>
      <c r="IEQ20" s="11"/>
      <c r="IER20" s="11"/>
      <c r="IES20" s="11"/>
      <c r="IET20" s="11"/>
      <c r="IEU20" s="11"/>
      <c r="IEV20" s="11"/>
      <c r="IEW20" s="11"/>
      <c r="IEX20" s="11"/>
      <c r="IEY20" s="11"/>
      <c r="IEZ20" s="11"/>
      <c r="IFA20" s="11"/>
      <c r="IFB20" s="11"/>
      <c r="IFC20" s="11"/>
      <c r="IFD20" s="11"/>
      <c r="IFE20" s="11"/>
      <c r="IFF20" s="11"/>
      <c r="IFG20" s="11"/>
      <c r="IFH20" s="11"/>
      <c r="IFI20" s="11"/>
      <c r="IFJ20" s="11"/>
      <c r="IFK20" s="11"/>
      <c r="IFL20" s="11"/>
      <c r="IFM20" s="11"/>
      <c r="IFN20" s="11"/>
      <c r="IFO20" s="11"/>
      <c r="IFP20" s="11"/>
      <c r="IFQ20" s="11"/>
      <c r="IFR20" s="11"/>
      <c r="IFS20" s="11"/>
      <c r="IFT20" s="11"/>
      <c r="IFU20" s="11"/>
      <c r="IFV20" s="11"/>
      <c r="IFW20" s="11"/>
      <c r="IFX20" s="11"/>
      <c r="IFY20" s="11"/>
      <c r="IFZ20" s="11"/>
      <c r="IGA20" s="11"/>
      <c r="IGB20" s="11"/>
      <c r="IGC20" s="11"/>
      <c r="IGD20" s="11"/>
      <c r="IGE20" s="11"/>
      <c r="IGF20" s="11"/>
      <c r="IGG20" s="11"/>
      <c r="IGH20" s="11"/>
      <c r="IGI20" s="11"/>
      <c r="IGJ20" s="11"/>
      <c r="IGK20" s="11"/>
      <c r="IGL20" s="11"/>
      <c r="IGM20" s="11"/>
      <c r="IGN20" s="11"/>
      <c r="IGO20" s="11"/>
      <c r="IGP20" s="11"/>
      <c r="IGQ20" s="11"/>
      <c r="IGR20" s="11"/>
      <c r="IGS20" s="11"/>
      <c r="IGT20" s="11"/>
      <c r="IGU20" s="11"/>
      <c r="IGV20" s="11"/>
      <c r="IGW20" s="11"/>
      <c r="IGX20" s="11"/>
      <c r="IGY20" s="11"/>
      <c r="IGZ20" s="11"/>
      <c r="IHA20" s="11"/>
      <c r="IHB20" s="11"/>
      <c r="IHC20" s="11"/>
      <c r="IHD20" s="11"/>
      <c r="IHE20" s="11"/>
      <c r="IHF20" s="11"/>
      <c r="IHG20" s="11"/>
      <c r="IHH20" s="11"/>
      <c r="IHI20" s="11"/>
      <c r="IHJ20" s="11"/>
      <c r="IHK20" s="11"/>
      <c r="IHL20" s="11"/>
      <c r="IHM20" s="11"/>
      <c r="IHN20" s="11"/>
      <c r="IHO20" s="11"/>
      <c r="IHP20" s="11"/>
      <c r="IHQ20" s="11"/>
      <c r="IHR20" s="11"/>
      <c r="IHS20" s="11"/>
      <c r="IHT20" s="11"/>
      <c r="IHU20" s="11"/>
      <c r="IHV20" s="11"/>
      <c r="IHW20" s="11"/>
      <c r="IHX20" s="11"/>
      <c r="IHY20" s="11"/>
      <c r="IHZ20" s="11"/>
      <c r="IIA20" s="11"/>
      <c r="IIB20" s="11"/>
      <c r="IIC20" s="11"/>
      <c r="IID20" s="11"/>
      <c r="IIE20" s="11"/>
      <c r="IIF20" s="11"/>
      <c r="IIG20" s="11"/>
      <c r="IIH20" s="11"/>
      <c r="III20" s="11"/>
      <c r="IIJ20" s="11"/>
      <c r="IIK20" s="11"/>
      <c r="IIL20" s="11"/>
      <c r="IIM20" s="11"/>
      <c r="IIN20" s="11"/>
      <c r="IIO20" s="11"/>
      <c r="IIP20" s="11"/>
      <c r="IIQ20" s="11"/>
      <c r="IIR20" s="11"/>
      <c r="IIS20" s="11"/>
      <c r="IIT20" s="11"/>
      <c r="IIU20" s="11"/>
      <c r="IIV20" s="11"/>
      <c r="IIW20" s="11"/>
      <c r="IIX20" s="11"/>
      <c r="IIY20" s="11"/>
      <c r="IIZ20" s="11"/>
      <c r="IJA20" s="11"/>
      <c r="IJB20" s="11"/>
      <c r="IJC20" s="11"/>
      <c r="IJD20" s="11"/>
      <c r="IJE20" s="11"/>
      <c r="IJF20" s="11"/>
      <c r="IJG20" s="11"/>
      <c r="IJH20" s="11"/>
      <c r="IJI20" s="11"/>
      <c r="IJJ20" s="11"/>
      <c r="IJK20" s="11"/>
      <c r="IJL20" s="11"/>
      <c r="IJM20" s="11"/>
      <c r="IJN20" s="11"/>
      <c r="IJO20" s="11"/>
      <c r="IJP20" s="11"/>
      <c r="IJQ20" s="11"/>
      <c r="IJR20" s="11"/>
      <c r="IJS20" s="11"/>
      <c r="IJT20" s="11"/>
      <c r="IJU20" s="11"/>
      <c r="IJV20" s="11"/>
      <c r="IJW20" s="11"/>
      <c r="IJX20" s="11"/>
      <c r="IJY20" s="11"/>
      <c r="IJZ20" s="11"/>
      <c r="IKA20" s="11"/>
      <c r="IKB20" s="11"/>
      <c r="IKC20" s="11"/>
      <c r="IKD20" s="11"/>
      <c r="IKE20" s="11"/>
      <c r="IKF20" s="11"/>
      <c r="IKG20" s="11"/>
      <c r="IKH20" s="11"/>
      <c r="IKI20" s="11"/>
      <c r="IKJ20" s="11"/>
      <c r="IKK20" s="11"/>
      <c r="IKL20" s="11"/>
      <c r="IKM20" s="11"/>
      <c r="IKN20" s="11"/>
      <c r="IKO20" s="11"/>
      <c r="IKP20" s="11"/>
      <c r="IKQ20" s="11"/>
      <c r="IKR20" s="11"/>
      <c r="IKS20" s="11"/>
      <c r="IKT20" s="11"/>
      <c r="IKU20" s="11"/>
      <c r="IKV20" s="11"/>
      <c r="IKW20" s="11"/>
      <c r="IKX20" s="11"/>
      <c r="IKY20" s="11"/>
      <c r="IKZ20" s="11"/>
      <c r="ILA20" s="11"/>
      <c r="ILB20" s="11"/>
      <c r="ILC20" s="11"/>
      <c r="ILD20" s="11"/>
      <c r="ILE20" s="11"/>
      <c r="ILF20" s="11"/>
      <c r="ILG20" s="11"/>
      <c r="ILH20" s="11"/>
      <c r="ILI20" s="11"/>
      <c r="ILJ20" s="11"/>
      <c r="ILK20" s="11"/>
      <c r="ILL20" s="11"/>
      <c r="ILM20" s="11"/>
      <c r="ILN20" s="11"/>
      <c r="ILO20" s="11"/>
      <c r="ILP20" s="11"/>
      <c r="ILQ20" s="11"/>
      <c r="ILR20" s="11"/>
      <c r="ILS20" s="11"/>
      <c r="ILT20" s="11"/>
      <c r="ILU20" s="11"/>
      <c r="ILV20" s="11"/>
      <c r="ILW20" s="11"/>
      <c r="ILX20" s="11"/>
      <c r="ILY20" s="11"/>
      <c r="ILZ20" s="11"/>
      <c r="IMA20" s="11"/>
      <c r="IMB20" s="11"/>
      <c r="IMC20" s="11"/>
      <c r="IMD20" s="11"/>
      <c r="IME20" s="11"/>
      <c r="IMF20" s="11"/>
      <c r="IMG20" s="11"/>
      <c r="IMH20" s="11"/>
      <c r="IMI20" s="11"/>
      <c r="IMJ20" s="11"/>
      <c r="IMK20" s="11"/>
      <c r="IML20" s="11"/>
      <c r="IMM20" s="11"/>
      <c r="IMN20" s="11"/>
      <c r="IMO20" s="11"/>
      <c r="IMP20" s="11"/>
      <c r="IMQ20" s="11"/>
      <c r="IMR20" s="11"/>
      <c r="IMS20" s="11"/>
      <c r="IMT20" s="11"/>
      <c r="IMU20" s="11"/>
      <c r="IMV20" s="11"/>
      <c r="IMW20" s="11"/>
      <c r="IMX20" s="11"/>
      <c r="IMY20" s="11"/>
      <c r="IMZ20" s="11"/>
      <c r="INA20" s="11"/>
      <c r="INB20" s="11"/>
      <c r="INC20" s="11"/>
      <c r="IND20" s="11"/>
      <c r="INE20" s="11"/>
      <c r="INF20" s="11"/>
      <c r="ING20" s="11"/>
      <c r="INH20" s="11"/>
      <c r="INI20" s="11"/>
      <c r="INJ20" s="11"/>
      <c r="INK20" s="11"/>
      <c r="INL20" s="11"/>
      <c r="INM20" s="11"/>
      <c r="INN20" s="11"/>
      <c r="INO20" s="11"/>
      <c r="INP20" s="11"/>
      <c r="INQ20" s="11"/>
      <c r="INR20" s="11"/>
      <c r="INS20" s="11"/>
      <c r="INT20" s="11"/>
      <c r="INU20" s="11"/>
      <c r="INV20" s="11"/>
      <c r="INW20" s="11"/>
      <c r="INX20" s="11"/>
      <c r="INY20" s="11"/>
      <c r="INZ20" s="11"/>
      <c r="IOA20" s="11"/>
      <c r="IOB20" s="11"/>
      <c r="IOC20" s="11"/>
      <c r="IOD20" s="11"/>
      <c r="IOE20" s="11"/>
      <c r="IOF20" s="11"/>
      <c r="IOG20" s="11"/>
      <c r="IOH20" s="11"/>
      <c r="IOI20" s="11"/>
      <c r="IOJ20" s="11"/>
      <c r="IOK20" s="11"/>
      <c r="IOL20" s="11"/>
      <c r="IOM20" s="11"/>
      <c r="ION20" s="11"/>
      <c r="IOO20" s="11"/>
      <c r="IOP20" s="11"/>
      <c r="IOQ20" s="11"/>
      <c r="IOR20" s="11"/>
      <c r="IOS20" s="11"/>
      <c r="IOT20" s="11"/>
      <c r="IOU20" s="11"/>
      <c r="IOV20" s="11"/>
      <c r="IOW20" s="11"/>
      <c r="IOX20" s="11"/>
      <c r="IOY20" s="11"/>
      <c r="IOZ20" s="11"/>
      <c r="IPA20" s="11"/>
      <c r="IPB20" s="11"/>
      <c r="IPC20" s="11"/>
      <c r="IPD20" s="11"/>
      <c r="IPE20" s="11"/>
      <c r="IPF20" s="11"/>
      <c r="IPG20" s="11"/>
      <c r="IPH20" s="11"/>
      <c r="IPI20" s="11"/>
      <c r="IPJ20" s="11"/>
      <c r="IPK20" s="11"/>
      <c r="IPL20" s="11"/>
      <c r="IPM20" s="11"/>
      <c r="IPN20" s="11"/>
      <c r="IPO20" s="11"/>
      <c r="IPP20" s="11"/>
      <c r="IPQ20" s="11"/>
      <c r="IPR20" s="11"/>
      <c r="IPS20" s="11"/>
      <c r="IPT20" s="11"/>
      <c r="IPU20" s="11"/>
      <c r="IPV20" s="11"/>
      <c r="IPW20" s="11"/>
      <c r="IPX20" s="11"/>
      <c r="IPY20" s="11"/>
      <c r="IPZ20" s="11"/>
      <c r="IQA20" s="11"/>
      <c r="IQB20" s="11"/>
      <c r="IQC20" s="11"/>
      <c r="IQD20" s="11"/>
      <c r="IQE20" s="11"/>
      <c r="IQF20" s="11"/>
      <c r="IQG20" s="11"/>
      <c r="IQH20" s="11"/>
      <c r="IQI20" s="11"/>
      <c r="IQJ20" s="11"/>
      <c r="IQK20" s="11"/>
      <c r="IQL20" s="11"/>
      <c r="IQM20" s="11"/>
      <c r="IQN20" s="11"/>
      <c r="IQO20" s="11"/>
      <c r="IQP20" s="11"/>
      <c r="IQQ20" s="11"/>
      <c r="IQR20" s="11"/>
      <c r="IQS20" s="11"/>
      <c r="IQT20" s="11"/>
      <c r="IQU20" s="11"/>
      <c r="IQV20" s="11"/>
      <c r="IQW20" s="11"/>
      <c r="IQX20" s="11"/>
      <c r="IQY20" s="11"/>
      <c r="IQZ20" s="11"/>
      <c r="IRA20" s="11"/>
      <c r="IRB20" s="11"/>
      <c r="IRC20" s="11"/>
      <c r="IRD20" s="11"/>
      <c r="IRE20" s="11"/>
      <c r="IRF20" s="11"/>
      <c r="IRG20" s="11"/>
      <c r="IRH20" s="11"/>
      <c r="IRI20" s="11"/>
      <c r="IRJ20" s="11"/>
      <c r="IRK20" s="11"/>
      <c r="IRL20" s="11"/>
      <c r="IRM20" s="11"/>
      <c r="IRN20" s="11"/>
      <c r="IRO20" s="11"/>
      <c r="IRP20" s="11"/>
      <c r="IRQ20" s="11"/>
      <c r="IRR20" s="11"/>
      <c r="IRS20" s="11"/>
      <c r="IRT20" s="11"/>
      <c r="IRU20" s="11"/>
      <c r="IRV20" s="11"/>
      <c r="IRW20" s="11"/>
      <c r="IRX20" s="11"/>
      <c r="IRY20" s="11"/>
      <c r="IRZ20" s="11"/>
      <c r="ISA20" s="11"/>
      <c r="ISB20" s="11"/>
      <c r="ISC20" s="11"/>
      <c r="ISD20" s="11"/>
      <c r="ISE20" s="11"/>
      <c r="ISF20" s="11"/>
      <c r="ISG20" s="11"/>
      <c r="ISH20" s="11"/>
      <c r="ISI20" s="11"/>
      <c r="ISJ20" s="11"/>
      <c r="ISK20" s="11"/>
      <c r="ISL20" s="11"/>
      <c r="ISM20" s="11"/>
      <c r="ISN20" s="11"/>
      <c r="ISO20" s="11"/>
      <c r="ISP20" s="11"/>
      <c r="ISQ20" s="11"/>
      <c r="ISR20" s="11"/>
      <c r="ISS20" s="11"/>
      <c r="IST20" s="11"/>
      <c r="ISU20" s="11"/>
      <c r="ISV20" s="11"/>
      <c r="ISW20" s="11"/>
      <c r="ISX20" s="11"/>
      <c r="ISY20" s="11"/>
      <c r="ISZ20" s="11"/>
      <c r="ITA20" s="11"/>
      <c r="ITB20" s="11"/>
      <c r="ITC20" s="11"/>
      <c r="ITD20" s="11"/>
      <c r="ITE20" s="11"/>
      <c r="ITF20" s="11"/>
      <c r="ITG20" s="11"/>
      <c r="ITH20" s="11"/>
      <c r="ITI20" s="11"/>
      <c r="ITJ20" s="11"/>
      <c r="ITK20" s="11"/>
      <c r="ITL20" s="11"/>
      <c r="ITM20" s="11"/>
      <c r="ITN20" s="11"/>
      <c r="ITO20" s="11"/>
      <c r="ITP20" s="11"/>
      <c r="ITQ20" s="11"/>
      <c r="ITR20" s="11"/>
      <c r="ITS20" s="11"/>
      <c r="ITT20" s="11"/>
      <c r="ITU20" s="11"/>
      <c r="ITV20" s="11"/>
      <c r="ITW20" s="11"/>
      <c r="ITX20" s="11"/>
      <c r="ITY20" s="11"/>
      <c r="ITZ20" s="11"/>
      <c r="IUA20" s="11"/>
      <c r="IUB20" s="11"/>
      <c r="IUC20" s="11"/>
      <c r="IUD20" s="11"/>
      <c r="IUE20" s="11"/>
      <c r="IUF20" s="11"/>
      <c r="IUG20" s="11"/>
      <c r="IUH20" s="11"/>
      <c r="IUI20" s="11"/>
      <c r="IUJ20" s="11"/>
      <c r="IUK20" s="11"/>
      <c r="IUL20" s="11"/>
      <c r="IUM20" s="11"/>
      <c r="IUN20" s="11"/>
      <c r="IUO20" s="11"/>
      <c r="IUP20" s="11"/>
      <c r="IUQ20" s="11"/>
      <c r="IUR20" s="11"/>
      <c r="IUS20" s="11"/>
      <c r="IUT20" s="11"/>
      <c r="IUU20" s="11"/>
      <c r="IUV20" s="11"/>
      <c r="IUW20" s="11"/>
      <c r="IUX20" s="11"/>
      <c r="IUY20" s="11"/>
      <c r="IUZ20" s="11"/>
      <c r="IVA20" s="11"/>
      <c r="IVB20" s="11"/>
      <c r="IVC20" s="11"/>
      <c r="IVD20" s="11"/>
      <c r="IVE20" s="11"/>
      <c r="IVF20" s="11"/>
      <c r="IVG20" s="11"/>
      <c r="IVH20" s="11"/>
      <c r="IVI20" s="11"/>
      <c r="IVJ20" s="11"/>
      <c r="IVK20" s="11"/>
      <c r="IVL20" s="11"/>
      <c r="IVM20" s="11"/>
      <c r="IVN20" s="11"/>
      <c r="IVO20" s="11"/>
      <c r="IVP20" s="11"/>
      <c r="IVQ20" s="11"/>
      <c r="IVR20" s="11"/>
      <c r="IVS20" s="11"/>
      <c r="IVT20" s="11"/>
      <c r="IVU20" s="11"/>
      <c r="IVV20" s="11"/>
      <c r="IVW20" s="11"/>
      <c r="IVX20" s="11"/>
      <c r="IVY20" s="11"/>
      <c r="IVZ20" s="11"/>
      <c r="IWA20" s="11"/>
      <c r="IWB20" s="11"/>
      <c r="IWC20" s="11"/>
      <c r="IWD20" s="11"/>
      <c r="IWE20" s="11"/>
      <c r="IWF20" s="11"/>
      <c r="IWG20" s="11"/>
      <c r="IWH20" s="11"/>
      <c r="IWI20" s="11"/>
      <c r="IWJ20" s="11"/>
      <c r="IWK20" s="11"/>
      <c r="IWL20" s="11"/>
      <c r="IWM20" s="11"/>
      <c r="IWN20" s="11"/>
      <c r="IWO20" s="11"/>
      <c r="IWP20" s="11"/>
      <c r="IWQ20" s="11"/>
      <c r="IWR20" s="11"/>
      <c r="IWS20" s="11"/>
      <c r="IWT20" s="11"/>
      <c r="IWU20" s="11"/>
      <c r="IWV20" s="11"/>
      <c r="IWW20" s="11"/>
      <c r="IWX20" s="11"/>
      <c r="IWY20" s="11"/>
      <c r="IWZ20" s="11"/>
      <c r="IXA20" s="11"/>
      <c r="IXB20" s="11"/>
      <c r="IXC20" s="11"/>
      <c r="IXD20" s="11"/>
      <c r="IXE20" s="11"/>
      <c r="IXF20" s="11"/>
      <c r="IXG20" s="11"/>
      <c r="IXH20" s="11"/>
      <c r="IXI20" s="11"/>
      <c r="IXJ20" s="11"/>
      <c r="IXK20" s="11"/>
      <c r="IXL20" s="11"/>
      <c r="IXM20" s="11"/>
      <c r="IXN20" s="11"/>
      <c r="IXO20" s="11"/>
      <c r="IXP20" s="11"/>
      <c r="IXQ20" s="11"/>
      <c r="IXR20" s="11"/>
      <c r="IXS20" s="11"/>
      <c r="IXT20" s="11"/>
      <c r="IXU20" s="11"/>
      <c r="IXV20" s="11"/>
      <c r="IXW20" s="11"/>
      <c r="IXX20" s="11"/>
      <c r="IXY20" s="11"/>
      <c r="IXZ20" s="11"/>
      <c r="IYA20" s="11"/>
      <c r="IYB20" s="11"/>
      <c r="IYC20" s="11"/>
      <c r="IYD20" s="11"/>
      <c r="IYE20" s="11"/>
      <c r="IYF20" s="11"/>
      <c r="IYG20" s="11"/>
      <c r="IYH20" s="11"/>
      <c r="IYI20" s="11"/>
      <c r="IYJ20" s="11"/>
      <c r="IYK20" s="11"/>
      <c r="IYL20" s="11"/>
      <c r="IYM20" s="11"/>
      <c r="IYN20" s="11"/>
      <c r="IYO20" s="11"/>
      <c r="IYP20" s="11"/>
      <c r="IYQ20" s="11"/>
      <c r="IYR20" s="11"/>
      <c r="IYS20" s="11"/>
      <c r="IYT20" s="11"/>
      <c r="IYU20" s="11"/>
      <c r="IYV20" s="11"/>
      <c r="IYW20" s="11"/>
      <c r="IYX20" s="11"/>
      <c r="IYY20" s="11"/>
      <c r="IYZ20" s="11"/>
      <c r="IZA20" s="11"/>
      <c r="IZB20" s="11"/>
      <c r="IZC20" s="11"/>
      <c r="IZD20" s="11"/>
      <c r="IZE20" s="11"/>
      <c r="IZF20" s="11"/>
      <c r="IZG20" s="11"/>
      <c r="IZH20" s="11"/>
      <c r="IZI20" s="11"/>
      <c r="IZJ20" s="11"/>
      <c r="IZK20" s="11"/>
      <c r="IZL20" s="11"/>
      <c r="IZM20" s="11"/>
      <c r="IZN20" s="11"/>
      <c r="IZO20" s="11"/>
      <c r="IZP20" s="11"/>
      <c r="IZQ20" s="11"/>
      <c r="IZR20" s="11"/>
      <c r="IZS20" s="11"/>
      <c r="IZT20" s="11"/>
      <c r="IZU20" s="11"/>
      <c r="IZV20" s="11"/>
      <c r="IZW20" s="11"/>
      <c r="IZX20" s="11"/>
      <c r="IZY20" s="11"/>
      <c r="IZZ20" s="11"/>
      <c r="JAA20" s="11"/>
      <c r="JAB20" s="11"/>
      <c r="JAC20" s="11"/>
      <c r="JAD20" s="11"/>
      <c r="JAE20" s="11"/>
      <c r="JAF20" s="11"/>
      <c r="JAG20" s="11"/>
      <c r="JAH20" s="11"/>
      <c r="JAI20" s="11"/>
      <c r="JAJ20" s="11"/>
      <c r="JAK20" s="11"/>
      <c r="JAL20" s="11"/>
      <c r="JAM20" s="11"/>
      <c r="JAN20" s="11"/>
      <c r="JAO20" s="11"/>
      <c r="JAP20" s="11"/>
      <c r="JAQ20" s="11"/>
      <c r="JAR20" s="11"/>
      <c r="JAS20" s="11"/>
      <c r="JAT20" s="11"/>
      <c r="JAU20" s="11"/>
      <c r="JAV20" s="11"/>
      <c r="JAW20" s="11"/>
      <c r="JAX20" s="11"/>
      <c r="JAY20" s="11"/>
      <c r="JAZ20" s="11"/>
      <c r="JBA20" s="11"/>
      <c r="JBB20" s="11"/>
      <c r="JBC20" s="11"/>
      <c r="JBD20" s="11"/>
      <c r="JBE20" s="11"/>
      <c r="JBF20" s="11"/>
      <c r="JBG20" s="11"/>
      <c r="JBH20" s="11"/>
      <c r="JBI20" s="11"/>
      <c r="JBJ20" s="11"/>
      <c r="JBK20" s="11"/>
      <c r="JBL20" s="11"/>
      <c r="JBM20" s="11"/>
      <c r="JBN20" s="11"/>
      <c r="JBO20" s="11"/>
      <c r="JBP20" s="11"/>
      <c r="JBQ20" s="11"/>
      <c r="JBR20" s="11"/>
      <c r="JBS20" s="11"/>
      <c r="JBT20" s="11"/>
      <c r="JBU20" s="11"/>
      <c r="JBV20" s="11"/>
      <c r="JBW20" s="11"/>
      <c r="JBX20" s="11"/>
      <c r="JBY20" s="11"/>
      <c r="JBZ20" s="11"/>
      <c r="JCA20" s="11"/>
      <c r="JCB20" s="11"/>
      <c r="JCC20" s="11"/>
      <c r="JCD20" s="11"/>
      <c r="JCE20" s="11"/>
      <c r="JCF20" s="11"/>
      <c r="JCG20" s="11"/>
      <c r="JCH20" s="11"/>
      <c r="JCI20" s="11"/>
      <c r="JCJ20" s="11"/>
      <c r="JCK20" s="11"/>
      <c r="JCL20" s="11"/>
      <c r="JCM20" s="11"/>
      <c r="JCN20" s="11"/>
      <c r="JCO20" s="11"/>
      <c r="JCP20" s="11"/>
      <c r="JCQ20" s="11"/>
      <c r="JCR20" s="11"/>
      <c r="JCS20" s="11"/>
      <c r="JCT20" s="11"/>
      <c r="JCU20" s="11"/>
      <c r="JCV20" s="11"/>
      <c r="JCW20" s="11"/>
      <c r="JCX20" s="11"/>
      <c r="JCY20" s="11"/>
      <c r="JCZ20" s="11"/>
      <c r="JDA20" s="11"/>
      <c r="JDB20" s="11"/>
      <c r="JDC20" s="11"/>
      <c r="JDD20" s="11"/>
      <c r="JDE20" s="11"/>
      <c r="JDF20" s="11"/>
      <c r="JDG20" s="11"/>
      <c r="JDH20" s="11"/>
      <c r="JDI20" s="11"/>
      <c r="JDJ20" s="11"/>
      <c r="JDK20" s="11"/>
      <c r="JDL20" s="11"/>
      <c r="JDM20" s="11"/>
      <c r="JDN20" s="11"/>
      <c r="JDO20" s="11"/>
      <c r="JDP20" s="11"/>
      <c r="JDQ20" s="11"/>
      <c r="JDR20" s="11"/>
      <c r="JDS20" s="11"/>
      <c r="JDT20" s="11"/>
      <c r="JDU20" s="11"/>
      <c r="JDV20" s="11"/>
      <c r="JDW20" s="11"/>
      <c r="JDX20" s="11"/>
      <c r="JDY20" s="11"/>
      <c r="JDZ20" s="11"/>
      <c r="JEA20" s="11"/>
      <c r="JEB20" s="11"/>
      <c r="JEC20" s="11"/>
      <c r="JED20" s="11"/>
      <c r="JEE20" s="11"/>
      <c r="JEF20" s="11"/>
      <c r="JEG20" s="11"/>
      <c r="JEH20" s="11"/>
      <c r="JEI20" s="11"/>
      <c r="JEJ20" s="11"/>
      <c r="JEK20" s="11"/>
      <c r="JEL20" s="11"/>
      <c r="JEM20" s="11"/>
      <c r="JEN20" s="11"/>
      <c r="JEO20" s="11"/>
      <c r="JEP20" s="11"/>
      <c r="JEQ20" s="11"/>
      <c r="JER20" s="11"/>
      <c r="JES20" s="11"/>
      <c r="JET20" s="11"/>
      <c r="JEU20" s="11"/>
      <c r="JEV20" s="11"/>
      <c r="JEW20" s="11"/>
      <c r="JEX20" s="11"/>
      <c r="JEY20" s="11"/>
      <c r="JEZ20" s="11"/>
      <c r="JFA20" s="11"/>
      <c r="JFB20" s="11"/>
      <c r="JFC20" s="11"/>
      <c r="JFD20" s="11"/>
      <c r="JFE20" s="11"/>
      <c r="JFF20" s="11"/>
      <c r="JFG20" s="11"/>
      <c r="JFH20" s="11"/>
      <c r="JFI20" s="11"/>
      <c r="JFJ20" s="11"/>
      <c r="JFK20" s="11"/>
      <c r="JFL20" s="11"/>
      <c r="JFM20" s="11"/>
      <c r="JFN20" s="11"/>
      <c r="JFO20" s="11"/>
      <c r="JFP20" s="11"/>
      <c r="JFQ20" s="11"/>
      <c r="JFR20" s="11"/>
      <c r="JFS20" s="11"/>
      <c r="JFT20" s="11"/>
      <c r="JFU20" s="11"/>
      <c r="JFV20" s="11"/>
      <c r="JFW20" s="11"/>
      <c r="JFX20" s="11"/>
      <c r="JFY20" s="11"/>
      <c r="JFZ20" s="11"/>
      <c r="JGA20" s="11"/>
      <c r="JGB20" s="11"/>
      <c r="JGC20" s="11"/>
      <c r="JGD20" s="11"/>
      <c r="JGE20" s="11"/>
      <c r="JGF20" s="11"/>
      <c r="JGG20" s="11"/>
      <c r="JGH20" s="11"/>
      <c r="JGI20" s="11"/>
      <c r="JGJ20" s="11"/>
      <c r="JGK20" s="11"/>
      <c r="JGL20" s="11"/>
      <c r="JGM20" s="11"/>
      <c r="JGN20" s="11"/>
      <c r="JGO20" s="11"/>
      <c r="JGP20" s="11"/>
      <c r="JGQ20" s="11"/>
      <c r="JGR20" s="11"/>
      <c r="JGS20" s="11"/>
      <c r="JGT20" s="11"/>
      <c r="JGU20" s="11"/>
      <c r="JGV20" s="11"/>
      <c r="JGW20" s="11"/>
      <c r="JGX20" s="11"/>
      <c r="JGY20" s="11"/>
      <c r="JGZ20" s="11"/>
      <c r="JHA20" s="11"/>
      <c r="JHB20" s="11"/>
      <c r="JHC20" s="11"/>
      <c r="JHD20" s="11"/>
      <c r="JHE20" s="11"/>
      <c r="JHF20" s="11"/>
      <c r="JHG20" s="11"/>
      <c r="JHH20" s="11"/>
      <c r="JHI20" s="11"/>
      <c r="JHJ20" s="11"/>
      <c r="JHK20" s="11"/>
      <c r="JHL20" s="11"/>
      <c r="JHM20" s="11"/>
      <c r="JHN20" s="11"/>
      <c r="JHO20" s="11"/>
      <c r="JHP20" s="11"/>
      <c r="JHQ20" s="11"/>
      <c r="JHR20" s="11"/>
      <c r="JHS20" s="11"/>
      <c r="JHT20" s="11"/>
      <c r="JHU20" s="11"/>
      <c r="JHV20" s="11"/>
      <c r="JHW20" s="11"/>
      <c r="JHX20" s="11"/>
      <c r="JHY20" s="11"/>
      <c r="JHZ20" s="11"/>
      <c r="JIA20" s="11"/>
      <c r="JIB20" s="11"/>
      <c r="JIC20" s="11"/>
      <c r="JID20" s="11"/>
      <c r="JIE20" s="11"/>
      <c r="JIF20" s="11"/>
      <c r="JIG20" s="11"/>
      <c r="JIH20" s="11"/>
      <c r="JII20" s="11"/>
      <c r="JIJ20" s="11"/>
      <c r="JIK20" s="11"/>
      <c r="JIL20" s="11"/>
      <c r="JIM20" s="11"/>
      <c r="JIN20" s="11"/>
      <c r="JIO20" s="11"/>
      <c r="JIP20" s="11"/>
      <c r="JIQ20" s="11"/>
      <c r="JIR20" s="11"/>
      <c r="JIS20" s="11"/>
      <c r="JIT20" s="11"/>
      <c r="JIU20" s="11"/>
      <c r="JIV20" s="11"/>
      <c r="JIW20" s="11"/>
      <c r="JIX20" s="11"/>
      <c r="JIY20" s="11"/>
      <c r="JIZ20" s="11"/>
      <c r="JJA20" s="11"/>
      <c r="JJB20" s="11"/>
      <c r="JJC20" s="11"/>
      <c r="JJD20" s="11"/>
      <c r="JJE20" s="11"/>
      <c r="JJF20" s="11"/>
      <c r="JJG20" s="11"/>
      <c r="JJH20" s="11"/>
      <c r="JJI20" s="11"/>
      <c r="JJJ20" s="11"/>
      <c r="JJK20" s="11"/>
      <c r="JJL20" s="11"/>
      <c r="JJM20" s="11"/>
      <c r="JJN20" s="11"/>
      <c r="JJO20" s="11"/>
      <c r="JJP20" s="11"/>
      <c r="JJQ20" s="11"/>
      <c r="JJR20" s="11"/>
      <c r="JJS20" s="11"/>
      <c r="JJT20" s="11"/>
      <c r="JJU20" s="11"/>
      <c r="JJV20" s="11"/>
      <c r="JJW20" s="11"/>
      <c r="JJX20" s="11"/>
      <c r="JJY20" s="11"/>
      <c r="JJZ20" s="11"/>
      <c r="JKA20" s="11"/>
      <c r="JKB20" s="11"/>
      <c r="JKC20" s="11"/>
      <c r="JKD20" s="11"/>
      <c r="JKE20" s="11"/>
      <c r="JKF20" s="11"/>
      <c r="JKG20" s="11"/>
      <c r="JKH20" s="11"/>
      <c r="JKI20" s="11"/>
      <c r="JKJ20" s="11"/>
      <c r="JKK20" s="11"/>
      <c r="JKL20" s="11"/>
      <c r="JKM20" s="11"/>
      <c r="JKN20" s="11"/>
      <c r="JKO20" s="11"/>
      <c r="JKP20" s="11"/>
      <c r="JKQ20" s="11"/>
      <c r="JKR20" s="11"/>
      <c r="JKS20" s="11"/>
      <c r="JKT20" s="11"/>
      <c r="JKU20" s="11"/>
      <c r="JKV20" s="11"/>
      <c r="JKW20" s="11"/>
      <c r="JKX20" s="11"/>
      <c r="JKY20" s="11"/>
      <c r="JKZ20" s="11"/>
      <c r="JLA20" s="11"/>
      <c r="JLB20" s="11"/>
      <c r="JLC20" s="11"/>
      <c r="JLD20" s="11"/>
      <c r="JLE20" s="11"/>
      <c r="JLF20" s="11"/>
      <c r="JLG20" s="11"/>
      <c r="JLH20" s="11"/>
      <c r="JLI20" s="11"/>
      <c r="JLJ20" s="11"/>
      <c r="JLK20" s="11"/>
      <c r="JLL20" s="11"/>
      <c r="JLM20" s="11"/>
      <c r="JLN20" s="11"/>
      <c r="JLO20" s="11"/>
      <c r="JLP20" s="11"/>
      <c r="JLQ20" s="11"/>
      <c r="JLR20" s="11"/>
      <c r="JLS20" s="11"/>
      <c r="JLT20" s="11"/>
      <c r="JLU20" s="11"/>
      <c r="JLV20" s="11"/>
      <c r="JLW20" s="11"/>
      <c r="JLX20" s="11"/>
      <c r="JLY20" s="11"/>
      <c r="JLZ20" s="11"/>
      <c r="JMA20" s="11"/>
      <c r="JMB20" s="11"/>
      <c r="JMC20" s="11"/>
      <c r="JMD20" s="11"/>
      <c r="JME20" s="11"/>
      <c r="JMF20" s="11"/>
      <c r="JMG20" s="11"/>
      <c r="JMH20" s="11"/>
      <c r="JMI20" s="11"/>
      <c r="JMJ20" s="11"/>
      <c r="JMK20" s="11"/>
      <c r="JML20" s="11"/>
      <c r="JMM20" s="11"/>
      <c r="JMN20" s="11"/>
      <c r="JMO20" s="11"/>
      <c r="JMP20" s="11"/>
      <c r="JMQ20" s="11"/>
      <c r="JMR20" s="11"/>
      <c r="JMS20" s="11"/>
      <c r="JMT20" s="11"/>
      <c r="JMU20" s="11"/>
      <c r="JMV20" s="11"/>
      <c r="JMW20" s="11"/>
      <c r="JMX20" s="11"/>
      <c r="JMY20" s="11"/>
      <c r="JMZ20" s="11"/>
      <c r="JNA20" s="11"/>
      <c r="JNB20" s="11"/>
      <c r="JNC20" s="11"/>
      <c r="JND20" s="11"/>
      <c r="JNE20" s="11"/>
      <c r="JNF20" s="11"/>
      <c r="JNG20" s="11"/>
      <c r="JNH20" s="11"/>
      <c r="JNI20" s="11"/>
      <c r="JNJ20" s="11"/>
      <c r="JNK20" s="11"/>
      <c r="JNL20" s="11"/>
      <c r="JNM20" s="11"/>
      <c r="JNN20" s="11"/>
      <c r="JNO20" s="11"/>
      <c r="JNP20" s="11"/>
      <c r="JNQ20" s="11"/>
      <c r="JNR20" s="11"/>
      <c r="JNS20" s="11"/>
      <c r="JNT20" s="11"/>
      <c r="JNU20" s="11"/>
      <c r="JNV20" s="11"/>
      <c r="JNW20" s="11"/>
      <c r="JNX20" s="11"/>
      <c r="JNY20" s="11"/>
      <c r="JNZ20" s="11"/>
      <c r="JOA20" s="11"/>
      <c r="JOB20" s="11"/>
      <c r="JOC20" s="11"/>
      <c r="JOD20" s="11"/>
      <c r="JOE20" s="11"/>
      <c r="JOF20" s="11"/>
      <c r="JOG20" s="11"/>
      <c r="JOH20" s="11"/>
      <c r="JOI20" s="11"/>
      <c r="JOJ20" s="11"/>
      <c r="JOK20" s="11"/>
      <c r="JOL20" s="11"/>
      <c r="JOM20" s="11"/>
      <c r="JON20" s="11"/>
      <c r="JOO20" s="11"/>
      <c r="JOP20" s="11"/>
      <c r="JOQ20" s="11"/>
      <c r="JOR20" s="11"/>
      <c r="JOS20" s="11"/>
      <c r="JOT20" s="11"/>
      <c r="JOU20" s="11"/>
      <c r="JOV20" s="11"/>
      <c r="JOW20" s="11"/>
      <c r="JOX20" s="11"/>
      <c r="JOY20" s="11"/>
      <c r="JOZ20" s="11"/>
      <c r="JPA20" s="11"/>
      <c r="JPB20" s="11"/>
      <c r="JPC20" s="11"/>
      <c r="JPD20" s="11"/>
      <c r="JPE20" s="11"/>
      <c r="JPF20" s="11"/>
      <c r="JPG20" s="11"/>
      <c r="JPH20" s="11"/>
      <c r="JPI20" s="11"/>
      <c r="JPJ20" s="11"/>
      <c r="JPK20" s="11"/>
      <c r="JPL20" s="11"/>
      <c r="JPM20" s="11"/>
      <c r="JPN20" s="11"/>
      <c r="JPO20" s="11"/>
      <c r="JPP20" s="11"/>
      <c r="JPQ20" s="11"/>
      <c r="JPR20" s="11"/>
      <c r="JPS20" s="11"/>
      <c r="JPT20" s="11"/>
      <c r="JPU20" s="11"/>
      <c r="JPV20" s="11"/>
      <c r="JPW20" s="11"/>
      <c r="JPX20" s="11"/>
      <c r="JPY20" s="11"/>
      <c r="JPZ20" s="11"/>
      <c r="JQA20" s="11"/>
      <c r="JQB20" s="11"/>
      <c r="JQC20" s="11"/>
      <c r="JQD20" s="11"/>
      <c r="JQE20" s="11"/>
      <c r="JQF20" s="11"/>
      <c r="JQG20" s="11"/>
      <c r="JQH20" s="11"/>
      <c r="JQI20" s="11"/>
      <c r="JQJ20" s="11"/>
      <c r="JQK20" s="11"/>
      <c r="JQL20" s="11"/>
      <c r="JQM20" s="11"/>
      <c r="JQN20" s="11"/>
      <c r="JQO20" s="11"/>
      <c r="JQP20" s="11"/>
      <c r="JQQ20" s="11"/>
      <c r="JQR20" s="11"/>
      <c r="JQS20" s="11"/>
      <c r="JQT20" s="11"/>
      <c r="JQU20" s="11"/>
      <c r="JQV20" s="11"/>
      <c r="JQW20" s="11"/>
      <c r="JQX20" s="11"/>
      <c r="JQY20" s="11"/>
      <c r="JQZ20" s="11"/>
      <c r="JRA20" s="11"/>
      <c r="JRB20" s="11"/>
      <c r="JRC20" s="11"/>
      <c r="JRD20" s="11"/>
      <c r="JRE20" s="11"/>
      <c r="JRF20" s="11"/>
      <c r="JRG20" s="11"/>
      <c r="JRH20" s="11"/>
      <c r="JRI20" s="11"/>
      <c r="JRJ20" s="11"/>
      <c r="JRK20" s="11"/>
      <c r="JRL20" s="11"/>
      <c r="JRM20" s="11"/>
      <c r="JRN20" s="11"/>
      <c r="JRO20" s="11"/>
      <c r="JRP20" s="11"/>
      <c r="JRQ20" s="11"/>
      <c r="JRR20" s="11"/>
      <c r="JRS20" s="11"/>
      <c r="JRT20" s="11"/>
      <c r="JRU20" s="11"/>
      <c r="JRV20" s="11"/>
      <c r="JRW20" s="11"/>
      <c r="JRX20" s="11"/>
      <c r="JRY20" s="11"/>
      <c r="JRZ20" s="11"/>
      <c r="JSA20" s="11"/>
      <c r="JSB20" s="11"/>
      <c r="JSC20" s="11"/>
      <c r="JSD20" s="11"/>
      <c r="JSE20" s="11"/>
      <c r="JSF20" s="11"/>
      <c r="JSG20" s="11"/>
      <c r="JSH20" s="11"/>
      <c r="JSI20" s="11"/>
      <c r="JSJ20" s="11"/>
      <c r="JSK20" s="11"/>
      <c r="JSL20" s="11"/>
      <c r="JSM20" s="11"/>
      <c r="JSN20" s="11"/>
      <c r="JSO20" s="11"/>
      <c r="JSP20" s="11"/>
      <c r="JSQ20" s="11"/>
      <c r="JSR20" s="11"/>
      <c r="JSS20" s="11"/>
      <c r="JST20" s="11"/>
      <c r="JSU20" s="11"/>
      <c r="JSV20" s="11"/>
      <c r="JSW20" s="11"/>
      <c r="JSX20" s="11"/>
      <c r="JSY20" s="11"/>
      <c r="JSZ20" s="11"/>
      <c r="JTA20" s="11"/>
      <c r="JTB20" s="11"/>
      <c r="JTC20" s="11"/>
      <c r="JTD20" s="11"/>
      <c r="JTE20" s="11"/>
      <c r="JTF20" s="11"/>
      <c r="JTG20" s="11"/>
      <c r="JTH20" s="11"/>
      <c r="JTI20" s="11"/>
      <c r="JTJ20" s="11"/>
      <c r="JTK20" s="11"/>
      <c r="JTL20" s="11"/>
      <c r="JTM20" s="11"/>
      <c r="JTN20" s="11"/>
      <c r="JTO20" s="11"/>
      <c r="JTP20" s="11"/>
      <c r="JTQ20" s="11"/>
      <c r="JTR20" s="11"/>
      <c r="JTS20" s="11"/>
      <c r="JTT20" s="11"/>
      <c r="JTU20" s="11"/>
      <c r="JTV20" s="11"/>
      <c r="JTW20" s="11"/>
      <c r="JTX20" s="11"/>
      <c r="JTY20" s="11"/>
      <c r="JTZ20" s="11"/>
      <c r="JUA20" s="11"/>
      <c r="JUB20" s="11"/>
      <c r="JUC20" s="11"/>
      <c r="JUD20" s="11"/>
      <c r="JUE20" s="11"/>
      <c r="JUF20" s="11"/>
      <c r="JUG20" s="11"/>
      <c r="JUH20" s="11"/>
      <c r="JUI20" s="11"/>
      <c r="JUJ20" s="11"/>
      <c r="JUK20" s="11"/>
      <c r="JUL20" s="11"/>
      <c r="JUM20" s="11"/>
      <c r="JUN20" s="11"/>
      <c r="JUO20" s="11"/>
      <c r="JUP20" s="11"/>
      <c r="JUQ20" s="11"/>
      <c r="JUR20" s="11"/>
      <c r="JUS20" s="11"/>
      <c r="JUT20" s="11"/>
      <c r="JUU20" s="11"/>
      <c r="JUV20" s="11"/>
      <c r="JUW20" s="11"/>
      <c r="JUX20" s="11"/>
      <c r="JUY20" s="11"/>
      <c r="JUZ20" s="11"/>
      <c r="JVA20" s="11"/>
      <c r="JVB20" s="11"/>
      <c r="JVC20" s="11"/>
      <c r="JVD20" s="11"/>
      <c r="JVE20" s="11"/>
      <c r="JVF20" s="11"/>
      <c r="JVG20" s="11"/>
      <c r="JVH20" s="11"/>
      <c r="JVI20" s="11"/>
      <c r="JVJ20" s="11"/>
      <c r="JVK20" s="11"/>
      <c r="JVL20" s="11"/>
      <c r="JVM20" s="11"/>
      <c r="JVN20" s="11"/>
      <c r="JVO20" s="11"/>
      <c r="JVP20" s="11"/>
      <c r="JVQ20" s="11"/>
      <c r="JVR20" s="11"/>
      <c r="JVS20" s="11"/>
      <c r="JVT20" s="11"/>
      <c r="JVU20" s="11"/>
      <c r="JVV20" s="11"/>
      <c r="JVW20" s="11"/>
      <c r="JVX20" s="11"/>
      <c r="JVY20" s="11"/>
      <c r="JVZ20" s="11"/>
      <c r="JWA20" s="11"/>
      <c r="JWB20" s="11"/>
      <c r="JWC20" s="11"/>
      <c r="JWD20" s="11"/>
      <c r="JWE20" s="11"/>
      <c r="JWF20" s="11"/>
      <c r="JWG20" s="11"/>
      <c r="JWH20" s="11"/>
      <c r="JWI20" s="11"/>
      <c r="JWJ20" s="11"/>
      <c r="JWK20" s="11"/>
      <c r="JWL20" s="11"/>
      <c r="JWM20" s="11"/>
      <c r="JWN20" s="11"/>
      <c r="JWO20" s="11"/>
      <c r="JWP20" s="11"/>
      <c r="JWQ20" s="11"/>
      <c r="JWR20" s="11"/>
      <c r="JWS20" s="11"/>
      <c r="JWT20" s="11"/>
      <c r="JWU20" s="11"/>
      <c r="JWV20" s="11"/>
      <c r="JWW20" s="11"/>
      <c r="JWX20" s="11"/>
      <c r="JWY20" s="11"/>
      <c r="JWZ20" s="11"/>
      <c r="JXA20" s="11"/>
      <c r="JXB20" s="11"/>
      <c r="JXC20" s="11"/>
      <c r="JXD20" s="11"/>
      <c r="JXE20" s="11"/>
      <c r="JXF20" s="11"/>
      <c r="JXG20" s="11"/>
      <c r="JXH20" s="11"/>
      <c r="JXI20" s="11"/>
      <c r="JXJ20" s="11"/>
      <c r="JXK20" s="11"/>
      <c r="JXL20" s="11"/>
      <c r="JXM20" s="11"/>
      <c r="JXN20" s="11"/>
      <c r="JXO20" s="11"/>
      <c r="JXP20" s="11"/>
      <c r="JXQ20" s="11"/>
      <c r="JXR20" s="11"/>
      <c r="JXS20" s="11"/>
      <c r="JXT20" s="11"/>
      <c r="JXU20" s="11"/>
      <c r="JXV20" s="11"/>
      <c r="JXW20" s="11"/>
      <c r="JXX20" s="11"/>
      <c r="JXY20" s="11"/>
      <c r="JXZ20" s="11"/>
      <c r="JYA20" s="11"/>
      <c r="JYB20" s="11"/>
      <c r="JYC20" s="11"/>
      <c r="JYD20" s="11"/>
      <c r="JYE20" s="11"/>
      <c r="JYF20" s="11"/>
      <c r="JYG20" s="11"/>
      <c r="JYH20" s="11"/>
      <c r="JYI20" s="11"/>
      <c r="JYJ20" s="11"/>
      <c r="JYK20" s="11"/>
      <c r="JYL20" s="11"/>
      <c r="JYM20" s="11"/>
      <c r="JYN20" s="11"/>
      <c r="JYO20" s="11"/>
      <c r="JYP20" s="11"/>
      <c r="JYQ20" s="11"/>
      <c r="JYR20" s="11"/>
      <c r="JYS20" s="11"/>
      <c r="JYT20" s="11"/>
      <c r="JYU20" s="11"/>
      <c r="JYV20" s="11"/>
      <c r="JYW20" s="11"/>
      <c r="JYX20" s="11"/>
      <c r="JYY20" s="11"/>
      <c r="JYZ20" s="11"/>
      <c r="JZA20" s="11"/>
      <c r="JZB20" s="11"/>
      <c r="JZC20" s="11"/>
      <c r="JZD20" s="11"/>
      <c r="JZE20" s="11"/>
      <c r="JZF20" s="11"/>
      <c r="JZG20" s="11"/>
      <c r="JZH20" s="11"/>
      <c r="JZI20" s="11"/>
      <c r="JZJ20" s="11"/>
      <c r="JZK20" s="11"/>
      <c r="JZL20" s="11"/>
      <c r="JZM20" s="11"/>
      <c r="JZN20" s="11"/>
      <c r="JZO20" s="11"/>
      <c r="JZP20" s="11"/>
      <c r="JZQ20" s="11"/>
      <c r="JZR20" s="11"/>
      <c r="JZS20" s="11"/>
      <c r="JZT20" s="11"/>
      <c r="JZU20" s="11"/>
      <c r="JZV20" s="11"/>
      <c r="JZW20" s="11"/>
      <c r="JZX20" s="11"/>
      <c r="JZY20" s="11"/>
      <c r="JZZ20" s="11"/>
      <c r="KAA20" s="11"/>
      <c r="KAB20" s="11"/>
      <c r="KAC20" s="11"/>
      <c r="KAD20" s="11"/>
      <c r="KAE20" s="11"/>
      <c r="KAF20" s="11"/>
      <c r="KAG20" s="11"/>
      <c r="KAH20" s="11"/>
      <c r="KAI20" s="11"/>
      <c r="KAJ20" s="11"/>
      <c r="KAK20" s="11"/>
      <c r="KAL20" s="11"/>
      <c r="KAM20" s="11"/>
      <c r="KAN20" s="11"/>
      <c r="KAO20" s="11"/>
      <c r="KAP20" s="11"/>
      <c r="KAQ20" s="11"/>
      <c r="KAR20" s="11"/>
      <c r="KAS20" s="11"/>
      <c r="KAT20" s="11"/>
      <c r="KAU20" s="11"/>
      <c r="KAV20" s="11"/>
      <c r="KAW20" s="11"/>
      <c r="KAX20" s="11"/>
      <c r="KAY20" s="11"/>
      <c r="KAZ20" s="11"/>
      <c r="KBA20" s="11"/>
      <c r="KBB20" s="11"/>
      <c r="KBC20" s="11"/>
      <c r="KBD20" s="11"/>
      <c r="KBE20" s="11"/>
      <c r="KBF20" s="11"/>
      <c r="KBG20" s="11"/>
      <c r="KBH20" s="11"/>
      <c r="KBI20" s="11"/>
      <c r="KBJ20" s="11"/>
      <c r="KBK20" s="11"/>
      <c r="KBL20" s="11"/>
      <c r="KBM20" s="11"/>
      <c r="KBN20" s="11"/>
      <c r="KBO20" s="11"/>
      <c r="KBP20" s="11"/>
      <c r="KBQ20" s="11"/>
      <c r="KBR20" s="11"/>
      <c r="KBS20" s="11"/>
      <c r="KBT20" s="11"/>
      <c r="KBU20" s="11"/>
      <c r="KBV20" s="11"/>
      <c r="KBW20" s="11"/>
      <c r="KBX20" s="11"/>
      <c r="KBY20" s="11"/>
      <c r="KBZ20" s="11"/>
      <c r="KCA20" s="11"/>
      <c r="KCB20" s="11"/>
      <c r="KCC20" s="11"/>
      <c r="KCD20" s="11"/>
      <c r="KCE20" s="11"/>
      <c r="KCF20" s="11"/>
      <c r="KCG20" s="11"/>
      <c r="KCH20" s="11"/>
      <c r="KCI20" s="11"/>
      <c r="KCJ20" s="11"/>
      <c r="KCK20" s="11"/>
      <c r="KCL20" s="11"/>
      <c r="KCM20" s="11"/>
      <c r="KCN20" s="11"/>
      <c r="KCO20" s="11"/>
      <c r="KCP20" s="11"/>
      <c r="KCQ20" s="11"/>
      <c r="KCR20" s="11"/>
      <c r="KCS20" s="11"/>
      <c r="KCT20" s="11"/>
      <c r="KCU20" s="11"/>
      <c r="KCV20" s="11"/>
      <c r="KCW20" s="11"/>
      <c r="KCX20" s="11"/>
      <c r="KCY20" s="11"/>
      <c r="KCZ20" s="11"/>
      <c r="KDA20" s="11"/>
      <c r="KDB20" s="11"/>
      <c r="KDC20" s="11"/>
      <c r="KDD20" s="11"/>
      <c r="KDE20" s="11"/>
      <c r="KDF20" s="11"/>
      <c r="KDG20" s="11"/>
      <c r="KDH20" s="11"/>
      <c r="KDI20" s="11"/>
      <c r="KDJ20" s="11"/>
      <c r="KDK20" s="11"/>
      <c r="KDL20" s="11"/>
      <c r="KDM20" s="11"/>
      <c r="KDN20" s="11"/>
      <c r="KDO20" s="11"/>
      <c r="KDP20" s="11"/>
      <c r="KDQ20" s="11"/>
      <c r="KDR20" s="11"/>
      <c r="KDS20" s="11"/>
      <c r="KDT20" s="11"/>
      <c r="KDU20" s="11"/>
      <c r="KDV20" s="11"/>
      <c r="KDW20" s="11"/>
      <c r="KDX20" s="11"/>
      <c r="KDY20" s="11"/>
      <c r="KDZ20" s="11"/>
      <c r="KEA20" s="11"/>
      <c r="KEB20" s="11"/>
      <c r="KEC20" s="11"/>
      <c r="KED20" s="11"/>
      <c r="KEE20" s="11"/>
      <c r="KEF20" s="11"/>
      <c r="KEG20" s="11"/>
      <c r="KEH20" s="11"/>
      <c r="KEI20" s="11"/>
      <c r="KEJ20" s="11"/>
      <c r="KEK20" s="11"/>
      <c r="KEL20" s="11"/>
      <c r="KEM20" s="11"/>
      <c r="KEN20" s="11"/>
      <c r="KEO20" s="11"/>
      <c r="KEP20" s="11"/>
      <c r="KEQ20" s="11"/>
      <c r="KER20" s="11"/>
      <c r="KES20" s="11"/>
      <c r="KET20" s="11"/>
      <c r="KEU20" s="11"/>
      <c r="KEV20" s="11"/>
      <c r="KEW20" s="11"/>
      <c r="KEX20" s="11"/>
      <c r="KEY20" s="11"/>
      <c r="KEZ20" s="11"/>
      <c r="KFA20" s="11"/>
      <c r="KFB20" s="11"/>
      <c r="KFC20" s="11"/>
      <c r="KFD20" s="11"/>
      <c r="KFE20" s="11"/>
      <c r="KFF20" s="11"/>
      <c r="KFG20" s="11"/>
      <c r="KFH20" s="11"/>
      <c r="KFI20" s="11"/>
      <c r="KFJ20" s="11"/>
      <c r="KFK20" s="11"/>
      <c r="KFL20" s="11"/>
      <c r="KFM20" s="11"/>
      <c r="KFN20" s="11"/>
      <c r="KFO20" s="11"/>
      <c r="KFP20" s="11"/>
      <c r="KFQ20" s="11"/>
      <c r="KFR20" s="11"/>
      <c r="KFS20" s="11"/>
      <c r="KFT20" s="11"/>
      <c r="KFU20" s="11"/>
      <c r="KFV20" s="11"/>
      <c r="KFW20" s="11"/>
      <c r="KFX20" s="11"/>
      <c r="KFY20" s="11"/>
      <c r="KFZ20" s="11"/>
      <c r="KGA20" s="11"/>
      <c r="KGB20" s="11"/>
      <c r="KGC20" s="11"/>
      <c r="KGD20" s="11"/>
      <c r="KGE20" s="11"/>
      <c r="KGF20" s="11"/>
      <c r="KGG20" s="11"/>
      <c r="KGH20" s="11"/>
      <c r="KGI20" s="11"/>
      <c r="KGJ20" s="11"/>
      <c r="KGK20" s="11"/>
      <c r="KGL20" s="11"/>
      <c r="KGM20" s="11"/>
      <c r="KGN20" s="11"/>
      <c r="KGO20" s="11"/>
      <c r="KGP20" s="11"/>
      <c r="KGQ20" s="11"/>
      <c r="KGR20" s="11"/>
      <c r="KGS20" s="11"/>
      <c r="KGT20" s="11"/>
      <c r="KGU20" s="11"/>
      <c r="KGV20" s="11"/>
      <c r="KGW20" s="11"/>
      <c r="KGX20" s="11"/>
      <c r="KGY20" s="11"/>
      <c r="KGZ20" s="11"/>
      <c r="KHA20" s="11"/>
      <c r="KHB20" s="11"/>
      <c r="KHC20" s="11"/>
      <c r="KHD20" s="11"/>
      <c r="KHE20" s="11"/>
      <c r="KHF20" s="11"/>
      <c r="KHG20" s="11"/>
      <c r="KHH20" s="11"/>
      <c r="KHI20" s="11"/>
      <c r="KHJ20" s="11"/>
      <c r="KHK20" s="11"/>
      <c r="KHL20" s="11"/>
      <c r="KHM20" s="11"/>
      <c r="KHN20" s="11"/>
      <c r="KHO20" s="11"/>
      <c r="KHP20" s="11"/>
      <c r="KHQ20" s="11"/>
      <c r="KHR20" s="11"/>
      <c r="KHS20" s="11"/>
      <c r="KHT20" s="11"/>
      <c r="KHU20" s="11"/>
      <c r="KHV20" s="11"/>
      <c r="KHW20" s="11"/>
      <c r="KHX20" s="11"/>
      <c r="KHY20" s="11"/>
      <c r="KHZ20" s="11"/>
      <c r="KIA20" s="11"/>
      <c r="KIB20" s="11"/>
      <c r="KIC20" s="11"/>
      <c r="KID20" s="11"/>
      <c r="KIE20" s="11"/>
      <c r="KIF20" s="11"/>
      <c r="KIG20" s="11"/>
      <c r="KIH20" s="11"/>
      <c r="KII20" s="11"/>
      <c r="KIJ20" s="11"/>
      <c r="KIK20" s="11"/>
      <c r="KIL20" s="11"/>
      <c r="KIM20" s="11"/>
      <c r="KIN20" s="11"/>
      <c r="KIO20" s="11"/>
      <c r="KIP20" s="11"/>
      <c r="KIQ20" s="11"/>
      <c r="KIR20" s="11"/>
      <c r="KIS20" s="11"/>
      <c r="KIT20" s="11"/>
      <c r="KIU20" s="11"/>
      <c r="KIV20" s="11"/>
      <c r="KIW20" s="11"/>
      <c r="KIX20" s="11"/>
      <c r="KIY20" s="11"/>
      <c r="KIZ20" s="11"/>
      <c r="KJA20" s="11"/>
      <c r="KJB20" s="11"/>
      <c r="KJC20" s="11"/>
      <c r="KJD20" s="11"/>
      <c r="KJE20" s="11"/>
      <c r="KJF20" s="11"/>
      <c r="KJG20" s="11"/>
      <c r="KJH20" s="11"/>
      <c r="KJI20" s="11"/>
      <c r="KJJ20" s="11"/>
      <c r="KJK20" s="11"/>
      <c r="KJL20" s="11"/>
      <c r="KJM20" s="11"/>
      <c r="KJN20" s="11"/>
      <c r="KJO20" s="11"/>
      <c r="KJP20" s="11"/>
      <c r="KJQ20" s="11"/>
      <c r="KJR20" s="11"/>
      <c r="KJS20" s="11"/>
      <c r="KJT20" s="11"/>
      <c r="KJU20" s="11"/>
      <c r="KJV20" s="11"/>
      <c r="KJW20" s="11"/>
      <c r="KJX20" s="11"/>
      <c r="KJY20" s="11"/>
      <c r="KJZ20" s="11"/>
      <c r="KKA20" s="11"/>
      <c r="KKB20" s="11"/>
      <c r="KKC20" s="11"/>
      <c r="KKD20" s="11"/>
      <c r="KKE20" s="11"/>
      <c r="KKF20" s="11"/>
      <c r="KKG20" s="11"/>
      <c r="KKH20" s="11"/>
      <c r="KKI20" s="11"/>
      <c r="KKJ20" s="11"/>
      <c r="KKK20" s="11"/>
      <c r="KKL20" s="11"/>
      <c r="KKM20" s="11"/>
      <c r="KKN20" s="11"/>
      <c r="KKO20" s="11"/>
      <c r="KKP20" s="11"/>
      <c r="KKQ20" s="11"/>
      <c r="KKR20" s="11"/>
      <c r="KKS20" s="11"/>
      <c r="KKT20" s="11"/>
      <c r="KKU20" s="11"/>
      <c r="KKV20" s="11"/>
      <c r="KKW20" s="11"/>
      <c r="KKX20" s="11"/>
      <c r="KKY20" s="11"/>
      <c r="KKZ20" s="11"/>
      <c r="KLA20" s="11"/>
      <c r="KLB20" s="11"/>
      <c r="KLC20" s="11"/>
      <c r="KLD20" s="11"/>
      <c r="KLE20" s="11"/>
      <c r="KLF20" s="11"/>
      <c r="KLG20" s="11"/>
      <c r="KLH20" s="11"/>
      <c r="KLI20" s="11"/>
      <c r="KLJ20" s="11"/>
      <c r="KLK20" s="11"/>
      <c r="KLL20" s="11"/>
      <c r="KLM20" s="11"/>
      <c r="KLN20" s="11"/>
      <c r="KLO20" s="11"/>
      <c r="KLP20" s="11"/>
      <c r="KLQ20" s="11"/>
      <c r="KLR20" s="11"/>
      <c r="KLS20" s="11"/>
      <c r="KLT20" s="11"/>
      <c r="KLU20" s="11"/>
      <c r="KLV20" s="11"/>
      <c r="KLW20" s="11"/>
      <c r="KLX20" s="11"/>
      <c r="KLY20" s="11"/>
      <c r="KLZ20" s="11"/>
      <c r="KMA20" s="11"/>
      <c r="KMB20" s="11"/>
      <c r="KMC20" s="11"/>
      <c r="KMD20" s="11"/>
      <c r="KME20" s="11"/>
      <c r="KMF20" s="11"/>
      <c r="KMG20" s="11"/>
      <c r="KMH20" s="11"/>
      <c r="KMI20" s="11"/>
      <c r="KMJ20" s="11"/>
      <c r="KMK20" s="11"/>
      <c r="KML20" s="11"/>
      <c r="KMM20" s="11"/>
      <c r="KMN20" s="11"/>
      <c r="KMO20" s="11"/>
      <c r="KMP20" s="11"/>
      <c r="KMQ20" s="11"/>
      <c r="KMR20" s="11"/>
      <c r="KMS20" s="11"/>
      <c r="KMT20" s="11"/>
      <c r="KMU20" s="11"/>
      <c r="KMV20" s="11"/>
      <c r="KMW20" s="11"/>
      <c r="KMX20" s="11"/>
      <c r="KMY20" s="11"/>
      <c r="KMZ20" s="11"/>
      <c r="KNA20" s="11"/>
      <c r="KNB20" s="11"/>
      <c r="KNC20" s="11"/>
      <c r="KND20" s="11"/>
      <c r="KNE20" s="11"/>
      <c r="KNF20" s="11"/>
      <c r="KNG20" s="11"/>
      <c r="KNH20" s="11"/>
      <c r="KNI20" s="11"/>
      <c r="KNJ20" s="11"/>
      <c r="KNK20" s="11"/>
      <c r="KNL20" s="11"/>
      <c r="KNM20" s="11"/>
      <c r="KNN20" s="11"/>
      <c r="KNO20" s="11"/>
      <c r="KNP20" s="11"/>
      <c r="KNQ20" s="11"/>
      <c r="KNR20" s="11"/>
      <c r="KNS20" s="11"/>
      <c r="KNT20" s="11"/>
      <c r="KNU20" s="11"/>
      <c r="KNV20" s="11"/>
      <c r="KNW20" s="11"/>
      <c r="KNX20" s="11"/>
      <c r="KNY20" s="11"/>
      <c r="KNZ20" s="11"/>
      <c r="KOA20" s="11"/>
      <c r="KOB20" s="11"/>
      <c r="KOC20" s="11"/>
      <c r="KOD20" s="11"/>
      <c r="KOE20" s="11"/>
      <c r="KOF20" s="11"/>
      <c r="KOG20" s="11"/>
      <c r="KOH20" s="11"/>
      <c r="KOI20" s="11"/>
      <c r="KOJ20" s="11"/>
      <c r="KOK20" s="11"/>
      <c r="KOL20" s="11"/>
      <c r="KOM20" s="11"/>
      <c r="KON20" s="11"/>
      <c r="KOO20" s="11"/>
      <c r="KOP20" s="11"/>
      <c r="KOQ20" s="11"/>
      <c r="KOR20" s="11"/>
      <c r="KOS20" s="11"/>
      <c r="KOT20" s="11"/>
      <c r="KOU20" s="11"/>
      <c r="KOV20" s="11"/>
      <c r="KOW20" s="11"/>
      <c r="KOX20" s="11"/>
      <c r="KOY20" s="11"/>
      <c r="KOZ20" s="11"/>
      <c r="KPA20" s="11"/>
      <c r="KPB20" s="11"/>
      <c r="KPC20" s="11"/>
      <c r="KPD20" s="11"/>
      <c r="KPE20" s="11"/>
      <c r="KPF20" s="11"/>
      <c r="KPG20" s="11"/>
      <c r="KPH20" s="11"/>
      <c r="KPI20" s="11"/>
      <c r="KPJ20" s="11"/>
      <c r="KPK20" s="11"/>
      <c r="KPL20" s="11"/>
      <c r="KPM20" s="11"/>
      <c r="KPN20" s="11"/>
      <c r="KPO20" s="11"/>
      <c r="KPP20" s="11"/>
      <c r="KPQ20" s="11"/>
      <c r="KPR20" s="11"/>
      <c r="KPS20" s="11"/>
      <c r="KPT20" s="11"/>
      <c r="KPU20" s="11"/>
      <c r="KPV20" s="11"/>
      <c r="KPW20" s="11"/>
      <c r="KPX20" s="11"/>
      <c r="KPY20" s="11"/>
      <c r="KPZ20" s="11"/>
      <c r="KQA20" s="11"/>
      <c r="KQB20" s="11"/>
      <c r="KQC20" s="11"/>
      <c r="KQD20" s="11"/>
      <c r="KQE20" s="11"/>
      <c r="KQF20" s="11"/>
      <c r="KQG20" s="11"/>
      <c r="KQH20" s="11"/>
      <c r="KQI20" s="11"/>
      <c r="KQJ20" s="11"/>
      <c r="KQK20" s="11"/>
      <c r="KQL20" s="11"/>
      <c r="KQM20" s="11"/>
      <c r="KQN20" s="11"/>
      <c r="KQO20" s="11"/>
      <c r="KQP20" s="11"/>
      <c r="KQQ20" s="11"/>
      <c r="KQR20" s="11"/>
      <c r="KQS20" s="11"/>
      <c r="KQT20" s="11"/>
      <c r="KQU20" s="11"/>
      <c r="KQV20" s="11"/>
      <c r="KQW20" s="11"/>
      <c r="KQX20" s="11"/>
      <c r="KQY20" s="11"/>
      <c r="KQZ20" s="11"/>
      <c r="KRA20" s="11"/>
      <c r="KRB20" s="11"/>
      <c r="KRC20" s="11"/>
      <c r="KRD20" s="11"/>
      <c r="KRE20" s="11"/>
      <c r="KRF20" s="11"/>
      <c r="KRG20" s="11"/>
      <c r="KRH20" s="11"/>
      <c r="KRI20" s="11"/>
      <c r="KRJ20" s="11"/>
      <c r="KRK20" s="11"/>
      <c r="KRL20" s="11"/>
      <c r="KRM20" s="11"/>
      <c r="KRN20" s="11"/>
      <c r="KRO20" s="11"/>
      <c r="KRP20" s="11"/>
      <c r="KRQ20" s="11"/>
      <c r="KRR20" s="11"/>
      <c r="KRS20" s="11"/>
      <c r="KRT20" s="11"/>
      <c r="KRU20" s="11"/>
      <c r="KRV20" s="11"/>
      <c r="KRW20" s="11"/>
      <c r="KRX20" s="11"/>
      <c r="KRY20" s="11"/>
      <c r="KRZ20" s="11"/>
      <c r="KSA20" s="11"/>
      <c r="KSB20" s="11"/>
      <c r="KSC20" s="11"/>
      <c r="KSD20" s="11"/>
      <c r="KSE20" s="11"/>
      <c r="KSF20" s="11"/>
      <c r="KSG20" s="11"/>
      <c r="KSH20" s="11"/>
      <c r="KSI20" s="11"/>
      <c r="KSJ20" s="11"/>
      <c r="KSK20" s="11"/>
      <c r="KSL20" s="11"/>
      <c r="KSM20" s="11"/>
      <c r="KSN20" s="11"/>
      <c r="KSO20" s="11"/>
      <c r="KSP20" s="11"/>
      <c r="KSQ20" s="11"/>
      <c r="KSR20" s="11"/>
      <c r="KSS20" s="11"/>
      <c r="KST20" s="11"/>
      <c r="KSU20" s="11"/>
      <c r="KSV20" s="11"/>
      <c r="KSW20" s="11"/>
      <c r="KSX20" s="11"/>
      <c r="KSY20" s="11"/>
      <c r="KSZ20" s="11"/>
      <c r="KTA20" s="11"/>
      <c r="KTB20" s="11"/>
      <c r="KTC20" s="11"/>
      <c r="KTD20" s="11"/>
      <c r="KTE20" s="11"/>
      <c r="KTF20" s="11"/>
      <c r="KTG20" s="11"/>
      <c r="KTH20" s="11"/>
      <c r="KTI20" s="11"/>
      <c r="KTJ20" s="11"/>
      <c r="KTK20" s="11"/>
      <c r="KTL20" s="11"/>
      <c r="KTM20" s="11"/>
      <c r="KTN20" s="11"/>
      <c r="KTO20" s="11"/>
      <c r="KTP20" s="11"/>
      <c r="KTQ20" s="11"/>
      <c r="KTR20" s="11"/>
      <c r="KTS20" s="11"/>
      <c r="KTT20" s="11"/>
      <c r="KTU20" s="11"/>
      <c r="KTV20" s="11"/>
      <c r="KTW20" s="11"/>
      <c r="KTX20" s="11"/>
      <c r="KTY20" s="11"/>
      <c r="KTZ20" s="11"/>
      <c r="KUA20" s="11"/>
      <c r="KUB20" s="11"/>
      <c r="KUC20" s="11"/>
      <c r="KUD20" s="11"/>
      <c r="KUE20" s="11"/>
      <c r="KUF20" s="11"/>
      <c r="KUG20" s="11"/>
      <c r="KUH20" s="11"/>
      <c r="KUI20" s="11"/>
      <c r="KUJ20" s="11"/>
      <c r="KUK20" s="11"/>
      <c r="KUL20" s="11"/>
      <c r="KUM20" s="11"/>
      <c r="KUN20" s="11"/>
      <c r="KUO20" s="11"/>
      <c r="KUP20" s="11"/>
      <c r="KUQ20" s="11"/>
      <c r="KUR20" s="11"/>
      <c r="KUS20" s="11"/>
      <c r="KUT20" s="11"/>
      <c r="KUU20" s="11"/>
      <c r="KUV20" s="11"/>
      <c r="KUW20" s="11"/>
      <c r="KUX20" s="11"/>
      <c r="KUY20" s="11"/>
      <c r="KUZ20" s="11"/>
      <c r="KVA20" s="11"/>
      <c r="KVB20" s="11"/>
      <c r="KVC20" s="11"/>
      <c r="KVD20" s="11"/>
      <c r="KVE20" s="11"/>
      <c r="KVF20" s="11"/>
      <c r="KVG20" s="11"/>
      <c r="KVH20" s="11"/>
      <c r="KVI20" s="11"/>
      <c r="KVJ20" s="11"/>
      <c r="KVK20" s="11"/>
      <c r="KVL20" s="11"/>
      <c r="KVM20" s="11"/>
      <c r="KVN20" s="11"/>
      <c r="KVO20" s="11"/>
      <c r="KVP20" s="11"/>
      <c r="KVQ20" s="11"/>
      <c r="KVR20" s="11"/>
      <c r="KVS20" s="11"/>
      <c r="KVT20" s="11"/>
      <c r="KVU20" s="11"/>
      <c r="KVV20" s="11"/>
      <c r="KVW20" s="11"/>
      <c r="KVX20" s="11"/>
      <c r="KVY20" s="11"/>
      <c r="KVZ20" s="11"/>
      <c r="KWA20" s="11"/>
      <c r="KWB20" s="11"/>
      <c r="KWC20" s="11"/>
      <c r="KWD20" s="11"/>
      <c r="KWE20" s="11"/>
      <c r="KWF20" s="11"/>
      <c r="KWG20" s="11"/>
      <c r="KWH20" s="11"/>
      <c r="KWI20" s="11"/>
      <c r="KWJ20" s="11"/>
      <c r="KWK20" s="11"/>
      <c r="KWL20" s="11"/>
      <c r="KWM20" s="11"/>
      <c r="KWN20" s="11"/>
      <c r="KWO20" s="11"/>
      <c r="KWP20" s="11"/>
      <c r="KWQ20" s="11"/>
      <c r="KWR20" s="11"/>
      <c r="KWS20" s="11"/>
      <c r="KWT20" s="11"/>
      <c r="KWU20" s="11"/>
      <c r="KWV20" s="11"/>
      <c r="KWW20" s="11"/>
      <c r="KWX20" s="11"/>
      <c r="KWY20" s="11"/>
      <c r="KWZ20" s="11"/>
      <c r="KXA20" s="11"/>
      <c r="KXB20" s="11"/>
      <c r="KXC20" s="11"/>
      <c r="KXD20" s="11"/>
      <c r="KXE20" s="11"/>
      <c r="KXF20" s="11"/>
      <c r="KXG20" s="11"/>
      <c r="KXH20" s="11"/>
      <c r="KXI20" s="11"/>
      <c r="KXJ20" s="11"/>
      <c r="KXK20" s="11"/>
      <c r="KXL20" s="11"/>
      <c r="KXM20" s="11"/>
      <c r="KXN20" s="11"/>
      <c r="KXO20" s="11"/>
      <c r="KXP20" s="11"/>
      <c r="KXQ20" s="11"/>
      <c r="KXR20" s="11"/>
      <c r="KXS20" s="11"/>
      <c r="KXT20" s="11"/>
      <c r="KXU20" s="11"/>
      <c r="KXV20" s="11"/>
      <c r="KXW20" s="11"/>
      <c r="KXX20" s="11"/>
      <c r="KXY20" s="11"/>
      <c r="KXZ20" s="11"/>
      <c r="KYA20" s="11"/>
      <c r="KYB20" s="11"/>
      <c r="KYC20" s="11"/>
      <c r="KYD20" s="11"/>
      <c r="KYE20" s="11"/>
      <c r="KYF20" s="11"/>
      <c r="KYG20" s="11"/>
      <c r="KYH20" s="11"/>
      <c r="KYI20" s="11"/>
      <c r="KYJ20" s="11"/>
      <c r="KYK20" s="11"/>
      <c r="KYL20" s="11"/>
      <c r="KYM20" s="11"/>
      <c r="KYN20" s="11"/>
      <c r="KYO20" s="11"/>
      <c r="KYP20" s="11"/>
      <c r="KYQ20" s="11"/>
      <c r="KYR20" s="11"/>
      <c r="KYS20" s="11"/>
      <c r="KYT20" s="11"/>
      <c r="KYU20" s="11"/>
      <c r="KYV20" s="11"/>
      <c r="KYW20" s="11"/>
      <c r="KYX20" s="11"/>
      <c r="KYY20" s="11"/>
      <c r="KYZ20" s="11"/>
      <c r="KZA20" s="11"/>
      <c r="KZB20" s="11"/>
      <c r="KZC20" s="11"/>
      <c r="KZD20" s="11"/>
      <c r="KZE20" s="11"/>
      <c r="KZF20" s="11"/>
      <c r="KZG20" s="11"/>
      <c r="KZH20" s="11"/>
      <c r="KZI20" s="11"/>
      <c r="KZJ20" s="11"/>
      <c r="KZK20" s="11"/>
      <c r="KZL20" s="11"/>
      <c r="KZM20" s="11"/>
      <c r="KZN20" s="11"/>
      <c r="KZO20" s="11"/>
      <c r="KZP20" s="11"/>
      <c r="KZQ20" s="11"/>
      <c r="KZR20" s="11"/>
      <c r="KZS20" s="11"/>
      <c r="KZT20" s="11"/>
      <c r="KZU20" s="11"/>
      <c r="KZV20" s="11"/>
      <c r="KZW20" s="11"/>
      <c r="KZX20" s="11"/>
      <c r="KZY20" s="11"/>
      <c r="KZZ20" s="11"/>
      <c r="LAA20" s="11"/>
      <c r="LAB20" s="11"/>
      <c r="LAC20" s="11"/>
      <c r="LAD20" s="11"/>
      <c r="LAE20" s="11"/>
      <c r="LAF20" s="11"/>
      <c r="LAG20" s="11"/>
      <c r="LAH20" s="11"/>
      <c r="LAI20" s="11"/>
      <c r="LAJ20" s="11"/>
      <c r="LAK20" s="11"/>
      <c r="LAL20" s="11"/>
      <c r="LAM20" s="11"/>
      <c r="LAN20" s="11"/>
      <c r="LAO20" s="11"/>
      <c r="LAP20" s="11"/>
      <c r="LAQ20" s="11"/>
      <c r="LAR20" s="11"/>
      <c r="LAS20" s="11"/>
      <c r="LAT20" s="11"/>
      <c r="LAU20" s="11"/>
      <c r="LAV20" s="11"/>
      <c r="LAW20" s="11"/>
      <c r="LAX20" s="11"/>
      <c r="LAY20" s="11"/>
      <c r="LAZ20" s="11"/>
      <c r="LBA20" s="11"/>
      <c r="LBB20" s="11"/>
      <c r="LBC20" s="11"/>
      <c r="LBD20" s="11"/>
      <c r="LBE20" s="11"/>
      <c r="LBF20" s="11"/>
      <c r="LBG20" s="11"/>
      <c r="LBH20" s="11"/>
      <c r="LBI20" s="11"/>
      <c r="LBJ20" s="11"/>
      <c r="LBK20" s="11"/>
      <c r="LBL20" s="11"/>
      <c r="LBM20" s="11"/>
      <c r="LBN20" s="11"/>
      <c r="LBO20" s="11"/>
      <c r="LBP20" s="11"/>
      <c r="LBQ20" s="11"/>
      <c r="LBR20" s="11"/>
      <c r="LBS20" s="11"/>
      <c r="LBT20" s="11"/>
      <c r="LBU20" s="11"/>
      <c r="LBV20" s="11"/>
      <c r="LBW20" s="11"/>
      <c r="LBX20" s="11"/>
      <c r="LBY20" s="11"/>
      <c r="LBZ20" s="11"/>
      <c r="LCA20" s="11"/>
      <c r="LCB20" s="11"/>
      <c r="LCC20" s="11"/>
      <c r="LCD20" s="11"/>
      <c r="LCE20" s="11"/>
      <c r="LCF20" s="11"/>
      <c r="LCG20" s="11"/>
      <c r="LCH20" s="11"/>
      <c r="LCI20" s="11"/>
      <c r="LCJ20" s="11"/>
      <c r="LCK20" s="11"/>
      <c r="LCL20" s="11"/>
      <c r="LCM20" s="11"/>
      <c r="LCN20" s="11"/>
      <c r="LCO20" s="11"/>
      <c r="LCP20" s="11"/>
      <c r="LCQ20" s="11"/>
      <c r="LCR20" s="11"/>
      <c r="LCS20" s="11"/>
      <c r="LCT20" s="11"/>
      <c r="LCU20" s="11"/>
      <c r="LCV20" s="11"/>
      <c r="LCW20" s="11"/>
      <c r="LCX20" s="11"/>
      <c r="LCY20" s="11"/>
      <c r="LCZ20" s="11"/>
      <c r="LDA20" s="11"/>
      <c r="LDB20" s="11"/>
      <c r="LDC20" s="11"/>
      <c r="LDD20" s="11"/>
      <c r="LDE20" s="11"/>
      <c r="LDF20" s="11"/>
      <c r="LDG20" s="11"/>
      <c r="LDH20" s="11"/>
      <c r="LDI20" s="11"/>
      <c r="LDJ20" s="11"/>
      <c r="LDK20" s="11"/>
      <c r="LDL20" s="11"/>
      <c r="LDM20" s="11"/>
      <c r="LDN20" s="11"/>
      <c r="LDO20" s="11"/>
      <c r="LDP20" s="11"/>
      <c r="LDQ20" s="11"/>
      <c r="LDR20" s="11"/>
      <c r="LDS20" s="11"/>
      <c r="LDT20" s="11"/>
      <c r="LDU20" s="11"/>
      <c r="LDV20" s="11"/>
      <c r="LDW20" s="11"/>
      <c r="LDX20" s="11"/>
      <c r="LDY20" s="11"/>
      <c r="LDZ20" s="11"/>
      <c r="LEA20" s="11"/>
      <c r="LEB20" s="11"/>
      <c r="LEC20" s="11"/>
      <c r="LED20" s="11"/>
      <c r="LEE20" s="11"/>
      <c r="LEF20" s="11"/>
      <c r="LEG20" s="11"/>
      <c r="LEH20" s="11"/>
      <c r="LEI20" s="11"/>
      <c r="LEJ20" s="11"/>
      <c r="LEK20" s="11"/>
      <c r="LEL20" s="11"/>
      <c r="LEM20" s="11"/>
      <c r="LEN20" s="11"/>
      <c r="LEO20" s="11"/>
      <c r="LEP20" s="11"/>
      <c r="LEQ20" s="11"/>
      <c r="LER20" s="11"/>
      <c r="LES20" s="11"/>
      <c r="LET20" s="11"/>
      <c r="LEU20" s="11"/>
      <c r="LEV20" s="11"/>
      <c r="LEW20" s="11"/>
      <c r="LEX20" s="11"/>
      <c r="LEY20" s="11"/>
      <c r="LEZ20" s="11"/>
      <c r="LFA20" s="11"/>
      <c r="LFB20" s="11"/>
      <c r="LFC20" s="11"/>
      <c r="LFD20" s="11"/>
      <c r="LFE20" s="11"/>
      <c r="LFF20" s="11"/>
      <c r="LFG20" s="11"/>
      <c r="LFH20" s="11"/>
      <c r="LFI20" s="11"/>
      <c r="LFJ20" s="11"/>
      <c r="LFK20" s="11"/>
      <c r="LFL20" s="11"/>
      <c r="LFM20" s="11"/>
      <c r="LFN20" s="11"/>
      <c r="LFO20" s="11"/>
      <c r="LFP20" s="11"/>
      <c r="LFQ20" s="11"/>
      <c r="LFR20" s="11"/>
      <c r="LFS20" s="11"/>
      <c r="LFT20" s="11"/>
      <c r="LFU20" s="11"/>
      <c r="LFV20" s="11"/>
      <c r="LFW20" s="11"/>
      <c r="LFX20" s="11"/>
      <c r="LFY20" s="11"/>
      <c r="LFZ20" s="11"/>
      <c r="LGA20" s="11"/>
      <c r="LGB20" s="11"/>
      <c r="LGC20" s="11"/>
      <c r="LGD20" s="11"/>
      <c r="LGE20" s="11"/>
      <c r="LGF20" s="11"/>
      <c r="LGG20" s="11"/>
      <c r="LGH20" s="11"/>
      <c r="LGI20" s="11"/>
      <c r="LGJ20" s="11"/>
      <c r="LGK20" s="11"/>
      <c r="LGL20" s="11"/>
      <c r="LGM20" s="11"/>
      <c r="LGN20" s="11"/>
      <c r="LGO20" s="11"/>
      <c r="LGP20" s="11"/>
      <c r="LGQ20" s="11"/>
      <c r="LGR20" s="11"/>
      <c r="LGS20" s="11"/>
      <c r="LGT20" s="11"/>
      <c r="LGU20" s="11"/>
      <c r="LGV20" s="11"/>
      <c r="LGW20" s="11"/>
      <c r="LGX20" s="11"/>
      <c r="LGY20" s="11"/>
      <c r="LGZ20" s="11"/>
      <c r="LHA20" s="11"/>
      <c r="LHB20" s="11"/>
      <c r="LHC20" s="11"/>
      <c r="LHD20" s="11"/>
      <c r="LHE20" s="11"/>
      <c r="LHF20" s="11"/>
      <c r="LHG20" s="11"/>
      <c r="LHH20" s="11"/>
      <c r="LHI20" s="11"/>
      <c r="LHJ20" s="11"/>
      <c r="LHK20" s="11"/>
      <c r="LHL20" s="11"/>
      <c r="LHM20" s="11"/>
      <c r="LHN20" s="11"/>
      <c r="LHO20" s="11"/>
      <c r="LHP20" s="11"/>
      <c r="LHQ20" s="11"/>
      <c r="LHR20" s="11"/>
      <c r="LHS20" s="11"/>
      <c r="LHT20" s="11"/>
      <c r="LHU20" s="11"/>
      <c r="LHV20" s="11"/>
      <c r="LHW20" s="11"/>
      <c r="LHX20" s="11"/>
      <c r="LHY20" s="11"/>
      <c r="LHZ20" s="11"/>
      <c r="LIA20" s="11"/>
      <c r="LIB20" s="11"/>
      <c r="LIC20" s="11"/>
      <c r="LID20" s="11"/>
      <c r="LIE20" s="11"/>
      <c r="LIF20" s="11"/>
      <c r="LIG20" s="11"/>
      <c r="LIH20" s="11"/>
      <c r="LII20" s="11"/>
      <c r="LIJ20" s="11"/>
      <c r="LIK20" s="11"/>
      <c r="LIL20" s="11"/>
      <c r="LIM20" s="11"/>
      <c r="LIN20" s="11"/>
      <c r="LIO20" s="11"/>
      <c r="LIP20" s="11"/>
      <c r="LIQ20" s="11"/>
      <c r="LIR20" s="11"/>
      <c r="LIS20" s="11"/>
      <c r="LIT20" s="11"/>
      <c r="LIU20" s="11"/>
      <c r="LIV20" s="11"/>
      <c r="LIW20" s="11"/>
      <c r="LIX20" s="11"/>
      <c r="LIY20" s="11"/>
      <c r="LIZ20" s="11"/>
      <c r="LJA20" s="11"/>
      <c r="LJB20" s="11"/>
      <c r="LJC20" s="11"/>
      <c r="LJD20" s="11"/>
      <c r="LJE20" s="11"/>
      <c r="LJF20" s="11"/>
      <c r="LJG20" s="11"/>
      <c r="LJH20" s="11"/>
      <c r="LJI20" s="11"/>
      <c r="LJJ20" s="11"/>
      <c r="LJK20" s="11"/>
      <c r="LJL20" s="11"/>
      <c r="LJM20" s="11"/>
      <c r="LJN20" s="11"/>
      <c r="LJO20" s="11"/>
      <c r="LJP20" s="11"/>
      <c r="LJQ20" s="11"/>
      <c r="LJR20" s="11"/>
      <c r="LJS20" s="11"/>
      <c r="LJT20" s="11"/>
      <c r="LJU20" s="11"/>
      <c r="LJV20" s="11"/>
      <c r="LJW20" s="11"/>
      <c r="LJX20" s="11"/>
      <c r="LJY20" s="11"/>
      <c r="LJZ20" s="11"/>
      <c r="LKA20" s="11"/>
      <c r="LKB20" s="11"/>
      <c r="LKC20" s="11"/>
      <c r="LKD20" s="11"/>
      <c r="LKE20" s="11"/>
      <c r="LKF20" s="11"/>
      <c r="LKG20" s="11"/>
      <c r="LKH20" s="11"/>
      <c r="LKI20" s="11"/>
      <c r="LKJ20" s="11"/>
      <c r="LKK20" s="11"/>
      <c r="LKL20" s="11"/>
      <c r="LKM20" s="11"/>
      <c r="LKN20" s="11"/>
      <c r="LKO20" s="11"/>
      <c r="LKP20" s="11"/>
      <c r="LKQ20" s="11"/>
      <c r="LKR20" s="11"/>
      <c r="LKS20" s="11"/>
      <c r="LKT20" s="11"/>
      <c r="LKU20" s="11"/>
      <c r="LKV20" s="11"/>
      <c r="LKW20" s="11"/>
      <c r="LKX20" s="11"/>
      <c r="LKY20" s="11"/>
      <c r="LKZ20" s="11"/>
      <c r="LLA20" s="11"/>
      <c r="LLB20" s="11"/>
      <c r="LLC20" s="11"/>
      <c r="LLD20" s="11"/>
      <c r="LLE20" s="11"/>
      <c r="LLF20" s="11"/>
      <c r="LLG20" s="11"/>
      <c r="LLH20" s="11"/>
      <c r="LLI20" s="11"/>
      <c r="LLJ20" s="11"/>
      <c r="LLK20" s="11"/>
      <c r="LLL20" s="11"/>
      <c r="LLM20" s="11"/>
      <c r="LLN20" s="11"/>
      <c r="LLO20" s="11"/>
      <c r="LLP20" s="11"/>
      <c r="LLQ20" s="11"/>
      <c r="LLR20" s="11"/>
      <c r="LLS20" s="11"/>
      <c r="LLT20" s="11"/>
      <c r="LLU20" s="11"/>
      <c r="LLV20" s="11"/>
      <c r="LLW20" s="11"/>
      <c r="LLX20" s="11"/>
      <c r="LLY20" s="11"/>
      <c r="LLZ20" s="11"/>
      <c r="LMA20" s="11"/>
      <c r="LMB20" s="11"/>
      <c r="LMC20" s="11"/>
      <c r="LMD20" s="11"/>
      <c r="LME20" s="11"/>
      <c r="LMF20" s="11"/>
      <c r="LMG20" s="11"/>
      <c r="LMH20" s="11"/>
      <c r="LMI20" s="11"/>
      <c r="LMJ20" s="11"/>
      <c r="LMK20" s="11"/>
      <c r="LML20" s="11"/>
      <c r="LMM20" s="11"/>
      <c r="LMN20" s="11"/>
      <c r="LMO20" s="11"/>
      <c r="LMP20" s="11"/>
      <c r="LMQ20" s="11"/>
      <c r="LMR20" s="11"/>
      <c r="LMS20" s="11"/>
      <c r="LMT20" s="11"/>
      <c r="LMU20" s="11"/>
      <c r="LMV20" s="11"/>
      <c r="LMW20" s="11"/>
      <c r="LMX20" s="11"/>
      <c r="LMY20" s="11"/>
      <c r="LMZ20" s="11"/>
      <c r="LNA20" s="11"/>
      <c r="LNB20" s="11"/>
      <c r="LNC20" s="11"/>
      <c r="LND20" s="11"/>
      <c r="LNE20" s="11"/>
      <c r="LNF20" s="11"/>
      <c r="LNG20" s="11"/>
      <c r="LNH20" s="11"/>
      <c r="LNI20" s="11"/>
      <c r="LNJ20" s="11"/>
      <c r="LNK20" s="11"/>
      <c r="LNL20" s="11"/>
      <c r="LNM20" s="11"/>
      <c r="LNN20" s="11"/>
      <c r="LNO20" s="11"/>
      <c r="LNP20" s="11"/>
      <c r="LNQ20" s="11"/>
      <c r="LNR20" s="11"/>
      <c r="LNS20" s="11"/>
      <c r="LNT20" s="11"/>
      <c r="LNU20" s="11"/>
      <c r="LNV20" s="11"/>
      <c r="LNW20" s="11"/>
      <c r="LNX20" s="11"/>
      <c r="LNY20" s="11"/>
      <c r="LNZ20" s="11"/>
      <c r="LOA20" s="11"/>
      <c r="LOB20" s="11"/>
      <c r="LOC20" s="11"/>
      <c r="LOD20" s="11"/>
      <c r="LOE20" s="11"/>
      <c r="LOF20" s="11"/>
      <c r="LOG20" s="11"/>
      <c r="LOH20" s="11"/>
      <c r="LOI20" s="11"/>
      <c r="LOJ20" s="11"/>
      <c r="LOK20" s="11"/>
      <c r="LOL20" s="11"/>
      <c r="LOM20" s="11"/>
      <c r="LON20" s="11"/>
      <c r="LOO20" s="11"/>
      <c r="LOP20" s="11"/>
      <c r="LOQ20" s="11"/>
      <c r="LOR20" s="11"/>
      <c r="LOS20" s="11"/>
      <c r="LOT20" s="11"/>
      <c r="LOU20" s="11"/>
      <c r="LOV20" s="11"/>
      <c r="LOW20" s="11"/>
      <c r="LOX20" s="11"/>
      <c r="LOY20" s="11"/>
      <c r="LOZ20" s="11"/>
      <c r="LPA20" s="11"/>
      <c r="LPB20" s="11"/>
      <c r="LPC20" s="11"/>
      <c r="LPD20" s="11"/>
      <c r="LPE20" s="11"/>
      <c r="LPF20" s="11"/>
      <c r="LPG20" s="11"/>
      <c r="LPH20" s="11"/>
      <c r="LPI20" s="11"/>
      <c r="LPJ20" s="11"/>
      <c r="LPK20" s="11"/>
      <c r="LPL20" s="11"/>
      <c r="LPM20" s="11"/>
      <c r="LPN20" s="11"/>
      <c r="LPO20" s="11"/>
      <c r="LPP20" s="11"/>
      <c r="LPQ20" s="11"/>
      <c r="LPR20" s="11"/>
      <c r="LPS20" s="11"/>
      <c r="LPT20" s="11"/>
      <c r="LPU20" s="11"/>
      <c r="LPV20" s="11"/>
      <c r="LPW20" s="11"/>
      <c r="LPX20" s="11"/>
      <c r="LPY20" s="11"/>
      <c r="LPZ20" s="11"/>
      <c r="LQA20" s="11"/>
      <c r="LQB20" s="11"/>
      <c r="LQC20" s="11"/>
      <c r="LQD20" s="11"/>
      <c r="LQE20" s="11"/>
      <c r="LQF20" s="11"/>
      <c r="LQG20" s="11"/>
      <c r="LQH20" s="11"/>
      <c r="LQI20" s="11"/>
      <c r="LQJ20" s="11"/>
      <c r="LQK20" s="11"/>
      <c r="LQL20" s="11"/>
      <c r="LQM20" s="11"/>
      <c r="LQN20" s="11"/>
      <c r="LQO20" s="11"/>
      <c r="LQP20" s="11"/>
      <c r="LQQ20" s="11"/>
      <c r="LQR20" s="11"/>
      <c r="LQS20" s="11"/>
      <c r="LQT20" s="11"/>
      <c r="LQU20" s="11"/>
      <c r="LQV20" s="11"/>
      <c r="LQW20" s="11"/>
      <c r="LQX20" s="11"/>
      <c r="LQY20" s="11"/>
      <c r="LQZ20" s="11"/>
      <c r="LRA20" s="11"/>
      <c r="LRB20" s="11"/>
      <c r="LRC20" s="11"/>
      <c r="LRD20" s="11"/>
      <c r="LRE20" s="11"/>
      <c r="LRF20" s="11"/>
      <c r="LRG20" s="11"/>
      <c r="LRH20" s="11"/>
      <c r="LRI20" s="11"/>
      <c r="LRJ20" s="11"/>
      <c r="LRK20" s="11"/>
      <c r="LRL20" s="11"/>
      <c r="LRM20" s="11"/>
      <c r="LRN20" s="11"/>
      <c r="LRO20" s="11"/>
      <c r="LRP20" s="11"/>
      <c r="LRQ20" s="11"/>
      <c r="LRR20" s="11"/>
      <c r="LRS20" s="11"/>
      <c r="LRT20" s="11"/>
      <c r="LRU20" s="11"/>
      <c r="LRV20" s="11"/>
      <c r="LRW20" s="11"/>
      <c r="LRX20" s="11"/>
      <c r="LRY20" s="11"/>
      <c r="LRZ20" s="11"/>
      <c r="LSA20" s="11"/>
      <c r="LSB20" s="11"/>
      <c r="LSC20" s="11"/>
      <c r="LSD20" s="11"/>
      <c r="LSE20" s="11"/>
      <c r="LSF20" s="11"/>
      <c r="LSG20" s="11"/>
      <c r="LSH20" s="11"/>
      <c r="LSI20" s="11"/>
      <c r="LSJ20" s="11"/>
      <c r="LSK20" s="11"/>
      <c r="LSL20" s="11"/>
      <c r="LSM20" s="11"/>
      <c r="LSN20" s="11"/>
      <c r="LSO20" s="11"/>
      <c r="LSP20" s="11"/>
      <c r="LSQ20" s="11"/>
      <c r="LSR20" s="11"/>
      <c r="LSS20" s="11"/>
      <c r="LST20" s="11"/>
      <c r="LSU20" s="11"/>
      <c r="LSV20" s="11"/>
      <c r="LSW20" s="11"/>
      <c r="LSX20" s="11"/>
      <c r="LSY20" s="11"/>
      <c r="LSZ20" s="11"/>
      <c r="LTA20" s="11"/>
      <c r="LTB20" s="11"/>
      <c r="LTC20" s="11"/>
      <c r="LTD20" s="11"/>
      <c r="LTE20" s="11"/>
      <c r="LTF20" s="11"/>
      <c r="LTG20" s="11"/>
      <c r="LTH20" s="11"/>
      <c r="LTI20" s="11"/>
      <c r="LTJ20" s="11"/>
      <c r="LTK20" s="11"/>
      <c r="LTL20" s="11"/>
      <c r="LTM20" s="11"/>
      <c r="LTN20" s="11"/>
      <c r="LTO20" s="11"/>
      <c r="LTP20" s="11"/>
      <c r="LTQ20" s="11"/>
      <c r="LTR20" s="11"/>
      <c r="LTS20" s="11"/>
      <c r="LTT20" s="11"/>
      <c r="LTU20" s="11"/>
      <c r="LTV20" s="11"/>
      <c r="LTW20" s="11"/>
      <c r="LTX20" s="11"/>
      <c r="LTY20" s="11"/>
      <c r="LTZ20" s="11"/>
      <c r="LUA20" s="11"/>
      <c r="LUB20" s="11"/>
      <c r="LUC20" s="11"/>
      <c r="LUD20" s="11"/>
      <c r="LUE20" s="11"/>
      <c r="LUF20" s="11"/>
      <c r="LUG20" s="11"/>
      <c r="LUH20" s="11"/>
      <c r="LUI20" s="11"/>
      <c r="LUJ20" s="11"/>
      <c r="LUK20" s="11"/>
      <c r="LUL20" s="11"/>
      <c r="LUM20" s="11"/>
      <c r="LUN20" s="11"/>
      <c r="LUO20" s="11"/>
      <c r="LUP20" s="11"/>
      <c r="LUQ20" s="11"/>
      <c r="LUR20" s="11"/>
      <c r="LUS20" s="11"/>
      <c r="LUT20" s="11"/>
      <c r="LUU20" s="11"/>
      <c r="LUV20" s="11"/>
      <c r="LUW20" s="11"/>
      <c r="LUX20" s="11"/>
      <c r="LUY20" s="11"/>
      <c r="LUZ20" s="11"/>
      <c r="LVA20" s="11"/>
      <c r="LVB20" s="11"/>
      <c r="LVC20" s="11"/>
      <c r="LVD20" s="11"/>
      <c r="LVE20" s="11"/>
      <c r="LVF20" s="11"/>
      <c r="LVG20" s="11"/>
      <c r="LVH20" s="11"/>
      <c r="LVI20" s="11"/>
      <c r="LVJ20" s="11"/>
      <c r="LVK20" s="11"/>
      <c r="LVL20" s="11"/>
      <c r="LVM20" s="11"/>
      <c r="LVN20" s="11"/>
      <c r="LVO20" s="11"/>
      <c r="LVP20" s="11"/>
      <c r="LVQ20" s="11"/>
      <c r="LVR20" s="11"/>
      <c r="LVS20" s="11"/>
      <c r="LVT20" s="11"/>
      <c r="LVU20" s="11"/>
      <c r="LVV20" s="11"/>
      <c r="LVW20" s="11"/>
      <c r="LVX20" s="11"/>
      <c r="LVY20" s="11"/>
      <c r="LVZ20" s="11"/>
      <c r="LWA20" s="11"/>
      <c r="LWB20" s="11"/>
      <c r="LWC20" s="11"/>
      <c r="LWD20" s="11"/>
      <c r="LWE20" s="11"/>
      <c r="LWF20" s="11"/>
      <c r="LWG20" s="11"/>
      <c r="LWH20" s="11"/>
      <c r="LWI20" s="11"/>
      <c r="LWJ20" s="11"/>
      <c r="LWK20" s="11"/>
      <c r="LWL20" s="11"/>
      <c r="LWM20" s="11"/>
      <c r="LWN20" s="11"/>
      <c r="LWO20" s="11"/>
      <c r="LWP20" s="11"/>
      <c r="LWQ20" s="11"/>
      <c r="LWR20" s="11"/>
      <c r="LWS20" s="11"/>
      <c r="LWT20" s="11"/>
      <c r="LWU20" s="11"/>
      <c r="LWV20" s="11"/>
      <c r="LWW20" s="11"/>
      <c r="LWX20" s="11"/>
      <c r="LWY20" s="11"/>
      <c r="LWZ20" s="11"/>
      <c r="LXA20" s="11"/>
      <c r="LXB20" s="11"/>
      <c r="LXC20" s="11"/>
      <c r="LXD20" s="11"/>
      <c r="LXE20" s="11"/>
      <c r="LXF20" s="11"/>
      <c r="LXG20" s="11"/>
      <c r="LXH20" s="11"/>
      <c r="LXI20" s="11"/>
      <c r="LXJ20" s="11"/>
      <c r="LXK20" s="11"/>
      <c r="LXL20" s="11"/>
      <c r="LXM20" s="11"/>
      <c r="LXN20" s="11"/>
      <c r="LXO20" s="11"/>
      <c r="LXP20" s="11"/>
      <c r="LXQ20" s="11"/>
      <c r="LXR20" s="11"/>
      <c r="LXS20" s="11"/>
      <c r="LXT20" s="11"/>
      <c r="LXU20" s="11"/>
      <c r="LXV20" s="11"/>
      <c r="LXW20" s="11"/>
      <c r="LXX20" s="11"/>
      <c r="LXY20" s="11"/>
      <c r="LXZ20" s="11"/>
      <c r="LYA20" s="11"/>
      <c r="LYB20" s="11"/>
      <c r="LYC20" s="11"/>
      <c r="LYD20" s="11"/>
      <c r="LYE20" s="11"/>
      <c r="LYF20" s="11"/>
      <c r="LYG20" s="11"/>
      <c r="LYH20" s="11"/>
      <c r="LYI20" s="11"/>
      <c r="LYJ20" s="11"/>
      <c r="LYK20" s="11"/>
      <c r="LYL20" s="11"/>
      <c r="LYM20" s="11"/>
      <c r="LYN20" s="11"/>
      <c r="LYO20" s="11"/>
      <c r="LYP20" s="11"/>
      <c r="LYQ20" s="11"/>
      <c r="LYR20" s="11"/>
      <c r="LYS20" s="11"/>
      <c r="LYT20" s="11"/>
      <c r="LYU20" s="11"/>
      <c r="LYV20" s="11"/>
      <c r="LYW20" s="11"/>
      <c r="LYX20" s="11"/>
      <c r="LYY20" s="11"/>
      <c r="LYZ20" s="11"/>
      <c r="LZA20" s="11"/>
      <c r="LZB20" s="11"/>
      <c r="LZC20" s="11"/>
      <c r="LZD20" s="11"/>
      <c r="LZE20" s="11"/>
      <c r="LZF20" s="11"/>
      <c r="LZG20" s="11"/>
      <c r="LZH20" s="11"/>
      <c r="LZI20" s="11"/>
      <c r="LZJ20" s="11"/>
      <c r="LZK20" s="11"/>
      <c r="LZL20" s="11"/>
      <c r="LZM20" s="11"/>
      <c r="LZN20" s="11"/>
      <c r="LZO20" s="11"/>
      <c r="LZP20" s="11"/>
      <c r="LZQ20" s="11"/>
      <c r="LZR20" s="11"/>
      <c r="LZS20" s="11"/>
      <c r="LZT20" s="11"/>
      <c r="LZU20" s="11"/>
      <c r="LZV20" s="11"/>
      <c r="LZW20" s="11"/>
      <c r="LZX20" s="11"/>
      <c r="LZY20" s="11"/>
      <c r="LZZ20" s="11"/>
      <c r="MAA20" s="11"/>
      <c r="MAB20" s="11"/>
      <c r="MAC20" s="11"/>
      <c r="MAD20" s="11"/>
      <c r="MAE20" s="11"/>
      <c r="MAF20" s="11"/>
      <c r="MAG20" s="11"/>
      <c r="MAH20" s="11"/>
      <c r="MAI20" s="11"/>
      <c r="MAJ20" s="11"/>
      <c r="MAK20" s="11"/>
      <c r="MAL20" s="11"/>
      <c r="MAM20" s="11"/>
      <c r="MAN20" s="11"/>
      <c r="MAO20" s="11"/>
      <c r="MAP20" s="11"/>
      <c r="MAQ20" s="11"/>
      <c r="MAR20" s="11"/>
      <c r="MAS20" s="11"/>
      <c r="MAT20" s="11"/>
      <c r="MAU20" s="11"/>
      <c r="MAV20" s="11"/>
      <c r="MAW20" s="11"/>
      <c r="MAX20" s="11"/>
      <c r="MAY20" s="11"/>
      <c r="MAZ20" s="11"/>
      <c r="MBA20" s="11"/>
      <c r="MBB20" s="11"/>
      <c r="MBC20" s="11"/>
      <c r="MBD20" s="11"/>
      <c r="MBE20" s="11"/>
      <c r="MBF20" s="11"/>
      <c r="MBG20" s="11"/>
      <c r="MBH20" s="11"/>
      <c r="MBI20" s="11"/>
      <c r="MBJ20" s="11"/>
      <c r="MBK20" s="11"/>
      <c r="MBL20" s="11"/>
      <c r="MBM20" s="11"/>
      <c r="MBN20" s="11"/>
      <c r="MBO20" s="11"/>
      <c r="MBP20" s="11"/>
      <c r="MBQ20" s="11"/>
      <c r="MBR20" s="11"/>
      <c r="MBS20" s="11"/>
      <c r="MBT20" s="11"/>
      <c r="MBU20" s="11"/>
      <c r="MBV20" s="11"/>
      <c r="MBW20" s="11"/>
      <c r="MBX20" s="11"/>
      <c r="MBY20" s="11"/>
      <c r="MBZ20" s="11"/>
      <c r="MCA20" s="11"/>
      <c r="MCB20" s="11"/>
      <c r="MCC20" s="11"/>
      <c r="MCD20" s="11"/>
      <c r="MCE20" s="11"/>
      <c r="MCF20" s="11"/>
      <c r="MCG20" s="11"/>
      <c r="MCH20" s="11"/>
      <c r="MCI20" s="11"/>
      <c r="MCJ20" s="11"/>
      <c r="MCK20" s="11"/>
      <c r="MCL20" s="11"/>
      <c r="MCM20" s="11"/>
      <c r="MCN20" s="11"/>
      <c r="MCO20" s="11"/>
      <c r="MCP20" s="11"/>
      <c r="MCQ20" s="11"/>
      <c r="MCR20" s="11"/>
      <c r="MCS20" s="11"/>
      <c r="MCT20" s="11"/>
      <c r="MCU20" s="11"/>
      <c r="MCV20" s="11"/>
      <c r="MCW20" s="11"/>
      <c r="MCX20" s="11"/>
      <c r="MCY20" s="11"/>
      <c r="MCZ20" s="11"/>
      <c r="MDA20" s="11"/>
      <c r="MDB20" s="11"/>
      <c r="MDC20" s="11"/>
      <c r="MDD20" s="11"/>
      <c r="MDE20" s="11"/>
      <c r="MDF20" s="11"/>
      <c r="MDG20" s="11"/>
      <c r="MDH20" s="11"/>
      <c r="MDI20" s="11"/>
      <c r="MDJ20" s="11"/>
      <c r="MDK20" s="11"/>
      <c r="MDL20" s="11"/>
      <c r="MDM20" s="11"/>
      <c r="MDN20" s="11"/>
      <c r="MDO20" s="11"/>
      <c r="MDP20" s="11"/>
      <c r="MDQ20" s="11"/>
      <c r="MDR20" s="11"/>
      <c r="MDS20" s="11"/>
      <c r="MDT20" s="11"/>
      <c r="MDU20" s="11"/>
      <c r="MDV20" s="11"/>
      <c r="MDW20" s="11"/>
      <c r="MDX20" s="11"/>
      <c r="MDY20" s="11"/>
      <c r="MDZ20" s="11"/>
      <c r="MEA20" s="11"/>
      <c r="MEB20" s="11"/>
      <c r="MEC20" s="11"/>
      <c r="MED20" s="11"/>
      <c r="MEE20" s="11"/>
      <c r="MEF20" s="11"/>
      <c r="MEG20" s="11"/>
      <c r="MEH20" s="11"/>
      <c r="MEI20" s="11"/>
      <c r="MEJ20" s="11"/>
      <c r="MEK20" s="11"/>
      <c r="MEL20" s="11"/>
      <c r="MEM20" s="11"/>
      <c r="MEN20" s="11"/>
      <c r="MEO20" s="11"/>
      <c r="MEP20" s="11"/>
      <c r="MEQ20" s="11"/>
      <c r="MER20" s="11"/>
      <c r="MES20" s="11"/>
      <c r="MET20" s="11"/>
      <c r="MEU20" s="11"/>
      <c r="MEV20" s="11"/>
      <c r="MEW20" s="11"/>
      <c r="MEX20" s="11"/>
      <c r="MEY20" s="11"/>
      <c r="MEZ20" s="11"/>
      <c r="MFA20" s="11"/>
      <c r="MFB20" s="11"/>
      <c r="MFC20" s="11"/>
      <c r="MFD20" s="11"/>
      <c r="MFE20" s="11"/>
      <c r="MFF20" s="11"/>
      <c r="MFG20" s="11"/>
      <c r="MFH20" s="11"/>
      <c r="MFI20" s="11"/>
      <c r="MFJ20" s="11"/>
      <c r="MFK20" s="11"/>
      <c r="MFL20" s="11"/>
      <c r="MFM20" s="11"/>
      <c r="MFN20" s="11"/>
      <c r="MFO20" s="11"/>
      <c r="MFP20" s="11"/>
      <c r="MFQ20" s="11"/>
      <c r="MFR20" s="11"/>
      <c r="MFS20" s="11"/>
      <c r="MFT20" s="11"/>
      <c r="MFU20" s="11"/>
      <c r="MFV20" s="11"/>
      <c r="MFW20" s="11"/>
      <c r="MFX20" s="11"/>
      <c r="MFY20" s="11"/>
      <c r="MFZ20" s="11"/>
      <c r="MGA20" s="11"/>
      <c r="MGB20" s="11"/>
      <c r="MGC20" s="11"/>
      <c r="MGD20" s="11"/>
      <c r="MGE20" s="11"/>
      <c r="MGF20" s="11"/>
      <c r="MGG20" s="11"/>
      <c r="MGH20" s="11"/>
      <c r="MGI20" s="11"/>
      <c r="MGJ20" s="11"/>
      <c r="MGK20" s="11"/>
      <c r="MGL20" s="11"/>
      <c r="MGM20" s="11"/>
      <c r="MGN20" s="11"/>
      <c r="MGO20" s="11"/>
      <c r="MGP20" s="11"/>
      <c r="MGQ20" s="11"/>
      <c r="MGR20" s="11"/>
      <c r="MGS20" s="11"/>
      <c r="MGT20" s="11"/>
      <c r="MGU20" s="11"/>
      <c r="MGV20" s="11"/>
      <c r="MGW20" s="11"/>
      <c r="MGX20" s="11"/>
      <c r="MGY20" s="11"/>
      <c r="MGZ20" s="11"/>
      <c r="MHA20" s="11"/>
      <c r="MHB20" s="11"/>
      <c r="MHC20" s="11"/>
      <c r="MHD20" s="11"/>
      <c r="MHE20" s="11"/>
      <c r="MHF20" s="11"/>
      <c r="MHG20" s="11"/>
      <c r="MHH20" s="11"/>
      <c r="MHI20" s="11"/>
      <c r="MHJ20" s="11"/>
      <c r="MHK20" s="11"/>
      <c r="MHL20" s="11"/>
      <c r="MHM20" s="11"/>
      <c r="MHN20" s="11"/>
      <c r="MHO20" s="11"/>
      <c r="MHP20" s="11"/>
      <c r="MHQ20" s="11"/>
      <c r="MHR20" s="11"/>
      <c r="MHS20" s="11"/>
      <c r="MHT20" s="11"/>
      <c r="MHU20" s="11"/>
      <c r="MHV20" s="11"/>
      <c r="MHW20" s="11"/>
      <c r="MHX20" s="11"/>
      <c r="MHY20" s="11"/>
      <c r="MHZ20" s="11"/>
      <c r="MIA20" s="11"/>
      <c r="MIB20" s="11"/>
      <c r="MIC20" s="11"/>
      <c r="MID20" s="11"/>
      <c r="MIE20" s="11"/>
      <c r="MIF20" s="11"/>
      <c r="MIG20" s="11"/>
      <c r="MIH20" s="11"/>
      <c r="MII20" s="11"/>
      <c r="MIJ20" s="11"/>
      <c r="MIK20" s="11"/>
      <c r="MIL20" s="11"/>
      <c r="MIM20" s="11"/>
      <c r="MIN20" s="11"/>
      <c r="MIO20" s="11"/>
      <c r="MIP20" s="11"/>
      <c r="MIQ20" s="11"/>
      <c r="MIR20" s="11"/>
      <c r="MIS20" s="11"/>
      <c r="MIT20" s="11"/>
      <c r="MIU20" s="11"/>
      <c r="MIV20" s="11"/>
      <c r="MIW20" s="11"/>
      <c r="MIX20" s="11"/>
      <c r="MIY20" s="11"/>
      <c r="MIZ20" s="11"/>
      <c r="MJA20" s="11"/>
      <c r="MJB20" s="11"/>
      <c r="MJC20" s="11"/>
      <c r="MJD20" s="11"/>
      <c r="MJE20" s="11"/>
      <c r="MJF20" s="11"/>
      <c r="MJG20" s="11"/>
      <c r="MJH20" s="11"/>
      <c r="MJI20" s="11"/>
      <c r="MJJ20" s="11"/>
      <c r="MJK20" s="11"/>
      <c r="MJL20" s="11"/>
      <c r="MJM20" s="11"/>
      <c r="MJN20" s="11"/>
      <c r="MJO20" s="11"/>
      <c r="MJP20" s="11"/>
      <c r="MJQ20" s="11"/>
      <c r="MJR20" s="11"/>
      <c r="MJS20" s="11"/>
      <c r="MJT20" s="11"/>
      <c r="MJU20" s="11"/>
      <c r="MJV20" s="11"/>
      <c r="MJW20" s="11"/>
      <c r="MJX20" s="11"/>
      <c r="MJY20" s="11"/>
      <c r="MJZ20" s="11"/>
      <c r="MKA20" s="11"/>
      <c r="MKB20" s="11"/>
      <c r="MKC20" s="11"/>
      <c r="MKD20" s="11"/>
      <c r="MKE20" s="11"/>
      <c r="MKF20" s="11"/>
      <c r="MKG20" s="11"/>
      <c r="MKH20" s="11"/>
      <c r="MKI20" s="11"/>
      <c r="MKJ20" s="11"/>
      <c r="MKK20" s="11"/>
      <c r="MKL20" s="11"/>
      <c r="MKM20" s="11"/>
      <c r="MKN20" s="11"/>
      <c r="MKO20" s="11"/>
      <c r="MKP20" s="11"/>
      <c r="MKQ20" s="11"/>
      <c r="MKR20" s="11"/>
      <c r="MKS20" s="11"/>
      <c r="MKT20" s="11"/>
      <c r="MKU20" s="11"/>
      <c r="MKV20" s="11"/>
      <c r="MKW20" s="11"/>
      <c r="MKX20" s="11"/>
      <c r="MKY20" s="11"/>
      <c r="MKZ20" s="11"/>
      <c r="MLA20" s="11"/>
      <c r="MLB20" s="11"/>
      <c r="MLC20" s="11"/>
      <c r="MLD20" s="11"/>
      <c r="MLE20" s="11"/>
      <c r="MLF20" s="11"/>
      <c r="MLG20" s="11"/>
      <c r="MLH20" s="11"/>
      <c r="MLI20" s="11"/>
      <c r="MLJ20" s="11"/>
      <c r="MLK20" s="11"/>
      <c r="MLL20" s="11"/>
      <c r="MLM20" s="11"/>
      <c r="MLN20" s="11"/>
      <c r="MLO20" s="11"/>
      <c r="MLP20" s="11"/>
      <c r="MLQ20" s="11"/>
      <c r="MLR20" s="11"/>
      <c r="MLS20" s="11"/>
      <c r="MLT20" s="11"/>
      <c r="MLU20" s="11"/>
      <c r="MLV20" s="11"/>
      <c r="MLW20" s="11"/>
      <c r="MLX20" s="11"/>
      <c r="MLY20" s="11"/>
      <c r="MLZ20" s="11"/>
      <c r="MMA20" s="11"/>
      <c r="MMB20" s="11"/>
      <c r="MMC20" s="11"/>
      <c r="MMD20" s="11"/>
      <c r="MME20" s="11"/>
      <c r="MMF20" s="11"/>
      <c r="MMG20" s="11"/>
      <c r="MMH20" s="11"/>
      <c r="MMI20" s="11"/>
      <c r="MMJ20" s="11"/>
      <c r="MMK20" s="11"/>
      <c r="MML20" s="11"/>
      <c r="MMM20" s="11"/>
      <c r="MMN20" s="11"/>
      <c r="MMO20" s="11"/>
      <c r="MMP20" s="11"/>
      <c r="MMQ20" s="11"/>
      <c r="MMR20" s="11"/>
      <c r="MMS20" s="11"/>
      <c r="MMT20" s="11"/>
      <c r="MMU20" s="11"/>
      <c r="MMV20" s="11"/>
      <c r="MMW20" s="11"/>
      <c r="MMX20" s="11"/>
      <c r="MMY20" s="11"/>
      <c r="MMZ20" s="11"/>
      <c r="MNA20" s="11"/>
      <c r="MNB20" s="11"/>
      <c r="MNC20" s="11"/>
      <c r="MND20" s="11"/>
      <c r="MNE20" s="11"/>
      <c r="MNF20" s="11"/>
      <c r="MNG20" s="11"/>
      <c r="MNH20" s="11"/>
      <c r="MNI20" s="11"/>
      <c r="MNJ20" s="11"/>
      <c r="MNK20" s="11"/>
      <c r="MNL20" s="11"/>
      <c r="MNM20" s="11"/>
      <c r="MNN20" s="11"/>
      <c r="MNO20" s="11"/>
      <c r="MNP20" s="11"/>
      <c r="MNQ20" s="11"/>
      <c r="MNR20" s="11"/>
      <c r="MNS20" s="11"/>
      <c r="MNT20" s="11"/>
      <c r="MNU20" s="11"/>
      <c r="MNV20" s="11"/>
      <c r="MNW20" s="11"/>
      <c r="MNX20" s="11"/>
      <c r="MNY20" s="11"/>
      <c r="MNZ20" s="11"/>
      <c r="MOA20" s="11"/>
      <c r="MOB20" s="11"/>
      <c r="MOC20" s="11"/>
      <c r="MOD20" s="11"/>
      <c r="MOE20" s="11"/>
      <c r="MOF20" s="11"/>
      <c r="MOG20" s="11"/>
      <c r="MOH20" s="11"/>
      <c r="MOI20" s="11"/>
      <c r="MOJ20" s="11"/>
      <c r="MOK20" s="11"/>
      <c r="MOL20" s="11"/>
      <c r="MOM20" s="11"/>
      <c r="MON20" s="11"/>
      <c r="MOO20" s="11"/>
      <c r="MOP20" s="11"/>
      <c r="MOQ20" s="11"/>
      <c r="MOR20" s="11"/>
      <c r="MOS20" s="11"/>
      <c r="MOT20" s="11"/>
      <c r="MOU20" s="11"/>
      <c r="MOV20" s="11"/>
      <c r="MOW20" s="11"/>
      <c r="MOX20" s="11"/>
      <c r="MOY20" s="11"/>
      <c r="MOZ20" s="11"/>
      <c r="MPA20" s="11"/>
      <c r="MPB20" s="11"/>
      <c r="MPC20" s="11"/>
      <c r="MPD20" s="11"/>
      <c r="MPE20" s="11"/>
      <c r="MPF20" s="11"/>
      <c r="MPG20" s="11"/>
      <c r="MPH20" s="11"/>
      <c r="MPI20" s="11"/>
      <c r="MPJ20" s="11"/>
      <c r="MPK20" s="11"/>
      <c r="MPL20" s="11"/>
      <c r="MPM20" s="11"/>
      <c r="MPN20" s="11"/>
      <c r="MPO20" s="11"/>
      <c r="MPP20" s="11"/>
      <c r="MPQ20" s="11"/>
      <c r="MPR20" s="11"/>
      <c r="MPS20" s="11"/>
      <c r="MPT20" s="11"/>
      <c r="MPU20" s="11"/>
      <c r="MPV20" s="11"/>
      <c r="MPW20" s="11"/>
      <c r="MPX20" s="11"/>
      <c r="MPY20" s="11"/>
      <c r="MPZ20" s="11"/>
      <c r="MQA20" s="11"/>
      <c r="MQB20" s="11"/>
      <c r="MQC20" s="11"/>
      <c r="MQD20" s="11"/>
      <c r="MQE20" s="11"/>
      <c r="MQF20" s="11"/>
      <c r="MQG20" s="11"/>
      <c r="MQH20" s="11"/>
      <c r="MQI20" s="11"/>
      <c r="MQJ20" s="11"/>
      <c r="MQK20" s="11"/>
      <c r="MQL20" s="11"/>
      <c r="MQM20" s="11"/>
      <c r="MQN20" s="11"/>
      <c r="MQO20" s="11"/>
      <c r="MQP20" s="11"/>
      <c r="MQQ20" s="11"/>
      <c r="MQR20" s="11"/>
      <c r="MQS20" s="11"/>
      <c r="MQT20" s="11"/>
      <c r="MQU20" s="11"/>
      <c r="MQV20" s="11"/>
      <c r="MQW20" s="11"/>
      <c r="MQX20" s="11"/>
      <c r="MQY20" s="11"/>
      <c r="MQZ20" s="11"/>
      <c r="MRA20" s="11"/>
      <c r="MRB20" s="11"/>
      <c r="MRC20" s="11"/>
      <c r="MRD20" s="11"/>
      <c r="MRE20" s="11"/>
      <c r="MRF20" s="11"/>
      <c r="MRG20" s="11"/>
      <c r="MRH20" s="11"/>
      <c r="MRI20" s="11"/>
      <c r="MRJ20" s="11"/>
      <c r="MRK20" s="11"/>
      <c r="MRL20" s="11"/>
      <c r="MRM20" s="11"/>
      <c r="MRN20" s="11"/>
      <c r="MRO20" s="11"/>
      <c r="MRP20" s="11"/>
      <c r="MRQ20" s="11"/>
      <c r="MRR20" s="11"/>
      <c r="MRS20" s="11"/>
      <c r="MRT20" s="11"/>
      <c r="MRU20" s="11"/>
      <c r="MRV20" s="11"/>
      <c r="MRW20" s="11"/>
      <c r="MRX20" s="11"/>
      <c r="MRY20" s="11"/>
      <c r="MRZ20" s="11"/>
      <c r="MSA20" s="11"/>
      <c r="MSB20" s="11"/>
      <c r="MSC20" s="11"/>
      <c r="MSD20" s="11"/>
      <c r="MSE20" s="11"/>
      <c r="MSF20" s="11"/>
      <c r="MSG20" s="11"/>
      <c r="MSH20" s="11"/>
      <c r="MSI20" s="11"/>
      <c r="MSJ20" s="11"/>
      <c r="MSK20" s="11"/>
      <c r="MSL20" s="11"/>
      <c r="MSM20" s="11"/>
      <c r="MSN20" s="11"/>
      <c r="MSO20" s="11"/>
      <c r="MSP20" s="11"/>
      <c r="MSQ20" s="11"/>
      <c r="MSR20" s="11"/>
      <c r="MSS20" s="11"/>
      <c r="MST20" s="11"/>
      <c r="MSU20" s="11"/>
      <c r="MSV20" s="11"/>
      <c r="MSW20" s="11"/>
      <c r="MSX20" s="11"/>
      <c r="MSY20" s="11"/>
      <c r="MSZ20" s="11"/>
      <c r="MTA20" s="11"/>
      <c r="MTB20" s="11"/>
      <c r="MTC20" s="11"/>
      <c r="MTD20" s="11"/>
      <c r="MTE20" s="11"/>
      <c r="MTF20" s="11"/>
      <c r="MTG20" s="11"/>
      <c r="MTH20" s="11"/>
      <c r="MTI20" s="11"/>
      <c r="MTJ20" s="11"/>
      <c r="MTK20" s="11"/>
      <c r="MTL20" s="11"/>
      <c r="MTM20" s="11"/>
      <c r="MTN20" s="11"/>
      <c r="MTO20" s="11"/>
      <c r="MTP20" s="11"/>
      <c r="MTQ20" s="11"/>
      <c r="MTR20" s="11"/>
      <c r="MTS20" s="11"/>
      <c r="MTT20" s="11"/>
      <c r="MTU20" s="11"/>
      <c r="MTV20" s="11"/>
      <c r="MTW20" s="11"/>
      <c r="MTX20" s="11"/>
      <c r="MTY20" s="11"/>
      <c r="MTZ20" s="11"/>
      <c r="MUA20" s="11"/>
      <c r="MUB20" s="11"/>
      <c r="MUC20" s="11"/>
      <c r="MUD20" s="11"/>
      <c r="MUE20" s="11"/>
      <c r="MUF20" s="11"/>
      <c r="MUG20" s="11"/>
      <c r="MUH20" s="11"/>
      <c r="MUI20" s="11"/>
      <c r="MUJ20" s="11"/>
      <c r="MUK20" s="11"/>
      <c r="MUL20" s="11"/>
      <c r="MUM20" s="11"/>
      <c r="MUN20" s="11"/>
      <c r="MUO20" s="11"/>
      <c r="MUP20" s="11"/>
      <c r="MUQ20" s="11"/>
      <c r="MUR20" s="11"/>
      <c r="MUS20" s="11"/>
      <c r="MUT20" s="11"/>
      <c r="MUU20" s="11"/>
      <c r="MUV20" s="11"/>
      <c r="MUW20" s="11"/>
      <c r="MUX20" s="11"/>
      <c r="MUY20" s="11"/>
      <c r="MUZ20" s="11"/>
      <c r="MVA20" s="11"/>
      <c r="MVB20" s="11"/>
      <c r="MVC20" s="11"/>
      <c r="MVD20" s="11"/>
      <c r="MVE20" s="11"/>
      <c r="MVF20" s="11"/>
      <c r="MVG20" s="11"/>
      <c r="MVH20" s="11"/>
      <c r="MVI20" s="11"/>
      <c r="MVJ20" s="11"/>
      <c r="MVK20" s="11"/>
      <c r="MVL20" s="11"/>
      <c r="MVM20" s="11"/>
      <c r="MVN20" s="11"/>
      <c r="MVO20" s="11"/>
      <c r="MVP20" s="11"/>
      <c r="MVQ20" s="11"/>
      <c r="MVR20" s="11"/>
      <c r="MVS20" s="11"/>
      <c r="MVT20" s="11"/>
      <c r="MVU20" s="11"/>
      <c r="MVV20" s="11"/>
      <c r="MVW20" s="11"/>
      <c r="MVX20" s="11"/>
      <c r="MVY20" s="11"/>
      <c r="MVZ20" s="11"/>
      <c r="MWA20" s="11"/>
      <c r="MWB20" s="11"/>
      <c r="MWC20" s="11"/>
      <c r="MWD20" s="11"/>
      <c r="MWE20" s="11"/>
      <c r="MWF20" s="11"/>
      <c r="MWG20" s="11"/>
      <c r="MWH20" s="11"/>
      <c r="MWI20" s="11"/>
      <c r="MWJ20" s="11"/>
      <c r="MWK20" s="11"/>
      <c r="MWL20" s="11"/>
      <c r="MWM20" s="11"/>
      <c r="MWN20" s="11"/>
      <c r="MWO20" s="11"/>
      <c r="MWP20" s="11"/>
      <c r="MWQ20" s="11"/>
      <c r="MWR20" s="11"/>
      <c r="MWS20" s="11"/>
      <c r="MWT20" s="11"/>
      <c r="MWU20" s="11"/>
      <c r="MWV20" s="11"/>
      <c r="MWW20" s="11"/>
      <c r="MWX20" s="11"/>
      <c r="MWY20" s="11"/>
      <c r="MWZ20" s="11"/>
      <c r="MXA20" s="11"/>
      <c r="MXB20" s="11"/>
      <c r="MXC20" s="11"/>
      <c r="MXD20" s="11"/>
      <c r="MXE20" s="11"/>
      <c r="MXF20" s="11"/>
      <c r="MXG20" s="11"/>
      <c r="MXH20" s="11"/>
      <c r="MXI20" s="11"/>
      <c r="MXJ20" s="11"/>
      <c r="MXK20" s="11"/>
      <c r="MXL20" s="11"/>
      <c r="MXM20" s="11"/>
      <c r="MXN20" s="11"/>
      <c r="MXO20" s="11"/>
      <c r="MXP20" s="11"/>
      <c r="MXQ20" s="11"/>
      <c r="MXR20" s="11"/>
      <c r="MXS20" s="11"/>
      <c r="MXT20" s="11"/>
      <c r="MXU20" s="11"/>
      <c r="MXV20" s="11"/>
      <c r="MXW20" s="11"/>
      <c r="MXX20" s="11"/>
      <c r="MXY20" s="11"/>
      <c r="MXZ20" s="11"/>
      <c r="MYA20" s="11"/>
      <c r="MYB20" s="11"/>
      <c r="MYC20" s="11"/>
      <c r="MYD20" s="11"/>
      <c r="MYE20" s="11"/>
      <c r="MYF20" s="11"/>
      <c r="MYG20" s="11"/>
      <c r="MYH20" s="11"/>
      <c r="MYI20" s="11"/>
      <c r="MYJ20" s="11"/>
      <c r="MYK20" s="11"/>
      <c r="MYL20" s="11"/>
      <c r="MYM20" s="11"/>
      <c r="MYN20" s="11"/>
      <c r="MYO20" s="11"/>
      <c r="MYP20" s="11"/>
      <c r="MYQ20" s="11"/>
      <c r="MYR20" s="11"/>
      <c r="MYS20" s="11"/>
      <c r="MYT20" s="11"/>
      <c r="MYU20" s="11"/>
      <c r="MYV20" s="11"/>
      <c r="MYW20" s="11"/>
      <c r="MYX20" s="11"/>
      <c r="MYY20" s="11"/>
      <c r="MYZ20" s="11"/>
      <c r="MZA20" s="11"/>
      <c r="MZB20" s="11"/>
      <c r="MZC20" s="11"/>
      <c r="MZD20" s="11"/>
      <c r="MZE20" s="11"/>
      <c r="MZF20" s="11"/>
      <c r="MZG20" s="11"/>
      <c r="MZH20" s="11"/>
      <c r="MZI20" s="11"/>
      <c r="MZJ20" s="11"/>
      <c r="MZK20" s="11"/>
      <c r="MZL20" s="11"/>
      <c r="MZM20" s="11"/>
      <c r="MZN20" s="11"/>
      <c r="MZO20" s="11"/>
      <c r="MZP20" s="11"/>
      <c r="MZQ20" s="11"/>
      <c r="MZR20" s="11"/>
      <c r="MZS20" s="11"/>
      <c r="MZT20" s="11"/>
      <c r="MZU20" s="11"/>
      <c r="MZV20" s="11"/>
      <c r="MZW20" s="11"/>
      <c r="MZX20" s="11"/>
      <c r="MZY20" s="11"/>
      <c r="MZZ20" s="11"/>
      <c r="NAA20" s="11"/>
      <c r="NAB20" s="11"/>
      <c r="NAC20" s="11"/>
      <c r="NAD20" s="11"/>
      <c r="NAE20" s="11"/>
      <c r="NAF20" s="11"/>
      <c r="NAG20" s="11"/>
      <c r="NAH20" s="11"/>
      <c r="NAI20" s="11"/>
      <c r="NAJ20" s="11"/>
      <c r="NAK20" s="11"/>
      <c r="NAL20" s="11"/>
      <c r="NAM20" s="11"/>
      <c r="NAN20" s="11"/>
      <c r="NAO20" s="11"/>
      <c r="NAP20" s="11"/>
      <c r="NAQ20" s="11"/>
      <c r="NAR20" s="11"/>
      <c r="NAS20" s="11"/>
      <c r="NAT20" s="11"/>
      <c r="NAU20" s="11"/>
      <c r="NAV20" s="11"/>
      <c r="NAW20" s="11"/>
      <c r="NAX20" s="11"/>
      <c r="NAY20" s="11"/>
      <c r="NAZ20" s="11"/>
      <c r="NBA20" s="11"/>
      <c r="NBB20" s="11"/>
      <c r="NBC20" s="11"/>
      <c r="NBD20" s="11"/>
      <c r="NBE20" s="11"/>
      <c r="NBF20" s="11"/>
      <c r="NBG20" s="11"/>
      <c r="NBH20" s="11"/>
      <c r="NBI20" s="11"/>
      <c r="NBJ20" s="11"/>
      <c r="NBK20" s="11"/>
      <c r="NBL20" s="11"/>
      <c r="NBM20" s="11"/>
      <c r="NBN20" s="11"/>
      <c r="NBO20" s="11"/>
      <c r="NBP20" s="11"/>
      <c r="NBQ20" s="11"/>
      <c r="NBR20" s="11"/>
      <c r="NBS20" s="11"/>
      <c r="NBT20" s="11"/>
      <c r="NBU20" s="11"/>
      <c r="NBV20" s="11"/>
      <c r="NBW20" s="11"/>
      <c r="NBX20" s="11"/>
      <c r="NBY20" s="11"/>
      <c r="NBZ20" s="11"/>
      <c r="NCA20" s="11"/>
      <c r="NCB20" s="11"/>
      <c r="NCC20" s="11"/>
      <c r="NCD20" s="11"/>
      <c r="NCE20" s="11"/>
      <c r="NCF20" s="11"/>
      <c r="NCG20" s="11"/>
      <c r="NCH20" s="11"/>
      <c r="NCI20" s="11"/>
      <c r="NCJ20" s="11"/>
      <c r="NCK20" s="11"/>
      <c r="NCL20" s="11"/>
      <c r="NCM20" s="11"/>
      <c r="NCN20" s="11"/>
      <c r="NCO20" s="11"/>
      <c r="NCP20" s="11"/>
      <c r="NCQ20" s="11"/>
      <c r="NCR20" s="11"/>
      <c r="NCS20" s="11"/>
      <c r="NCT20" s="11"/>
      <c r="NCU20" s="11"/>
      <c r="NCV20" s="11"/>
      <c r="NCW20" s="11"/>
      <c r="NCX20" s="11"/>
      <c r="NCY20" s="11"/>
      <c r="NCZ20" s="11"/>
      <c r="NDA20" s="11"/>
      <c r="NDB20" s="11"/>
      <c r="NDC20" s="11"/>
      <c r="NDD20" s="11"/>
      <c r="NDE20" s="11"/>
      <c r="NDF20" s="11"/>
      <c r="NDG20" s="11"/>
      <c r="NDH20" s="11"/>
      <c r="NDI20" s="11"/>
      <c r="NDJ20" s="11"/>
      <c r="NDK20" s="11"/>
      <c r="NDL20" s="11"/>
      <c r="NDM20" s="11"/>
      <c r="NDN20" s="11"/>
      <c r="NDO20" s="11"/>
      <c r="NDP20" s="11"/>
      <c r="NDQ20" s="11"/>
      <c r="NDR20" s="11"/>
      <c r="NDS20" s="11"/>
      <c r="NDT20" s="11"/>
      <c r="NDU20" s="11"/>
      <c r="NDV20" s="11"/>
      <c r="NDW20" s="11"/>
      <c r="NDX20" s="11"/>
      <c r="NDY20" s="11"/>
      <c r="NDZ20" s="11"/>
      <c r="NEA20" s="11"/>
      <c r="NEB20" s="11"/>
      <c r="NEC20" s="11"/>
      <c r="NED20" s="11"/>
      <c r="NEE20" s="11"/>
      <c r="NEF20" s="11"/>
      <c r="NEG20" s="11"/>
      <c r="NEH20" s="11"/>
      <c r="NEI20" s="11"/>
      <c r="NEJ20" s="11"/>
      <c r="NEK20" s="11"/>
      <c r="NEL20" s="11"/>
      <c r="NEM20" s="11"/>
      <c r="NEN20" s="11"/>
      <c r="NEO20" s="11"/>
      <c r="NEP20" s="11"/>
      <c r="NEQ20" s="11"/>
      <c r="NER20" s="11"/>
      <c r="NES20" s="11"/>
      <c r="NET20" s="11"/>
      <c r="NEU20" s="11"/>
      <c r="NEV20" s="11"/>
      <c r="NEW20" s="11"/>
      <c r="NEX20" s="11"/>
      <c r="NEY20" s="11"/>
      <c r="NEZ20" s="11"/>
      <c r="NFA20" s="11"/>
      <c r="NFB20" s="11"/>
      <c r="NFC20" s="11"/>
      <c r="NFD20" s="11"/>
      <c r="NFE20" s="11"/>
      <c r="NFF20" s="11"/>
      <c r="NFG20" s="11"/>
      <c r="NFH20" s="11"/>
      <c r="NFI20" s="11"/>
      <c r="NFJ20" s="11"/>
      <c r="NFK20" s="11"/>
      <c r="NFL20" s="11"/>
      <c r="NFM20" s="11"/>
      <c r="NFN20" s="11"/>
      <c r="NFO20" s="11"/>
      <c r="NFP20" s="11"/>
      <c r="NFQ20" s="11"/>
      <c r="NFR20" s="11"/>
      <c r="NFS20" s="11"/>
      <c r="NFT20" s="11"/>
      <c r="NFU20" s="11"/>
      <c r="NFV20" s="11"/>
      <c r="NFW20" s="11"/>
      <c r="NFX20" s="11"/>
      <c r="NFY20" s="11"/>
      <c r="NFZ20" s="11"/>
      <c r="NGA20" s="11"/>
      <c r="NGB20" s="11"/>
      <c r="NGC20" s="11"/>
      <c r="NGD20" s="11"/>
      <c r="NGE20" s="11"/>
      <c r="NGF20" s="11"/>
      <c r="NGG20" s="11"/>
      <c r="NGH20" s="11"/>
      <c r="NGI20" s="11"/>
      <c r="NGJ20" s="11"/>
      <c r="NGK20" s="11"/>
      <c r="NGL20" s="11"/>
      <c r="NGM20" s="11"/>
      <c r="NGN20" s="11"/>
      <c r="NGO20" s="11"/>
      <c r="NGP20" s="11"/>
      <c r="NGQ20" s="11"/>
      <c r="NGR20" s="11"/>
      <c r="NGS20" s="11"/>
      <c r="NGT20" s="11"/>
      <c r="NGU20" s="11"/>
      <c r="NGV20" s="11"/>
      <c r="NGW20" s="11"/>
      <c r="NGX20" s="11"/>
      <c r="NGY20" s="11"/>
      <c r="NGZ20" s="11"/>
      <c r="NHA20" s="11"/>
      <c r="NHB20" s="11"/>
      <c r="NHC20" s="11"/>
      <c r="NHD20" s="11"/>
      <c r="NHE20" s="11"/>
      <c r="NHF20" s="11"/>
      <c r="NHG20" s="11"/>
      <c r="NHH20" s="11"/>
      <c r="NHI20" s="11"/>
      <c r="NHJ20" s="11"/>
      <c r="NHK20" s="11"/>
      <c r="NHL20" s="11"/>
      <c r="NHM20" s="11"/>
      <c r="NHN20" s="11"/>
      <c r="NHO20" s="11"/>
      <c r="NHP20" s="11"/>
      <c r="NHQ20" s="11"/>
      <c r="NHR20" s="11"/>
      <c r="NHS20" s="11"/>
      <c r="NHT20" s="11"/>
      <c r="NHU20" s="11"/>
      <c r="NHV20" s="11"/>
      <c r="NHW20" s="11"/>
      <c r="NHX20" s="11"/>
      <c r="NHY20" s="11"/>
      <c r="NHZ20" s="11"/>
      <c r="NIA20" s="11"/>
      <c r="NIB20" s="11"/>
      <c r="NIC20" s="11"/>
      <c r="NID20" s="11"/>
      <c r="NIE20" s="11"/>
      <c r="NIF20" s="11"/>
      <c r="NIG20" s="11"/>
      <c r="NIH20" s="11"/>
      <c r="NII20" s="11"/>
      <c r="NIJ20" s="11"/>
      <c r="NIK20" s="11"/>
      <c r="NIL20" s="11"/>
      <c r="NIM20" s="11"/>
      <c r="NIN20" s="11"/>
      <c r="NIO20" s="11"/>
      <c r="NIP20" s="11"/>
      <c r="NIQ20" s="11"/>
      <c r="NIR20" s="11"/>
      <c r="NIS20" s="11"/>
      <c r="NIT20" s="11"/>
      <c r="NIU20" s="11"/>
      <c r="NIV20" s="11"/>
      <c r="NIW20" s="11"/>
      <c r="NIX20" s="11"/>
      <c r="NIY20" s="11"/>
      <c r="NIZ20" s="11"/>
      <c r="NJA20" s="11"/>
      <c r="NJB20" s="11"/>
      <c r="NJC20" s="11"/>
      <c r="NJD20" s="11"/>
      <c r="NJE20" s="11"/>
      <c r="NJF20" s="11"/>
      <c r="NJG20" s="11"/>
      <c r="NJH20" s="11"/>
      <c r="NJI20" s="11"/>
      <c r="NJJ20" s="11"/>
      <c r="NJK20" s="11"/>
      <c r="NJL20" s="11"/>
      <c r="NJM20" s="11"/>
      <c r="NJN20" s="11"/>
      <c r="NJO20" s="11"/>
      <c r="NJP20" s="11"/>
      <c r="NJQ20" s="11"/>
      <c r="NJR20" s="11"/>
      <c r="NJS20" s="11"/>
      <c r="NJT20" s="11"/>
      <c r="NJU20" s="11"/>
      <c r="NJV20" s="11"/>
      <c r="NJW20" s="11"/>
      <c r="NJX20" s="11"/>
      <c r="NJY20" s="11"/>
      <c r="NJZ20" s="11"/>
      <c r="NKA20" s="11"/>
      <c r="NKB20" s="11"/>
      <c r="NKC20" s="11"/>
      <c r="NKD20" s="11"/>
      <c r="NKE20" s="11"/>
      <c r="NKF20" s="11"/>
      <c r="NKG20" s="11"/>
      <c r="NKH20" s="11"/>
      <c r="NKI20" s="11"/>
      <c r="NKJ20" s="11"/>
      <c r="NKK20" s="11"/>
      <c r="NKL20" s="11"/>
      <c r="NKM20" s="11"/>
      <c r="NKN20" s="11"/>
      <c r="NKO20" s="11"/>
      <c r="NKP20" s="11"/>
      <c r="NKQ20" s="11"/>
      <c r="NKR20" s="11"/>
      <c r="NKS20" s="11"/>
      <c r="NKT20" s="11"/>
      <c r="NKU20" s="11"/>
      <c r="NKV20" s="11"/>
      <c r="NKW20" s="11"/>
      <c r="NKX20" s="11"/>
      <c r="NKY20" s="11"/>
      <c r="NKZ20" s="11"/>
      <c r="NLA20" s="11"/>
      <c r="NLB20" s="11"/>
      <c r="NLC20" s="11"/>
      <c r="NLD20" s="11"/>
      <c r="NLE20" s="11"/>
      <c r="NLF20" s="11"/>
      <c r="NLG20" s="11"/>
      <c r="NLH20" s="11"/>
      <c r="NLI20" s="11"/>
      <c r="NLJ20" s="11"/>
      <c r="NLK20" s="11"/>
      <c r="NLL20" s="11"/>
      <c r="NLM20" s="11"/>
      <c r="NLN20" s="11"/>
      <c r="NLO20" s="11"/>
      <c r="NLP20" s="11"/>
      <c r="NLQ20" s="11"/>
      <c r="NLR20" s="11"/>
      <c r="NLS20" s="11"/>
      <c r="NLT20" s="11"/>
      <c r="NLU20" s="11"/>
      <c r="NLV20" s="11"/>
      <c r="NLW20" s="11"/>
      <c r="NLX20" s="11"/>
      <c r="NLY20" s="11"/>
      <c r="NLZ20" s="11"/>
      <c r="NMA20" s="11"/>
      <c r="NMB20" s="11"/>
      <c r="NMC20" s="11"/>
      <c r="NMD20" s="11"/>
      <c r="NME20" s="11"/>
      <c r="NMF20" s="11"/>
      <c r="NMG20" s="11"/>
      <c r="NMH20" s="11"/>
      <c r="NMI20" s="11"/>
      <c r="NMJ20" s="11"/>
      <c r="NMK20" s="11"/>
      <c r="NML20" s="11"/>
      <c r="NMM20" s="11"/>
      <c r="NMN20" s="11"/>
      <c r="NMO20" s="11"/>
      <c r="NMP20" s="11"/>
      <c r="NMQ20" s="11"/>
      <c r="NMR20" s="11"/>
      <c r="NMS20" s="11"/>
      <c r="NMT20" s="11"/>
      <c r="NMU20" s="11"/>
      <c r="NMV20" s="11"/>
      <c r="NMW20" s="11"/>
      <c r="NMX20" s="11"/>
      <c r="NMY20" s="11"/>
      <c r="NMZ20" s="11"/>
      <c r="NNA20" s="11"/>
      <c r="NNB20" s="11"/>
      <c r="NNC20" s="11"/>
      <c r="NND20" s="11"/>
      <c r="NNE20" s="11"/>
      <c r="NNF20" s="11"/>
      <c r="NNG20" s="11"/>
      <c r="NNH20" s="11"/>
      <c r="NNI20" s="11"/>
      <c r="NNJ20" s="11"/>
      <c r="NNK20" s="11"/>
      <c r="NNL20" s="11"/>
      <c r="NNM20" s="11"/>
      <c r="NNN20" s="11"/>
      <c r="NNO20" s="11"/>
      <c r="NNP20" s="11"/>
      <c r="NNQ20" s="11"/>
      <c r="NNR20" s="11"/>
      <c r="NNS20" s="11"/>
      <c r="NNT20" s="11"/>
      <c r="NNU20" s="11"/>
      <c r="NNV20" s="11"/>
      <c r="NNW20" s="11"/>
      <c r="NNX20" s="11"/>
      <c r="NNY20" s="11"/>
      <c r="NNZ20" s="11"/>
      <c r="NOA20" s="11"/>
      <c r="NOB20" s="11"/>
      <c r="NOC20" s="11"/>
      <c r="NOD20" s="11"/>
      <c r="NOE20" s="11"/>
      <c r="NOF20" s="11"/>
      <c r="NOG20" s="11"/>
      <c r="NOH20" s="11"/>
      <c r="NOI20" s="11"/>
      <c r="NOJ20" s="11"/>
      <c r="NOK20" s="11"/>
      <c r="NOL20" s="11"/>
      <c r="NOM20" s="11"/>
      <c r="NON20" s="11"/>
      <c r="NOO20" s="11"/>
      <c r="NOP20" s="11"/>
      <c r="NOQ20" s="11"/>
      <c r="NOR20" s="11"/>
      <c r="NOS20" s="11"/>
      <c r="NOT20" s="11"/>
      <c r="NOU20" s="11"/>
      <c r="NOV20" s="11"/>
      <c r="NOW20" s="11"/>
      <c r="NOX20" s="11"/>
      <c r="NOY20" s="11"/>
      <c r="NOZ20" s="11"/>
      <c r="NPA20" s="11"/>
      <c r="NPB20" s="11"/>
      <c r="NPC20" s="11"/>
      <c r="NPD20" s="11"/>
      <c r="NPE20" s="11"/>
      <c r="NPF20" s="11"/>
      <c r="NPG20" s="11"/>
      <c r="NPH20" s="11"/>
      <c r="NPI20" s="11"/>
      <c r="NPJ20" s="11"/>
      <c r="NPK20" s="11"/>
      <c r="NPL20" s="11"/>
      <c r="NPM20" s="11"/>
      <c r="NPN20" s="11"/>
      <c r="NPO20" s="11"/>
      <c r="NPP20" s="11"/>
      <c r="NPQ20" s="11"/>
      <c r="NPR20" s="11"/>
      <c r="NPS20" s="11"/>
      <c r="NPT20" s="11"/>
      <c r="NPU20" s="11"/>
      <c r="NPV20" s="11"/>
      <c r="NPW20" s="11"/>
      <c r="NPX20" s="11"/>
      <c r="NPY20" s="11"/>
      <c r="NPZ20" s="11"/>
      <c r="NQA20" s="11"/>
      <c r="NQB20" s="11"/>
      <c r="NQC20" s="11"/>
      <c r="NQD20" s="11"/>
      <c r="NQE20" s="11"/>
      <c r="NQF20" s="11"/>
      <c r="NQG20" s="11"/>
      <c r="NQH20" s="11"/>
      <c r="NQI20" s="11"/>
      <c r="NQJ20" s="11"/>
      <c r="NQK20" s="11"/>
      <c r="NQL20" s="11"/>
      <c r="NQM20" s="11"/>
      <c r="NQN20" s="11"/>
      <c r="NQO20" s="11"/>
      <c r="NQP20" s="11"/>
      <c r="NQQ20" s="11"/>
      <c r="NQR20" s="11"/>
      <c r="NQS20" s="11"/>
      <c r="NQT20" s="11"/>
      <c r="NQU20" s="11"/>
      <c r="NQV20" s="11"/>
      <c r="NQW20" s="11"/>
      <c r="NQX20" s="11"/>
      <c r="NQY20" s="11"/>
      <c r="NQZ20" s="11"/>
      <c r="NRA20" s="11"/>
      <c r="NRB20" s="11"/>
      <c r="NRC20" s="11"/>
      <c r="NRD20" s="11"/>
      <c r="NRE20" s="11"/>
      <c r="NRF20" s="11"/>
      <c r="NRG20" s="11"/>
      <c r="NRH20" s="11"/>
      <c r="NRI20" s="11"/>
      <c r="NRJ20" s="11"/>
      <c r="NRK20" s="11"/>
      <c r="NRL20" s="11"/>
      <c r="NRM20" s="11"/>
      <c r="NRN20" s="11"/>
      <c r="NRO20" s="11"/>
      <c r="NRP20" s="11"/>
      <c r="NRQ20" s="11"/>
      <c r="NRR20" s="11"/>
      <c r="NRS20" s="11"/>
      <c r="NRT20" s="11"/>
      <c r="NRU20" s="11"/>
      <c r="NRV20" s="11"/>
      <c r="NRW20" s="11"/>
      <c r="NRX20" s="11"/>
      <c r="NRY20" s="11"/>
      <c r="NRZ20" s="11"/>
      <c r="NSA20" s="11"/>
      <c r="NSB20" s="11"/>
      <c r="NSC20" s="11"/>
      <c r="NSD20" s="11"/>
      <c r="NSE20" s="11"/>
      <c r="NSF20" s="11"/>
      <c r="NSG20" s="11"/>
      <c r="NSH20" s="11"/>
      <c r="NSI20" s="11"/>
      <c r="NSJ20" s="11"/>
      <c r="NSK20" s="11"/>
      <c r="NSL20" s="11"/>
      <c r="NSM20" s="11"/>
      <c r="NSN20" s="11"/>
      <c r="NSO20" s="11"/>
      <c r="NSP20" s="11"/>
      <c r="NSQ20" s="11"/>
      <c r="NSR20" s="11"/>
      <c r="NSS20" s="11"/>
      <c r="NST20" s="11"/>
      <c r="NSU20" s="11"/>
      <c r="NSV20" s="11"/>
      <c r="NSW20" s="11"/>
      <c r="NSX20" s="11"/>
      <c r="NSY20" s="11"/>
      <c r="NSZ20" s="11"/>
      <c r="NTA20" s="11"/>
      <c r="NTB20" s="11"/>
      <c r="NTC20" s="11"/>
      <c r="NTD20" s="11"/>
      <c r="NTE20" s="11"/>
      <c r="NTF20" s="11"/>
      <c r="NTG20" s="11"/>
      <c r="NTH20" s="11"/>
      <c r="NTI20" s="11"/>
      <c r="NTJ20" s="11"/>
      <c r="NTK20" s="11"/>
      <c r="NTL20" s="11"/>
      <c r="NTM20" s="11"/>
      <c r="NTN20" s="11"/>
      <c r="NTO20" s="11"/>
      <c r="NTP20" s="11"/>
      <c r="NTQ20" s="11"/>
      <c r="NTR20" s="11"/>
      <c r="NTS20" s="11"/>
      <c r="NTT20" s="11"/>
      <c r="NTU20" s="11"/>
      <c r="NTV20" s="11"/>
      <c r="NTW20" s="11"/>
      <c r="NTX20" s="11"/>
      <c r="NTY20" s="11"/>
      <c r="NTZ20" s="11"/>
      <c r="NUA20" s="11"/>
      <c r="NUB20" s="11"/>
      <c r="NUC20" s="11"/>
      <c r="NUD20" s="11"/>
      <c r="NUE20" s="11"/>
      <c r="NUF20" s="11"/>
      <c r="NUG20" s="11"/>
      <c r="NUH20" s="11"/>
      <c r="NUI20" s="11"/>
      <c r="NUJ20" s="11"/>
      <c r="NUK20" s="11"/>
      <c r="NUL20" s="11"/>
      <c r="NUM20" s="11"/>
      <c r="NUN20" s="11"/>
      <c r="NUO20" s="11"/>
      <c r="NUP20" s="11"/>
      <c r="NUQ20" s="11"/>
      <c r="NUR20" s="11"/>
      <c r="NUS20" s="11"/>
      <c r="NUT20" s="11"/>
      <c r="NUU20" s="11"/>
      <c r="NUV20" s="11"/>
      <c r="NUW20" s="11"/>
      <c r="NUX20" s="11"/>
      <c r="NUY20" s="11"/>
      <c r="NUZ20" s="11"/>
      <c r="NVA20" s="11"/>
      <c r="NVB20" s="11"/>
      <c r="NVC20" s="11"/>
      <c r="NVD20" s="11"/>
      <c r="NVE20" s="11"/>
      <c r="NVF20" s="11"/>
      <c r="NVG20" s="11"/>
      <c r="NVH20" s="11"/>
      <c r="NVI20" s="11"/>
      <c r="NVJ20" s="11"/>
      <c r="NVK20" s="11"/>
      <c r="NVL20" s="11"/>
      <c r="NVM20" s="11"/>
      <c r="NVN20" s="11"/>
      <c r="NVO20" s="11"/>
      <c r="NVP20" s="11"/>
      <c r="NVQ20" s="11"/>
      <c r="NVR20" s="11"/>
      <c r="NVS20" s="11"/>
      <c r="NVT20" s="11"/>
      <c r="NVU20" s="11"/>
      <c r="NVV20" s="11"/>
      <c r="NVW20" s="11"/>
      <c r="NVX20" s="11"/>
      <c r="NVY20" s="11"/>
      <c r="NVZ20" s="11"/>
      <c r="NWA20" s="11"/>
      <c r="NWB20" s="11"/>
      <c r="NWC20" s="11"/>
      <c r="NWD20" s="11"/>
      <c r="NWE20" s="11"/>
      <c r="NWF20" s="11"/>
      <c r="NWG20" s="11"/>
      <c r="NWH20" s="11"/>
      <c r="NWI20" s="11"/>
      <c r="NWJ20" s="11"/>
      <c r="NWK20" s="11"/>
      <c r="NWL20" s="11"/>
      <c r="NWM20" s="11"/>
      <c r="NWN20" s="11"/>
      <c r="NWO20" s="11"/>
      <c r="NWP20" s="11"/>
      <c r="NWQ20" s="11"/>
      <c r="NWR20" s="11"/>
      <c r="NWS20" s="11"/>
      <c r="NWT20" s="11"/>
      <c r="NWU20" s="11"/>
      <c r="NWV20" s="11"/>
      <c r="NWW20" s="11"/>
      <c r="NWX20" s="11"/>
      <c r="NWY20" s="11"/>
      <c r="NWZ20" s="11"/>
      <c r="NXA20" s="11"/>
      <c r="NXB20" s="11"/>
      <c r="NXC20" s="11"/>
      <c r="NXD20" s="11"/>
      <c r="NXE20" s="11"/>
      <c r="NXF20" s="11"/>
      <c r="NXG20" s="11"/>
      <c r="NXH20" s="11"/>
      <c r="NXI20" s="11"/>
      <c r="NXJ20" s="11"/>
      <c r="NXK20" s="11"/>
      <c r="NXL20" s="11"/>
      <c r="NXM20" s="11"/>
      <c r="NXN20" s="11"/>
      <c r="NXO20" s="11"/>
      <c r="NXP20" s="11"/>
      <c r="NXQ20" s="11"/>
      <c r="NXR20" s="11"/>
      <c r="NXS20" s="11"/>
      <c r="NXT20" s="11"/>
      <c r="NXU20" s="11"/>
      <c r="NXV20" s="11"/>
      <c r="NXW20" s="11"/>
      <c r="NXX20" s="11"/>
      <c r="NXY20" s="11"/>
      <c r="NXZ20" s="11"/>
      <c r="NYA20" s="11"/>
      <c r="NYB20" s="11"/>
      <c r="NYC20" s="11"/>
      <c r="NYD20" s="11"/>
      <c r="NYE20" s="11"/>
      <c r="NYF20" s="11"/>
      <c r="NYG20" s="11"/>
      <c r="NYH20" s="11"/>
      <c r="NYI20" s="11"/>
      <c r="NYJ20" s="11"/>
      <c r="NYK20" s="11"/>
      <c r="NYL20" s="11"/>
      <c r="NYM20" s="11"/>
      <c r="NYN20" s="11"/>
      <c r="NYO20" s="11"/>
      <c r="NYP20" s="11"/>
      <c r="NYQ20" s="11"/>
      <c r="NYR20" s="11"/>
      <c r="NYS20" s="11"/>
      <c r="NYT20" s="11"/>
      <c r="NYU20" s="11"/>
      <c r="NYV20" s="11"/>
      <c r="NYW20" s="11"/>
      <c r="NYX20" s="11"/>
      <c r="NYY20" s="11"/>
      <c r="NYZ20" s="11"/>
      <c r="NZA20" s="11"/>
      <c r="NZB20" s="11"/>
      <c r="NZC20" s="11"/>
      <c r="NZD20" s="11"/>
      <c r="NZE20" s="11"/>
      <c r="NZF20" s="11"/>
      <c r="NZG20" s="11"/>
      <c r="NZH20" s="11"/>
      <c r="NZI20" s="11"/>
      <c r="NZJ20" s="11"/>
      <c r="NZK20" s="11"/>
      <c r="NZL20" s="11"/>
      <c r="NZM20" s="11"/>
      <c r="NZN20" s="11"/>
      <c r="NZO20" s="11"/>
      <c r="NZP20" s="11"/>
      <c r="NZQ20" s="11"/>
      <c r="NZR20" s="11"/>
      <c r="NZS20" s="11"/>
      <c r="NZT20" s="11"/>
      <c r="NZU20" s="11"/>
      <c r="NZV20" s="11"/>
      <c r="NZW20" s="11"/>
      <c r="NZX20" s="11"/>
      <c r="NZY20" s="11"/>
      <c r="NZZ20" s="11"/>
      <c r="OAA20" s="11"/>
      <c r="OAB20" s="11"/>
      <c r="OAC20" s="11"/>
      <c r="OAD20" s="11"/>
      <c r="OAE20" s="11"/>
      <c r="OAF20" s="11"/>
      <c r="OAG20" s="11"/>
      <c r="OAH20" s="11"/>
      <c r="OAI20" s="11"/>
      <c r="OAJ20" s="11"/>
      <c r="OAK20" s="11"/>
      <c r="OAL20" s="11"/>
      <c r="OAM20" s="11"/>
      <c r="OAN20" s="11"/>
      <c r="OAO20" s="11"/>
      <c r="OAP20" s="11"/>
      <c r="OAQ20" s="11"/>
      <c r="OAR20" s="11"/>
      <c r="OAS20" s="11"/>
      <c r="OAT20" s="11"/>
      <c r="OAU20" s="11"/>
      <c r="OAV20" s="11"/>
      <c r="OAW20" s="11"/>
      <c r="OAX20" s="11"/>
      <c r="OAY20" s="11"/>
      <c r="OAZ20" s="11"/>
      <c r="OBA20" s="11"/>
      <c r="OBB20" s="11"/>
      <c r="OBC20" s="11"/>
      <c r="OBD20" s="11"/>
      <c r="OBE20" s="11"/>
      <c r="OBF20" s="11"/>
      <c r="OBG20" s="11"/>
      <c r="OBH20" s="11"/>
      <c r="OBI20" s="11"/>
      <c r="OBJ20" s="11"/>
      <c r="OBK20" s="11"/>
      <c r="OBL20" s="11"/>
      <c r="OBM20" s="11"/>
      <c r="OBN20" s="11"/>
      <c r="OBO20" s="11"/>
      <c r="OBP20" s="11"/>
      <c r="OBQ20" s="11"/>
      <c r="OBR20" s="11"/>
      <c r="OBS20" s="11"/>
      <c r="OBT20" s="11"/>
      <c r="OBU20" s="11"/>
      <c r="OBV20" s="11"/>
      <c r="OBW20" s="11"/>
      <c r="OBX20" s="11"/>
      <c r="OBY20" s="11"/>
      <c r="OBZ20" s="11"/>
      <c r="OCA20" s="11"/>
      <c r="OCB20" s="11"/>
      <c r="OCC20" s="11"/>
      <c r="OCD20" s="11"/>
      <c r="OCE20" s="11"/>
      <c r="OCF20" s="11"/>
      <c r="OCG20" s="11"/>
      <c r="OCH20" s="11"/>
      <c r="OCI20" s="11"/>
      <c r="OCJ20" s="11"/>
      <c r="OCK20" s="11"/>
      <c r="OCL20" s="11"/>
      <c r="OCM20" s="11"/>
      <c r="OCN20" s="11"/>
      <c r="OCO20" s="11"/>
      <c r="OCP20" s="11"/>
      <c r="OCQ20" s="11"/>
      <c r="OCR20" s="11"/>
      <c r="OCS20" s="11"/>
      <c r="OCT20" s="11"/>
      <c r="OCU20" s="11"/>
      <c r="OCV20" s="11"/>
      <c r="OCW20" s="11"/>
      <c r="OCX20" s="11"/>
      <c r="OCY20" s="11"/>
      <c r="OCZ20" s="11"/>
      <c r="ODA20" s="11"/>
      <c r="ODB20" s="11"/>
      <c r="ODC20" s="11"/>
      <c r="ODD20" s="11"/>
      <c r="ODE20" s="11"/>
      <c r="ODF20" s="11"/>
      <c r="ODG20" s="11"/>
      <c r="ODH20" s="11"/>
      <c r="ODI20" s="11"/>
      <c r="ODJ20" s="11"/>
      <c r="ODK20" s="11"/>
      <c r="ODL20" s="11"/>
      <c r="ODM20" s="11"/>
      <c r="ODN20" s="11"/>
      <c r="ODO20" s="11"/>
      <c r="ODP20" s="11"/>
      <c r="ODQ20" s="11"/>
      <c r="ODR20" s="11"/>
      <c r="ODS20" s="11"/>
      <c r="ODT20" s="11"/>
      <c r="ODU20" s="11"/>
      <c r="ODV20" s="11"/>
      <c r="ODW20" s="11"/>
      <c r="ODX20" s="11"/>
      <c r="ODY20" s="11"/>
      <c r="ODZ20" s="11"/>
      <c r="OEA20" s="11"/>
      <c r="OEB20" s="11"/>
      <c r="OEC20" s="11"/>
      <c r="OED20" s="11"/>
      <c r="OEE20" s="11"/>
      <c r="OEF20" s="11"/>
      <c r="OEG20" s="11"/>
      <c r="OEH20" s="11"/>
      <c r="OEI20" s="11"/>
      <c r="OEJ20" s="11"/>
      <c r="OEK20" s="11"/>
      <c r="OEL20" s="11"/>
      <c r="OEM20" s="11"/>
      <c r="OEN20" s="11"/>
      <c r="OEO20" s="11"/>
      <c r="OEP20" s="11"/>
      <c r="OEQ20" s="11"/>
      <c r="OER20" s="11"/>
      <c r="OES20" s="11"/>
      <c r="OET20" s="11"/>
      <c r="OEU20" s="11"/>
      <c r="OEV20" s="11"/>
      <c r="OEW20" s="11"/>
      <c r="OEX20" s="11"/>
      <c r="OEY20" s="11"/>
      <c r="OEZ20" s="11"/>
      <c r="OFA20" s="11"/>
      <c r="OFB20" s="11"/>
      <c r="OFC20" s="11"/>
      <c r="OFD20" s="11"/>
      <c r="OFE20" s="11"/>
      <c r="OFF20" s="11"/>
      <c r="OFG20" s="11"/>
      <c r="OFH20" s="11"/>
      <c r="OFI20" s="11"/>
      <c r="OFJ20" s="11"/>
      <c r="OFK20" s="11"/>
      <c r="OFL20" s="11"/>
      <c r="OFM20" s="11"/>
      <c r="OFN20" s="11"/>
      <c r="OFO20" s="11"/>
      <c r="OFP20" s="11"/>
      <c r="OFQ20" s="11"/>
      <c r="OFR20" s="11"/>
      <c r="OFS20" s="11"/>
      <c r="OFT20" s="11"/>
      <c r="OFU20" s="11"/>
      <c r="OFV20" s="11"/>
      <c r="OFW20" s="11"/>
      <c r="OFX20" s="11"/>
      <c r="OFY20" s="11"/>
      <c r="OFZ20" s="11"/>
      <c r="OGA20" s="11"/>
      <c r="OGB20" s="11"/>
      <c r="OGC20" s="11"/>
      <c r="OGD20" s="11"/>
      <c r="OGE20" s="11"/>
      <c r="OGF20" s="11"/>
      <c r="OGG20" s="11"/>
      <c r="OGH20" s="11"/>
      <c r="OGI20" s="11"/>
      <c r="OGJ20" s="11"/>
      <c r="OGK20" s="11"/>
      <c r="OGL20" s="11"/>
      <c r="OGM20" s="11"/>
      <c r="OGN20" s="11"/>
      <c r="OGO20" s="11"/>
      <c r="OGP20" s="11"/>
      <c r="OGQ20" s="11"/>
      <c r="OGR20" s="11"/>
      <c r="OGS20" s="11"/>
      <c r="OGT20" s="11"/>
      <c r="OGU20" s="11"/>
      <c r="OGV20" s="11"/>
      <c r="OGW20" s="11"/>
      <c r="OGX20" s="11"/>
      <c r="OGY20" s="11"/>
      <c r="OGZ20" s="11"/>
      <c r="OHA20" s="11"/>
      <c r="OHB20" s="11"/>
      <c r="OHC20" s="11"/>
      <c r="OHD20" s="11"/>
      <c r="OHE20" s="11"/>
      <c r="OHF20" s="11"/>
      <c r="OHG20" s="11"/>
      <c r="OHH20" s="11"/>
      <c r="OHI20" s="11"/>
      <c r="OHJ20" s="11"/>
      <c r="OHK20" s="11"/>
      <c r="OHL20" s="11"/>
      <c r="OHM20" s="11"/>
      <c r="OHN20" s="11"/>
      <c r="OHO20" s="11"/>
      <c r="OHP20" s="11"/>
      <c r="OHQ20" s="11"/>
      <c r="OHR20" s="11"/>
      <c r="OHS20" s="11"/>
      <c r="OHT20" s="11"/>
      <c r="OHU20" s="11"/>
      <c r="OHV20" s="11"/>
      <c r="OHW20" s="11"/>
      <c r="OHX20" s="11"/>
      <c r="OHY20" s="11"/>
      <c r="OHZ20" s="11"/>
      <c r="OIA20" s="11"/>
      <c r="OIB20" s="11"/>
      <c r="OIC20" s="11"/>
      <c r="OID20" s="11"/>
      <c r="OIE20" s="11"/>
      <c r="OIF20" s="11"/>
      <c r="OIG20" s="11"/>
      <c r="OIH20" s="11"/>
      <c r="OII20" s="11"/>
      <c r="OIJ20" s="11"/>
      <c r="OIK20" s="11"/>
      <c r="OIL20" s="11"/>
      <c r="OIM20" s="11"/>
      <c r="OIN20" s="11"/>
      <c r="OIO20" s="11"/>
      <c r="OIP20" s="11"/>
      <c r="OIQ20" s="11"/>
      <c r="OIR20" s="11"/>
      <c r="OIS20" s="11"/>
      <c r="OIT20" s="11"/>
      <c r="OIU20" s="11"/>
      <c r="OIV20" s="11"/>
      <c r="OIW20" s="11"/>
      <c r="OIX20" s="11"/>
      <c r="OIY20" s="11"/>
      <c r="OIZ20" s="11"/>
      <c r="OJA20" s="11"/>
      <c r="OJB20" s="11"/>
      <c r="OJC20" s="11"/>
      <c r="OJD20" s="11"/>
      <c r="OJE20" s="11"/>
      <c r="OJF20" s="11"/>
      <c r="OJG20" s="11"/>
      <c r="OJH20" s="11"/>
      <c r="OJI20" s="11"/>
      <c r="OJJ20" s="11"/>
      <c r="OJK20" s="11"/>
      <c r="OJL20" s="11"/>
      <c r="OJM20" s="11"/>
      <c r="OJN20" s="11"/>
      <c r="OJO20" s="11"/>
      <c r="OJP20" s="11"/>
      <c r="OJQ20" s="11"/>
      <c r="OJR20" s="11"/>
      <c r="OJS20" s="11"/>
      <c r="OJT20" s="11"/>
      <c r="OJU20" s="11"/>
      <c r="OJV20" s="11"/>
      <c r="OJW20" s="11"/>
      <c r="OJX20" s="11"/>
      <c r="OJY20" s="11"/>
      <c r="OJZ20" s="11"/>
      <c r="OKA20" s="11"/>
      <c r="OKB20" s="11"/>
      <c r="OKC20" s="11"/>
      <c r="OKD20" s="11"/>
      <c r="OKE20" s="11"/>
      <c r="OKF20" s="11"/>
      <c r="OKG20" s="11"/>
      <c r="OKH20" s="11"/>
      <c r="OKI20" s="11"/>
      <c r="OKJ20" s="11"/>
      <c r="OKK20" s="11"/>
      <c r="OKL20" s="11"/>
      <c r="OKM20" s="11"/>
      <c r="OKN20" s="11"/>
      <c r="OKO20" s="11"/>
      <c r="OKP20" s="11"/>
      <c r="OKQ20" s="11"/>
      <c r="OKR20" s="11"/>
      <c r="OKS20" s="11"/>
      <c r="OKT20" s="11"/>
      <c r="OKU20" s="11"/>
      <c r="OKV20" s="11"/>
      <c r="OKW20" s="11"/>
      <c r="OKX20" s="11"/>
      <c r="OKY20" s="11"/>
      <c r="OKZ20" s="11"/>
      <c r="OLA20" s="11"/>
      <c r="OLB20" s="11"/>
      <c r="OLC20" s="11"/>
      <c r="OLD20" s="11"/>
      <c r="OLE20" s="11"/>
      <c r="OLF20" s="11"/>
      <c r="OLG20" s="11"/>
      <c r="OLH20" s="11"/>
      <c r="OLI20" s="11"/>
      <c r="OLJ20" s="11"/>
      <c r="OLK20" s="11"/>
      <c r="OLL20" s="11"/>
      <c r="OLM20" s="11"/>
      <c r="OLN20" s="11"/>
      <c r="OLO20" s="11"/>
      <c r="OLP20" s="11"/>
      <c r="OLQ20" s="11"/>
      <c r="OLR20" s="11"/>
      <c r="OLS20" s="11"/>
      <c r="OLT20" s="11"/>
      <c r="OLU20" s="11"/>
      <c r="OLV20" s="11"/>
      <c r="OLW20" s="11"/>
      <c r="OLX20" s="11"/>
      <c r="OLY20" s="11"/>
      <c r="OLZ20" s="11"/>
      <c r="OMA20" s="11"/>
      <c r="OMB20" s="11"/>
      <c r="OMC20" s="11"/>
      <c r="OMD20" s="11"/>
      <c r="OME20" s="11"/>
      <c r="OMF20" s="11"/>
      <c r="OMG20" s="11"/>
      <c r="OMH20" s="11"/>
      <c r="OMI20" s="11"/>
      <c r="OMJ20" s="11"/>
      <c r="OMK20" s="11"/>
      <c r="OML20" s="11"/>
      <c r="OMM20" s="11"/>
      <c r="OMN20" s="11"/>
      <c r="OMO20" s="11"/>
      <c r="OMP20" s="11"/>
      <c r="OMQ20" s="11"/>
      <c r="OMR20" s="11"/>
      <c r="OMS20" s="11"/>
      <c r="OMT20" s="11"/>
      <c r="OMU20" s="11"/>
      <c r="OMV20" s="11"/>
      <c r="OMW20" s="11"/>
      <c r="OMX20" s="11"/>
      <c r="OMY20" s="11"/>
      <c r="OMZ20" s="11"/>
      <c r="ONA20" s="11"/>
      <c r="ONB20" s="11"/>
      <c r="ONC20" s="11"/>
      <c r="OND20" s="11"/>
      <c r="ONE20" s="11"/>
      <c r="ONF20" s="11"/>
      <c r="ONG20" s="11"/>
      <c r="ONH20" s="11"/>
      <c r="ONI20" s="11"/>
      <c r="ONJ20" s="11"/>
      <c r="ONK20" s="11"/>
      <c r="ONL20" s="11"/>
      <c r="ONM20" s="11"/>
      <c r="ONN20" s="11"/>
      <c r="ONO20" s="11"/>
      <c r="ONP20" s="11"/>
      <c r="ONQ20" s="11"/>
      <c r="ONR20" s="11"/>
      <c r="ONS20" s="11"/>
      <c r="ONT20" s="11"/>
      <c r="ONU20" s="11"/>
      <c r="ONV20" s="11"/>
      <c r="ONW20" s="11"/>
      <c r="ONX20" s="11"/>
      <c r="ONY20" s="11"/>
      <c r="ONZ20" s="11"/>
      <c r="OOA20" s="11"/>
      <c r="OOB20" s="11"/>
      <c r="OOC20" s="11"/>
      <c r="OOD20" s="11"/>
      <c r="OOE20" s="11"/>
      <c r="OOF20" s="11"/>
      <c r="OOG20" s="11"/>
      <c r="OOH20" s="11"/>
      <c r="OOI20" s="11"/>
      <c r="OOJ20" s="11"/>
      <c r="OOK20" s="11"/>
      <c r="OOL20" s="11"/>
      <c r="OOM20" s="11"/>
      <c r="OON20" s="11"/>
      <c r="OOO20" s="11"/>
      <c r="OOP20" s="11"/>
      <c r="OOQ20" s="11"/>
      <c r="OOR20" s="11"/>
      <c r="OOS20" s="11"/>
      <c r="OOT20" s="11"/>
      <c r="OOU20" s="11"/>
      <c r="OOV20" s="11"/>
      <c r="OOW20" s="11"/>
      <c r="OOX20" s="11"/>
      <c r="OOY20" s="11"/>
      <c r="OOZ20" s="11"/>
      <c r="OPA20" s="11"/>
      <c r="OPB20" s="11"/>
      <c r="OPC20" s="11"/>
      <c r="OPD20" s="11"/>
      <c r="OPE20" s="11"/>
      <c r="OPF20" s="11"/>
      <c r="OPG20" s="11"/>
      <c r="OPH20" s="11"/>
      <c r="OPI20" s="11"/>
      <c r="OPJ20" s="11"/>
      <c r="OPK20" s="11"/>
      <c r="OPL20" s="11"/>
      <c r="OPM20" s="11"/>
      <c r="OPN20" s="11"/>
      <c r="OPO20" s="11"/>
      <c r="OPP20" s="11"/>
      <c r="OPQ20" s="11"/>
      <c r="OPR20" s="11"/>
      <c r="OPS20" s="11"/>
      <c r="OPT20" s="11"/>
      <c r="OPU20" s="11"/>
      <c r="OPV20" s="11"/>
      <c r="OPW20" s="11"/>
      <c r="OPX20" s="11"/>
      <c r="OPY20" s="11"/>
      <c r="OPZ20" s="11"/>
      <c r="OQA20" s="11"/>
      <c r="OQB20" s="11"/>
      <c r="OQC20" s="11"/>
      <c r="OQD20" s="11"/>
      <c r="OQE20" s="11"/>
      <c r="OQF20" s="11"/>
      <c r="OQG20" s="11"/>
      <c r="OQH20" s="11"/>
      <c r="OQI20" s="11"/>
      <c r="OQJ20" s="11"/>
      <c r="OQK20" s="11"/>
      <c r="OQL20" s="11"/>
      <c r="OQM20" s="11"/>
      <c r="OQN20" s="11"/>
      <c r="OQO20" s="11"/>
      <c r="OQP20" s="11"/>
      <c r="OQQ20" s="11"/>
      <c r="OQR20" s="11"/>
      <c r="OQS20" s="11"/>
      <c r="OQT20" s="11"/>
      <c r="OQU20" s="11"/>
      <c r="OQV20" s="11"/>
      <c r="OQW20" s="11"/>
      <c r="OQX20" s="11"/>
      <c r="OQY20" s="11"/>
      <c r="OQZ20" s="11"/>
      <c r="ORA20" s="11"/>
      <c r="ORB20" s="11"/>
      <c r="ORC20" s="11"/>
      <c r="ORD20" s="11"/>
      <c r="ORE20" s="11"/>
      <c r="ORF20" s="11"/>
      <c r="ORG20" s="11"/>
      <c r="ORH20" s="11"/>
      <c r="ORI20" s="11"/>
      <c r="ORJ20" s="11"/>
      <c r="ORK20" s="11"/>
      <c r="ORL20" s="11"/>
      <c r="ORM20" s="11"/>
      <c r="ORN20" s="11"/>
      <c r="ORO20" s="11"/>
      <c r="ORP20" s="11"/>
      <c r="ORQ20" s="11"/>
      <c r="ORR20" s="11"/>
      <c r="ORS20" s="11"/>
      <c r="ORT20" s="11"/>
      <c r="ORU20" s="11"/>
      <c r="ORV20" s="11"/>
      <c r="ORW20" s="11"/>
      <c r="ORX20" s="11"/>
      <c r="ORY20" s="11"/>
      <c r="ORZ20" s="11"/>
      <c r="OSA20" s="11"/>
      <c r="OSB20" s="11"/>
      <c r="OSC20" s="11"/>
      <c r="OSD20" s="11"/>
      <c r="OSE20" s="11"/>
      <c r="OSF20" s="11"/>
      <c r="OSG20" s="11"/>
      <c r="OSH20" s="11"/>
      <c r="OSI20" s="11"/>
      <c r="OSJ20" s="11"/>
      <c r="OSK20" s="11"/>
      <c r="OSL20" s="11"/>
      <c r="OSM20" s="11"/>
      <c r="OSN20" s="11"/>
      <c r="OSO20" s="11"/>
      <c r="OSP20" s="11"/>
      <c r="OSQ20" s="11"/>
      <c r="OSR20" s="11"/>
      <c r="OSS20" s="11"/>
      <c r="OST20" s="11"/>
      <c r="OSU20" s="11"/>
      <c r="OSV20" s="11"/>
      <c r="OSW20" s="11"/>
      <c r="OSX20" s="11"/>
      <c r="OSY20" s="11"/>
      <c r="OSZ20" s="11"/>
      <c r="OTA20" s="11"/>
      <c r="OTB20" s="11"/>
      <c r="OTC20" s="11"/>
      <c r="OTD20" s="11"/>
      <c r="OTE20" s="11"/>
      <c r="OTF20" s="11"/>
      <c r="OTG20" s="11"/>
      <c r="OTH20" s="11"/>
      <c r="OTI20" s="11"/>
      <c r="OTJ20" s="11"/>
      <c r="OTK20" s="11"/>
      <c r="OTL20" s="11"/>
      <c r="OTM20" s="11"/>
      <c r="OTN20" s="11"/>
      <c r="OTO20" s="11"/>
      <c r="OTP20" s="11"/>
      <c r="OTQ20" s="11"/>
      <c r="OTR20" s="11"/>
      <c r="OTS20" s="11"/>
      <c r="OTT20" s="11"/>
      <c r="OTU20" s="11"/>
      <c r="OTV20" s="11"/>
      <c r="OTW20" s="11"/>
      <c r="OTX20" s="11"/>
      <c r="OTY20" s="11"/>
      <c r="OTZ20" s="11"/>
      <c r="OUA20" s="11"/>
      <c r="OUB20" s="11"/>
      <c r="OUC20" s="11"/>
      <c r="OUD20" s="11"/>
      <c r="OUE20" s="11"/>
      <c r="OUF20" s="11"/>
      <c r="OUG20" s="11"/>
      <c r="OUH20" s="11"/>
      <c r="OUI20" s="11"/>
      <c r="OUJ20" s="11"/>
      <c r="OUK20" s="11"/>
      <c r="OUL20" s="11"/>
      <c r="OUM20" s="11"/>
      <c r="OUN20" s="11"/>
      <c r="OUO20" s="11"/>
      <c r="OUP20" s="11"/>
      <c r="OUQ20" s="11"/>
      <c r="OUR20" s="11"/>
      <c r="OUS20" s="11"/>
      <c r="OUT20" s="11"/>
      <c r="OUU20" s="11"/>
      <c r="OUV20" s="11"/>
      <c r="OUW20" s="11"/>
      <c r="OUX20" s="11"/>
      <c r="OUY20" s="11"/>
      <c r="OUZ20" s="11"/>
      <c r="OVA20" s="11"/>
      <c r="OVB20" s="11"/>
      <c r="OVC20" s="11"/>
      <c r="OVD20" s="11"/>
      <c r="OVE20" s="11"/>
      <c r="OVF20" s="11"/>
      <c r="OVG20" s="11"/>
      <c r="OVH20" s="11"/>
      <c r="OVI20" s="11"/>
      <c r="OVJ20" s="11"/>
      <c r="OVK20" s="11"/>
      <c r="OVL20" s="11"/>
      <c r="OVM20" s="11"/>
      <c r="OVN20" s="11"/>
      <c r="OVO20" s="11"/>
      <c r="OVP20" s="11"/>
      <c r="OVQ20" s="11"/>
      <c r="OVR20" s="11"/>
      <c r="OVS20" s="11"/>
      <c r="OVT20" s="11"/>
      <c r="OVU20" s="11"/>
      <c r="OVV20" s="11"/>
      <c r="OVW20" s="11"/>
      <c r="OVX20" s="11"/>
      <c r="OVY20" s="11"/>
      <c r="OVZ20" s="11"/>
      <c r="OWA20" s="11"/>
      <c r="OWB20" s="11"/>
      <c r="OWC20" s="11"/>
      <c r="OWD20" s="11"/>
      <c r="OWE20" s="11"/>
      <c r="OWF20" s="11"/>
      <c r="OWG20" s="11"/>
      <c r="OWH20" s="11"/>
      <c r="OWI20" s="11"/>
      <c r="OWJ20" s="11"/>
      <c r="OWK20" s="11"/>
      <c r="OWL20" s="11"/>
      <c r="OWM20" s="11"/>
      <c r="OWN20" s="11"/>
      <c r="OWO20" s="11"/>
      <c r="OWP20" s="11"/>
      <c r="OWQ20" s="11"/>
      <c r="OWR20" s="11"/>
      <c r="OWS20" s="11"/>
      <c r="OWT20" s="11"/>
      <c r="OWU20" s="11"/>
      <c r="OWV20" s="11"/>
      <c r="OWW20" s="11"/>
      <c r="OWX20" s="11"/>
      <c r="OWY20" s="11"/>
      <c r="OWZ20" s="11"/>
      <c r="OXA20" s="11"/>
      <c r="OXB20" s="11"/>
      <c r="OXC20" s="11"/>
      <c r="OXD20" s="11"/>
      <c r="OXE20" s="11"/>
      <c r="OXF20" s="11"/>
      <c r="OXG20" s="11"/>
      <c r="OXH20" s="11"/>
      <c r="OXI20" s="11"/>
      <c r="OXJ20" s="11"/>
      <c r="OXK20" s="11"/>
      <c r="OXL20" s="11"/>
      <c r="OXM20" s="11"/>
      <c r="OXN20" s="11"/>
      <c r="OXO20" s="11"/>
      <c r="OXP20" s="11"/>
      <c r="OXQ20" s="11"/>
      <c r="OXR20" s="11"/>
      <c r="OXS20" s="11"/>
      <c r="OXT20" s="11"/>
      <c r="OXU20" s="11"/>
      <c r="OXV20" s="11"/>
      <c r="OXW20" s="11"/>
      <c r="OXX20" s="11"/>
      <c r="OXY20" s="11"/>
      <c r="OXZ20" s="11"/>
      <c r="OYA20" s="11"/>
      <c r="OYB20" s="11"/>
      <c r="OYC20" s="11"/>
      <c r="OYD20" s="11"/>
      <c r="OYE20" s="11"/>
      <c r="OYF20" s="11"/>
      <c r="OYG20" s="11"/>
      <c r="OYH20" s="11"/>
      <c r="OYI20" s="11"/>
      <c r="OYJ20" s="11"/>
      <c r="OYK20" s="11"/>
      <c r="OYL20" s="11"/>
      <c r="OYM20" s="11"/>
      <c r="OYN20" s="11"/>
      <c r="OYO20" s="11"/>
      <c r="OYP20" s="11"/>
      <c r="OYQ20" s="11"/>
      <c r="OYR20" s="11"/>
      <c r="OYS20" s="11"/>
      <c r="OYT20" s="11"/>
      <c r="OYU20" s="11"/>
      <c r="OYV20" s="11"/>
      <c r="OYW20" s="11"/>
      <c r="OYX20" s="11"/>
      <c r="OYY20" s="11"/>
      <c r="OYZ20" s="11"/>
      <c r="OZA20" s="11"/>
      <c r="OZB20" s="11"/>
      <c r="OZC20" s="11"/>
      <c r="OZD20" s="11"/>
      <c r="OZE20" s="11"/>
      <c r="OZF20" s="11"/>
      <c r="OZG20" s="11"/>
      <c r="OZH20" s="11"/>
      <c r="OZI20" s="11"/>
      <c r="OZJ20" s="11"/>
      <c r="OZK20" s="11"/>
      <c r="OZL20" s="11"/>
      <c r="OZM20" s="11"/>
      <c r="OZN20" s="11"/>
      <c r="OZO20" s="11"/>
      <c r="OZP20" s="11"/>
      <c r="OZQ20" s="11"/>
      <c r="OZR20" s="11"/>
      <c r="OZS20" s="11"/>
      <c r="OZT20" s="11"/>
      <c r="OZU20" s="11"/>
      <c r="OZV20" s="11"/>
      <c r="OZW20" s="11"/>
      <c r="OZX20" s="11"/>
      <c r="OZY20" s="11"/>
      <c r="OZZ20" s="11"/>
      <c r="PAA20" s="11"/>
      <c r="PAB20" s="11"/>
      <c r="PAC20" s="11"/>
      <c r="PAD20" s="11"/>
      <c r="PAE20" s="11"/>
      <c r="PAF20" s="11"/>
      <c r="PAG20" s="11"/>
      <c r="PAH20" s="11"/>
      <c r="PAI20" s="11"/>
      <c r="PAJ20" s="11"/>
      <c r="PAK20" s="11"/>
      <c r="PAL20" s="11"/>
      <c r="PAM20" s="11"/>
      <c r="PAN20" s="11"/>
      <c r="PAO20" s="11"/>
      <c r="PAP20" s="11"/>
      <c r="PAQ20" s="11"/>
      <c r="PAR20" s="11"/>
      <c r="PAS20" s="11"/>
      <c r="PAT20" s="11"/>
      <c r="PAU20" s="11"/>
      <c r="PAV20" s="11"/>
      <c r="PAW20" s="11"/>
      <c r="PAX20" s="11"/>
      <c r="PAY20" s="11"/>
      <c r="PAZ20" s="11"/>
      <c r="PBA20" s="11"/>
      <c r="PBB20" s="11"/>
      <c r="PBC20" s="11"/>
      <c r="PBD20" s="11"/>
      <c r="PBE20" s="11"/>
      <c r="PBF20" s="11"/>
      <c r="PBG20" s="11"/>
      <c r="PBH20" s="11"/>
      <c r="PBI20" s="11"/>
      <c r="PBJ20" s="11"/>
      <c r="PBK20" s="11"/>
      <c r="PBL20" s="11"/>
      <c r="PBM20" s="11"/>
      <c r="PBN20" s="11"/>
      <c r="PBO20" s="11"/>
      <c r="PBP20" s="11"/>
      <c r="PBQ20" s="11"/>
      <c r="PBR20" s="11"/>
      <c r="PBS20" s="11"/>
      <c r="PBT20" s="11"/>
      <c r="PBU20" s="11"/>
      <c r="PBV20" s="11"/>
      <c r="PBW20" s="11"/>
      <c r="PBX20" s="11"/>
      <c r="PBY20" s="11"/>
      <c r="PBZ20" s="11"/>
      <c r="PCA20" s="11"/>
      <c r="PCB20" s="11"/>
      <c r="PCC20" s="11"/>
      <c r="PCD20" s="11"/>
      <c r="PCE20" s="11"/>
      <c r="PCF20" s="11"/>
      <c r="PCG20" s="11"/>
      <c r="PCH20" s="11"/>
      <c r="PCI20" s="11"/>
      <c r="PCJ20" s="11"/>
      <c r="PCK20" s="11"/>
      <c r="PCL20" s="11"/>
      <c r="PCM20" s="11"/>
      <c r="PCN20" s="11"/>
      <c r="PCO20" s="11"/>
      <c r="PCP20" s="11"/>
      <c r="PCQ20" s="11"/>
      <c r="PCR20" s="11"/>
      <c r="PCS20" s="11"/>
      <c r="PCT20" s="11"/>
      <c r="PCU20" s="11"/>
      <c r="PCV20" s="11"/>
      <c r="PCW20" s="11"/>
      <c r="PCX20" s="11"/>
      <c r="PCY20" s="11"/>
      <c r="PCZ20" s="11"/>
      <c r="PDA20" s="11"/>
      <c r="PDB20" s="11"/>
      <c r="PDC20" s="11"/>
      <c r="PDD20" s="11"/>
      <c r="PDE20" s="11"/>
      <c r="PDF20" s="11"/>
      <c r="PDG20" s="11"/>
      <c r="PDH20" s="11"/>
      <c r="PDI20" s="11"/>
      <c r="PDJ20" s="11"/>
      <c r="PDK20" s="11"/>
      <c r="PDL20" s="11"/>
      <c r="PDM20" s="11"/>
      <c r="PDN20" s="11"/>
      <c r="PDO20" s="11"/>
      <c r="PDP20" s="11"/>
      <c r="PDQ20" s="11"/>
      <c r="PDR20" s="11"/>
      <c r="PDS20" s="11"/>
      <c r="PDT20" s="11"/>
      <c r="PDU20" s="11"/>
      <c r="PDV20" s="11"/>
      <c r="PDW20" s="11"/>
      <c r="PDX20" s="11"/>
      <c r="PDY20" s="11"/>
      <c r="PDZ20" s="11"/>
      <c r="PEA20" s="11"/>
      <c r="PEB20" s="11"/>
      <c r="PEC20" s="11"/>
      <c r="PED20" s="11"/>
      <c r="PEE20" s="11"/>
      <c r="PEF20" s="11"/>
      <c r="PEG20" s="11"/>
      <c r="PEH20" s="11"/>
      <c r="PEI20" s="11"/>
      <c r="PEJ20" s="11"/>
      <c r="PEK20" s="11"/>
      <c r="PEL20" s="11"/>
      <c r="PEM20" s="11"/>
      <c r="PEN20" s="11"/>
      <c r="PEO20" s="11"/>
      <c r="PEP20" s="11"/>
      <c r="PEQ20" s="11"/>
      <c r="PER20" s="11"/>
      <c r="PES20" s="11"/>
      <c r="PET20" s="11"/>
      <c r="PEU20" s="11"/>
      <c r="PEV20" s="11"/>
      <c r="PEW20" s="11"/>
      <c r="PEX20" s="11"/>
      <c r="PEY20" s="11"/>
      <c r="PEZ20" s="11"/>
      <c r="PFA20" s="11"/>
      <c r="PFB20" s="11"/>
      <c r="PFC20" s="11"/>
      <c r="PFD20" s="11"/>
      <c r="PFE20" s="11"/>
      <c r="PFF20" s="11"/>
      <c r="PFG20" s="11"/>
      <c r="PFH20" s="11"/>
      <c r="PFI20" s="11"/>
      <c r="PFJ20" s="11"/>
      <c r="PFK20" s="11"/>
      <c r="PFL20" s="11"/>
      <c r="PFM20" s="11"/>
      <c r="PFN20" s="11"/>
      <c r="PFO20" s="11"/>
      <c r="PFP20" s="11"/>
      <c r="PFQ20" s="11"/>
      <c r="PFR20" s="11"/>
      <c r="PFS20" s="11"/>
      <c r="PFT20" s="11"/>
      <c r="PFU20" s="11"/>
      <c r="PFV20" s="11"/>
      <c r="PFW20" s="11"/>
      <c r="PFX20" s="11"/>
      <c r="PFY20" s="11"/>
      <c r="PFZ20" s="11"/>
      <c r="PGA20" s="11"/>
      <c r="PGB20" s="11"/>
      <c r="PGC20" s="11"/>
      <c r="PGD20" s="11"/>
      <c r="PGE20" s="11"/>
      <c r="PGF20" s="11"/>
      <c r="PGG20" s="11"/>
      <c r="PGH20" s="11"/>
      <c r="PGI20" s="11"/>
      <c r="PGJ20" s="11"/>
      <c r="PGK20" s="11"/>
      <c r="PGL20" s="11"/>
      <c r="PGM20" s="11"/>
      <c r="PGN20" s="11"/>
      <c r="PGO20" s="11"/>
      <c r="PGP20" s="11"/>
      <c r="PGQ20" s="11"/>
      <c r="PGR20" s="11"/>
      <c r="PGS20" s="11"/>
      <c r="PGT20" s="11"/>
      <c r="PGU20" s="11"/>
      <c r="PGV20" s="11"/>
      <c r="PGW20" s="11"/>
      <c r="PGX20" s="11"/>
      <c r="PGY20" s="11"/>
      <c r="PGZ20" s="11"/>
      <c r="PHA20" s="11"/>
      <c r="PHB20" s="11"/>
      <c r="PHC20" s="11"/>
      <c r="PHD20" s="11"/>
      <c r="PHE20" s="11"/>
      <c r="PHF20" s="11"/>
      <c r="PHG20" s="11"/>
      <c r="PHH20" s="11"/>
      <c r="PHI20" s="11"/>
      <c r="PHJ20" s="11"/>
      <c r="PHK20" s="11"/>
      <c r="PHL20" s="11"/>
      <c r="PHM20" s="11"/>
      <c r="PHN20" s="11"/>
      <c r="PHO20" s="11"/>
      <c r="PHP20" s="11"/>
      <c r="PHQ20" s="11"/>
      <c r="PHR20" s="11"/>
      <c r="PHS20" s="11"/>
      <c r="PHT20" s="11"/>
      <c r="PHU20" s="11"/>
      <c r="PHV20" s="11"/>
      <c r="PHW20" s="11"/>
      <c r="PHX20" s="11"/>
      <c r="PHY20" s="11"/>
      <c r="PHZ20" s="11"/>
      <c r="PIA20" s="11"/>
      <c r="PIB20" s="11"/>
      <c r="PIC20" s="11"/>
      <c r="PID20" s="11"/>
      <c r="PIE20" s="11"/>
      <c r="PIF20" s="11"/>
      <c r="PIG20" s="11"/>
      <c r="PIH20" s="11"/>
      <c r="PII20" s="11"/>
      <c r="PIJ20" s="11"/>
      <c r="PIK20" s="11"/>
      <c r="PIL20" s="11"/>
      <c r="PIM20" s="11"/>
      <c r="PIN20" s="11"/>
      <c r="PIO20" s="11"/>
      <c r="PIP20" s="11"/>
      <c r="PIQ20" s="11"/>
      <c r="PIR20" s="11"/>
      <c r="PIS20" s="11"/>
      <c r="PIT20" s="11"/>
      <c r="PIU20" s="11"/>
      <c r="PIV20" s="11"/>
      <c r="PIW20" s="11"/>
      <c r="PIX20" s="11"/>
      <c r="PIY20" s="11"/>
      <c r="PIZ20" s="11"/>
      <c r="PJA20" s="11"/>
      <c r="PJB20" s="11"/>
      <c r="PJC20" s="11"/>
      <c r="PJD20" s="11"/>
      <c r="PJE20" s="11"/>
      <c r="PJF20" s="11"/>
      <c r="PJG20" s="11"/>
      <c r="PJH20" s="11"/>
      <c r="PJI20" s="11"/>
      <c r="PJJ20" s="11"/>
      <c r="PJK20" s="11"/>
      <c r="PJL20" s="11"/>
      <c r="PJM20" s="11"/>
      <c r="PJN20" s="11"/>
      <c r="PJO20" s="11"/>
      <c r="PJP20" s="11"/>
      <c r="PJQ20" s="11"/>
      <c r="PJR20" s="11"/>
      <c r="PJS20" s="11"/>
      <c r="PJT20" s="11"/>
      <c r="PJU20" s="11"/>
      <c r="PJV20" s="11"/>
      <c r="PJW20" s="11"/>
      <c r="PJX20" s="11"/>
      <c r="PJY20" s="11"/>
      <c r="PJZ20" s="11"/>
      <c r="PKA20" s="11"/>
      <c r="PKB20" s="11"/>
      <c r="PKC20" s="11"/>
      <c r="PKD20" s="11"/>
      <c r="PKE20" s="11"/>
      <c r="PKF20" s="11"/>
      <c r="PKG20" s="11"/>
      <c r="PKH20" s="11"/>
      <c r="PKI20" s="11"/>
      <c r="PKJ20" s="11"/>
      <c r="PKK20" s="11"/>
      <c r="PKL20" s="11"/>
      <c r="PKM20" s="11"/>
      <c r="PKN20" s="11"/>
      <c r="PKO20" s="11"/>
      <c r="PKP20" s="11"/>
      <c r="PKQ20" s="11"/>
      <c r="PKR20" s="11"/>
      <c r="PKS20" s="11"/>
      <c r="PKT20" s="11"/>
      <c r="PKU20" s="11"/>
      <c r="PKV20" s="11"/>
      <c r="PKW20" s="11"/>
      <c r="PKX20" s="11"/>
      <c r="PKY20" s="11"/>
      <c r="PKZ20" s="11"/>
      <c r="PLA20" s="11"/>
      <c r="PLB20" s="11"/>
      <c r="PLC20" s="11"/>
      <c r="PLD20" s="11"/>
      <c r="PLE20" s="11"/>
      <c r="PLF20" s="11"/>
      <c r="PLG20" s="11"/>
      <c r="PLH20" s="11"/>
      <c r="PLI20" s="11"/>
      <c r="PLJ20" s="11"/>
      <c r="PLK20" s="11"/>
      <c r="PLL20" s="11"/>
      <c r="PLM20" s="11"/>
      <c r="PLN20" s="11"/>
      <c r="PLO20" s="11"/>
      <c r="PLP20" s="11"/>
      <c r="PLQ20" s="11"/>
      <c r="PLR20" s="11"/>
      <c r="PLS20" s="11"/>
      <c r="PLT20" s="11"/>
      <c r="PLU20" s="11"/>
      <c r="PLV20" s="11"/>
      <c r="PLW20" s="11"/>
      <c r="PLX20" s="11"/>
      <c r="PLY20" s="11"/>
      <c r="PLZ20" s="11"/>
      <c r="PMA20" s="11"/>
      <c r="PMB20" s="11"/>
      <c r="PMC20" s="11"/>
      <c r="PMD20" s="11"/>
      <c r="PME20" s="11"/>
      <c r="PMF20" s="11"/>
      <c r="PMG20" s="11"/>
      <c r="PMH20" s="11"/>
      <c r="PMI20" s="11"/>
      <c r="PMJ20" s="11"/>
      <c r="PMK20" s="11"/>
      <c r="PML20" s="11"/>
      <c r="PMM20" s="11"/>
      <c r="PMN20" s="11"/>
      <c r="PMO20" s="11"/>
      <c r="PMP20" s="11"/>
      <c r="PMQ20" s="11"/>
      <c r="PMR20" s="11"/>
      <c r="PMS20" s="11"/>
      <c r="PMT20" s="11"/>
      <c r="PMU20" s="11"/>
      <c r="PMV20" s="11"/>
      <c r="PMW20" s="11"/>
      <c r="PMX20" s="11"/>
      <c r="PMY20" s="11"/>
      <c r="PMZ20" s="11"/>
      <c r="PNA20" s="11"/>
      <c r="PNB20" s="11"/>
      <c r="PNC20" s="11"/>
      <c r="PND20" s="11"/>
      <c r="PNE20" s="11"/>
      <c r="PNF20" s="11"/>
      <c r="PNG20" s="11"/>
      <c r="PNH20" s="11"/>
      <c r="PNI20" s="11"/>
      <c r="PNJ20" s="11"/>
      <c r="PNK20" s="11"/>
      <c r="PNL20" s="11"/>
      <c r="PNM20" s="11"/>
      <c r="PNN20" s="11"/>
      <c r="PNO20" s="11"/>
      <c r="PNP20" s="11"/>
      <c r="PNQ20" s="11"/>
      <c r="PNR20" s="11"/>
      <c r="PNS20" s="11"/>
      <c r="PNT20" s="11"/>
      <c r="PNU20" s="11"/>
      <c r="PNV20" s="11"/>
      <c r="PNW20" s="11"/>
      <c r="PNX20" s="11"/>
      <c r="PNY20" s="11"/>
      <c r="PNZ20" s="11"/>
      <c r="POA20" s="11"/>
      <c r="POB20" s="11"/>
      <c r="POC20" s="11"/>
      <c r="POD20" s="11"/>
      <c r="POE20" s="11"/>
      <c r="POF20" s="11"/>
      <c r="POG20" s="11"/>
      <c r="POH20" s="11"/>
      <c r="POI20" s="11"/>
      <c r="POJ20" s="11"/>
      <c r="POK20" s="11"/>
      <c r="POL20" s="11"/>
      <c r="POM20" s="11"/>
      <c r="PON20" s="11"/>
      <c r="POO20" s="11"/>
      <c r="POP20" s="11"/>
      <c r="POQ20" s="11"/>
      <c r="POR20" s="11"/>
      <c r="POS20" s="11"/>
      <c r="POT20" s="11"/>
      <c r="POU20" s="11"/>
      <c r="POV20" s="11"/>
      <c r="POW20" s="11"/>
      <c r="POX20" s="11"/>
      <c r="POY20" s="11"/>
      <c r="POZ20" s="11"/>
      <c r="PPA20" s="11"/>
      <c r="PPB20" s="11"/>
      <c r="PPC20" s="11"/>
      <c r="PPD20" s="11"/>
      <c r="PPE20" s="11"/>
      <c r="PPF20" s="11"/>
      <c r="PPG20" s="11"/>
      <c r="PPH20" s="11"/>
      <c r="PPI20" s="11"/>
      <c r="PPJ20" s="11"/>
      <c r="PPK20" s="11"/>
      <c r="PPL20" s="11"/>
      <c r="PPM20" s="11"/>
      <c r="PPN20" s="11"/>
      <c r="PPO20" s="11"/>
      <c r="PPP20" s="11"/>
      <c r="PPQ20" s="11"/>
      <c r="PPR20" s="11"/>
      <c r="PPS20" s="11"/>
      <c r="PPT20" s="11"/>
      <c r="PPU20" s="11"/>
      <c r="PPV20" s="11"/>
      <c r="PPW20" s="11"/>
      <c r="PPX20" s="11"/>
      <c r="PPY20" s="11"/>
      <c r="PPZ20" s="11"/>
      <c r="PQA20" s="11"/>
      <c r="PQB20" s="11"/>
      <c r="PQC20" s="11"/>
      <c r="PQD20" s="11"/>
      <c r="PQE20" s="11"/>
      <c r="PQF20" s="11"/>
      <c r="PQG20" s="11"/>
      <c r="PQH20" s="11"/>
      <c r="PQI20" s="11"/>
      <c r="PQJ20" s="11"/>
      <c r="PQK20" s="11"/>
      <c r="PQL20" s="11"/>
      <c r="PQM20" s="11"/>
      <c r="PQN20" s="11"/>
      <c r="PQO20" s="11"/>
      <c r="PQP20" s="11"/>
      <c r="PQQ20" s="11"/>
      <c r="PQR20" s="11"/>
      <c r="PQS20" s="11"/>
      <c r="PQT20" s="11"/>
      <c r="PQU20" s="11"/>
      <c r="PQV20" s="11"/>
      <c r="PQW20" s="11"/>
      <c r="PQX20" s="11"/>
      <c r="PQY20" s="11"/>
      <c r="PQZ20" s="11"/>
      <c r="PRA20" s="11"/>
      <c r="PRB20" s="11"/>
      <c r="PRC20" s="11"/>
      <c r="PRD20" s="11"/>
      <c r="PRE20" s="11"/>
      <c r="PRF20" s="11"/>
      <c r="PRG20" s="11"/>
      <c r="PRH20" s="11"/>
      <c r="PRI20" s="11"/>
      <c r="PRJ20" s="11"/>
      <c r="PRK20" s="11"/>
      <c r="PRL20" s="11"/>
      <c r="PRM20" s="11"/>
      <c r="PRN20" s="11"/>
      <c r="PRO20" s="11"/>
      <c r="PRP20" s="11"/>
      <c r="PRQ20" s="11"/>
      <c r="PRR20" s="11"/>
      <c r="PRS20" s="11"/>
      <c r="PRT20" s="11"/>
      <c r="PRU20" s="11"/>
      <c r="PRV20" s="11"/>
      <c r="PRW20" s="11"/>
      <c r="PRX20" s="11"/>
      <c r="PRY20" s="11"/>
      <c r="PRZ20" s="11"/>
      <c r="PSA20" s="11"/>
      <c r="PSB20" s="11"/>
      <c r="PSC20" s="11"/>
      <c r="PSD20" s="11"/>
      <c r="PSE20" s="11"/>
      <c r="PSF20" s="11"/>
      <c r="PSG20" s="11"/>
      <c r="PSH20" s="11"/>
      <c r="PSI20" s="11"/>
      <c r="PSJ20" s="11"/>
      <c r="PSK20" s="11"/>
      <c r="PSL20" s="11"/>
      <c r="PSM20" s="11"/>
      <c r="PSN20" s="11"/>
      <c r="PSO20" s="11"/>
      <c r="PSP20" s="11"/>
      <c r="PSQ20" s="11"/>
      <c r="PSR20" s="11"/>
      <c r="PSS20" s="11"/>
      <c r="PST20" s="11"/>
      <c r="PSU20" s="11"/>
      <c r="PSV20" s="11"/>
      <c r="PSW20" s="11"/>
      <c r="PSX20" s="11"/>
      <c r="PSY20" s="11"/>
      <c r="PSZ20" s="11"/>
      <c r="PTA20" s="11"/>
      <c r="PTB20" s="11"/>
      <c r="PTC20" s="11"/>
      <c r="PTD20" s="11"/>
      <c r="PTE20" s="11"/>
      <c r="PTF20" s="11"/>
      <c r="PTG20" s="11"/>
      <c r="PTH20" s="11"/>
      <c r="PTI20" s="11"/>
      <c r="PTJ20" s="11"/>
      <c r="PTK20" s="11"/>
      <c r="PTL20" s="11"/>
      <c r="PTM20" s="11"/>
      <c r="PTN20" s="11"/>
      <c r="PTO20" s="11"/>
      <c r="PTP20" s="11"/>
      <c r="PTQ20" s="11"/>
      <c r="PTR20" s="11"/>
      <c r="PTS20" s="11"/>
      <c r="PTT20" s="11"/>
      <c r="PTU20" s="11"/>
      <c r="PTV20" s="11"/>
      <c r="PTW20" s="11"/>
      <c r="PTX20" s="11"/>
      <c r="PTY20" s="11"/>
      <c r="PTZ20" s="11"/>
      <c r="PUA20" s="11"/>
      <c r="PUB20" s="11"/>
      <c r="PUC20" s="11"/>
      <c r="PUD20" s="11"/>
      <c r="PUE20" s="11"/>
      <c r="PUF20" s="11"/>
      <c r="PUG20" s="11"/>
      <c r="PUH20" s="11"/>
      <c r="PUI20" s="11"/>
      <c r="PUJ20" s="11"/>
      <c r="PUK20" s="11"/>
      <c r="PUL20" s="11"/>
      <c r="PUM20" s="11"/>
      <c r="PUN20" s="11"/>
      <c r="PUO20" s="11"/>
      <c r="PUP20" s="11"/>
      <c r="PUQ20" s="11"/>
      <c r="PUR20" s="11"/>
      <c r="PUS20" s="11"/>
      <c r="PUT20" s="11"/>
      <c r="PUU20" s="11"/>
      <c r="PUV20" s="11"/>
      <c r="PUW20" s="11"/>
      <c r="PUX20" s="11"/>
      <c r="PUY20" s="11"/>
      <c r="PUZ20" s="11"/>
      <c r="PVA20" s="11"/>
      <c r="PVB20" s="11"/>
      <c r="PVC20" s="11"/>
      <c r="PVD20" s="11"/>
      <c r="PVE20" s="11"/>
      <c r="PVF20" s="11"/>
      <c r="PVG20" s="11"/>
      <c r="PVH20" s="11"/>
      <c r="PVI20" s="11"/>
      <c r="PVJ20" s="11"/>
      <c r="PVK20" s="11"/>
      <c r="PVL20" s="11"/>
      <c r="PVM20" s="11"/>
      <c r="PVN20" s="11"/>
      <c r="PVO20" s="11"/>
      <c r="PVP20" s="11"/>
      <c r="PVQ20" s="11"/>
      <c r="PVR20" s="11"/>
      <c r="PVS20" s="11"/>
      <c r="PVT20" s="11"/>
      <c r="PVU20" s="11"/>
      <c r="PVV20" s="11"/>
      <c r="PVW20" s="11"/>
      <c r="PVX20" s="11"/>
      <c r="PVY20" s="11"/>
      <c r="PVZ20" s="11"/>
      <c r="PWA20" s="11"/>
      <c r="PWB20" s="11"/>
      <c r="PWC20" s="11"/>
      <c r="PWD20" s="11"/>
      <c r="PWE20" s="11"/>
      <c r="PWF20" s="11"/>
      <c r="PWG20" s="11"/>
      <c r="PWH20" s="11"/>
      <c r="PWI20" s="11"/>
      <c r="PWJ20" s="11"/>
      <c r="PWK20" s="11"/>
      <c r="PWL20" s="11"/>
      <c r="PWM20" s="11"/>
      <c r="PWN20" s="11"/>
      <c r="PWO20" s="11"/>
      <c r="PWP20" s="11"/>
      <c r="PWQ20" s="11"/>
      <c r="PWR20" s="11"/>
      <c r="PWS20" s="11"/>
      <c r="PWT20" s="11"/>
      <c r="PWU20" s="11"/>
      <c r="PWV20" s="11"/>
      <c r="PWW20" s="11"/>
      <c r="PWX20" s="11"/>
      <c r="PWY20" s="11"/>
      <c r="PWZ20" s="11"/>
      <c r="PXA20" s="11"/>
      <c r="PXB20" s="11"/>
      <c r="PXC20" s="11"/>
      <c r="PXD20" s="11"/>
      <c r="PXE20" s="11"/>
      <c r="PXF20" s="11"/>
      <c r="PXG20" s="11"/>
      <c r="PXH20" s="11"/>
      <c r="PXI20" s="11"/>
      <c r="PXJ20" s="11"/>
      <c r="PXK20" s="11"/>
      <c r="PXL20" s="11"/>
      <c r="PXM20" s="11"/>
      <c r="PXN20" s="11"/>
      <c r="PXO20" s="11"/>
      <c r="PXP20" s="11"/>
      <c r="PXQ20" s="11"/>
      <c r="PXR20" s="11"/>
      <c r="PXS20" s="11"/>
      <c r="PXT20" s="11"/>
      <c r="PXU20" s="11"/>
      <c r="PXV20" s="11"/>
      <c r="PXW20" s="11"/>
      <c r="PXX20" s="11"/>
      <c r="PXY20" s="11"/>
      <c r="PXZ20" s="11"/>
      <c r="PYA20" s="11"/>
      <c r="PYB20" s="11"/>
      <c r="PYC20" s="11"/>
      <c r="PYD20" s="11"/>
      <c r="PYE20" s="11"/>
      <c r="PYF20" s="11"/>
      <c r="PYG20" s="11"/>
      <c r="PYH20" s="11"/>
      <c r="PYI20" s="11"/>
      <c r="PYJ20" s="11"/>
      <c r="PYK20" s="11"/>
      <c r="PYL20" s="11"/>
      <c r="PYM20" s="11"/>
      <c r="PYN20" s="11"/>
      <c r="PYO20" s="11"/>
      <c r="PYP20" s="11"/>
      <c r="PYQ20" s="11"/>
      <c r="PYR20" s="11"/>
      <c r="PYS20" s="11"/>
      <c r="PYT20" s="11"/>
      <c r="PYU20" s="11"/>
      <c r="PYV20" s="11"/>
      <c r="PYW20" s="11"/>
      <c r="PYX20" s="11"/>
      <c r="PYY20" s="11"/>
      <c r="PYZ20" s="11"/>
      <c r="PZA20" s="11"/>
      <c r="PZB20" s="11"/>
      <c r="PZC20" s="11"/>
      <c r="PZD20" s="11"/>
      <c r="PZE20" s="11"/>
      <c r="PZF20" s="11"/>
      <c r="PZG20" s="11"/>
      <c r="PZH20" s="11"/>
      <c r="PZI20" s="11"/>
      <c r="PZJ20" s="11"/>
      <c r="PZK20" s="11"/>
      <c r="PZL20" s="11"/>
      <c r="PZM20" s="11"/>
      <c r="PZN20" s="11"/>
      <c r="PZO20" s="11"/>
      <c r="PZP20" s="11"/>
      <c r="PZQ20" s="11"/>
      <c r="PZR20" s="11"/>
      <c r="PZS20" s="11"/>
      <c r="PZT20" s="11"/>
      <c r="PZU20" s="11"/>
      <c r="PZV20" s="11"/>
      <c r="PZW20" s="11"/>
      <c r="PZX20" s="11"/>
      <c r="PZY20" s="11"/>
      <c r="PZZ20" s="11"/>
      <c r="QAA20" s="11"/>
      <c r="QAB20" s="11"/>
      <c r="QAC20" s="11"/>
      <c r="QAD20" s="11"/>
      <c r="QAE20" s="11"/>
      <c r="QAF20" s="11"/>
      <c r="QAG20" s="11"/>
      <c r="QAH20" s="11"/>
      <c r="QAI20" s="11"/>
      <c r="QAJ20" s="11"/>
      <c r="QAK20" s="11"/>
      <c r="QAL20" s="11"/>
      <c r="QAM20" s="11"/>
      <c r="QAN20" s="11"/>
      <c r="QAO20" s="11"/>
      <c r="QAP20" s="11"/>
      <c r="QAQ20" s="11"/>
      <c r="QAR20" s="11"/>
      <c r="QAS20" s="11"/>
      <c r="QAT20" s="11"/>
      <c r="QAU20" s="11"/>
      <c r="QAV20" s="11"/>
      <c r="QAW20" s="11"/>
      <c r="QAX20" s="11"/>
      <c r="QAY20" s="11"/>
      <c r="QAZ20" s="11"/>
      <c r="QBA20" s="11"/>
      <c r="QBB20" s="11"/>
      <c r="QBC20" s="11"/>
      <c r="QBD20" s="11"/>
      <c r="QBE20" s="11"/>
      <c r="QBF20" s="11"/>
      <c r="QBG20" s="11"/>
      <c r="QBH20" s="11"/>
      <c r="QBI20" s="11"/>
      <c r="QBJ20" s="11"/>
      <c r="QBK20" s="11"/>
      <c r="QBL20" s="11"/>
      <c r="QBM20" s="11"/>
      <c r="QBN20" s="11"/>
      <c r="QBO20" s="11"/>
      <c r="QBP20" s="11"/>
      <c r="QBQ20" s="11"/>
      <c r="QBR20" s="11"/>
      <c r="QBS20" s="11"/>
      <c r="QBT20" s="11"/>
      <c r="QBU20" s="11"/>
      <c r="QBV20" s="11"/>
      <c r="QBW20" s="11"/>
      <c r="QBX20" s="11"/>
      <c r="QBY20" s="11"/>
      <c r="QBZ20" s="11"/>
      <c r="QCA20" s="11"/>
      <c r="QCB20" s="11"/>
      <c r="QCC20" s="11"/>
      <c r="QCD20" s="11"/>
      <c r="QCE20" s="11"/>
      <c r="QCF20" s="11"/>
      <c r="QCG20" s="11"/>
      <c r="QCH20" s="11"/>
      <c r="QCI20" s="11"/>
      <c r="QCJ20" s="11"/>
      <c r="QCK20" s="11"/>
      <c r="QCL20" s="11"/>
      <c r="QCM20" s="11"/>
      <c r="QCN20" s="11"/>
      <c r="QCO20" s="11"/>
      <c r="QCP20" s="11"/>
      <c r="QCQ20" s="11"/>
      <c r="QCR20" s="11"/>
      <c r="QCS20" s="11"/>
      <c r="QCT20" s="11"/>
      <c r="QCU20" s="11"/>
      <c r="QCV20" s="11"/>
      <c r="QCW20" s="11"/>
      <c r="QCX20" s="11"/>
      <c r="QCY20" s="11"/>
      <c r="QCZ20" s="11"/>
      <c r="QDA20" s="11"/>
      <c r="QDB20" s="11"/>
      <c r="QDC20" s="11"/>
      <c r="QDD20" s="11"/>
      <c r="QDE20" s="11"/>
      <c r="QDF20" s="11"/>
      <c r="QDG20" s="11"/>
      <c r="QDH20" s="11"/>
      <c r="QDI20" s="11"/>
      <c r="QDJ20" s="11"/>
      <c r="QDK20" s="11"/>
      <c r="QDL20" s="11"/>
      <c r="QDM20" s="11"/>
      <c r="QDN20" s="11"/>
      <c r="QDO20" s="11"/>
      <c r="QDP20" s="11"/>
      <c r="QDQ20" s="11"/>
      <c r="QDR20" s="11"/>
      <c r="QDS20" s="11"/>
      <c r="QDT20" s="11"/>
      <c r="QDU20" s="11"/>
      <c r="QDV20" s="11"/>
      <c r="QDW20" s="11"/>
      <c r="QDX20" s="11"/>
      <c r="QDY20" s="11"/>
      <c r="QDZ20" s="11"/>
      <c r="QEA20" s="11"/>
      <c r="QEB20" s="11"/>
      <c r="QEC20" s="11"/>
      <c r="QED20" s="11"/>
      <c r="QEE20" s="11"/>
      <c r="QEF20" s="11"/>
      <c r="QEG20" s="11"/>
      <c r="QEH20" s="11"/>
      <c r="QEI20" s="11"/>
      <c r="QEJ20" s="11"/>
      <c r="QEK20" s="11"/>
      <c r="QEL20" s="11"/>
      <c r="QEM20" s="11"/>
      <c r="QEN20" s="11"/>
      <c r="QEO20" s="11"/>
      <c r="QEP20" s="11"/>
      <c r="QEQ20" s="11"/>
      <c r="QER20" s="11"/>
      <c r="QES20" s="11"/>
      <c r="QET20" s="11"/>
      <c r="QEU20" s="11"/>
      <c r="QEV20" s="11"/>
      <c r="QEW20" s="11"/>
      <c r="QEX20" s="11"/>
      <c r="QEY20" s="11"/>
      <c r="QEZ20" s="11"/>
      <c r="QFA20" s="11"/>
      <c r="QFB20" s="11"/>
      <c r="QFC20" s="11"/>
      <c r="QFD20" s="11"/>
      <c r="QFE20" s="11"/>
      <c r="QFF20" s="11"/>
      <c r="QFG20" s="11"/>
      <c r="QFH20" s="11"/>
      <c r="QFI20" s="11"/>
      <c r="QFJ20" s="11"/>
      <c r="QFK20" s="11"/>
      <c r="QFL20" s="11"/>
      <c r="QFM20" s="11"/>
      <c r="QFN20" s="11"/>
      <c r="QFO20" s="11"/>
      <c r="QFP20" s="11"/>
      <c r="QFQ20" s="11"/>
      <c r="QFR20" s="11"/>
      <c r="QFS20" s="11"/>
      <c r="QFT20" s="11"/>
      <c r="QFU20" s="11"/>
      <c r="QFV20" s="11"/>
      <c r="QFW20" s="11"/>
      <c r="QFX20" s="11"/>
      <c r="QFY20" s="11"/>
      <c r="QFZ20" s="11"/>
      <c r="QGA20" s="11"/>
      <c r="QGB20" s="11"/>
      <c r="QGC20" s="11"/>
      <c r="QGD20" s="11"/>
      <c r="QGE20" s="11"/>
      <c r="QGF20" s="11"/>
      <c r="QGG20" s="11"/>
      <c r="QGH20" s="11"/>
      <c r="QGI20" s="11"/>
      <c r="QGJ20" s="11"/>
      <c r="QGK20" s="11"/>
      <c r="QGL20" s="11"/>
      <c r="QGM20" s="11"/>
      <c r="QGN20" s="11"/>
      <c r="QGO20" s="11"/>
      <c r="QGP20" s="11"/>
      <c r="QGQ20" s="11"/>
      <c r="QGR20" s="11"/>
      <c r="QGS20" s="11"/>
      <c r="QGT20" s="11"/>
      <c r="QGU20" s="11"/>
      <c r="QGV20" s="11"/>
      <c r="QGW20" s="11"/>
      <c r="QGX20" s="11"/>
      <c r="QGY20" s="11"/>
      <c r="QGZ20" s="11"/>
      <c r="QHA20" s="11"/>
      <c r="QHB20" s="11"/>
      <c r="QHC20" s="11"/>
      <c r="QHD20" s="11"/>
      <c r="QHE20" s="11"/>
      <c r="QHF20" s="11"/>
      <c r="QHG20" s="11"/>
      <c r="QHH20" s="11"/>
      <c r="QHI20" s="11"/>
      <c r="QHJ20" s="11"/>
      <c r="QHK20" s="11"/>
      <c r="QHL20" s="11"/>
      <c r="QHM20" s="11"/>
      <c r="QHN20" s="11"/>
      <c r="QHO20" s="11"/>
      <c r="QHP20" s="11"/>
      <c r="QHQ20" s="11"/>
      <c r="QHR20" s="11"/>
      <c r="QHS20" s="11"/>
      <c r="QHT20" s="11"/>
      <c r="QHU20" s="11"/>
      <c r="QHV20" s="11"/>
      <c r="QHW20" s="11"/>
      <c r="QHX20" s="11"/>
      <c r="QHY20" s="11"/>
      <c r="QHZ20" s="11"/>
      <c r="QIA20" s="11"/>
      <c r="QIB20" s="11"/>
      <c r="QIC20" s="11"/>
      <c r="QID20" s="11"/>
      <c r="QIE20" s="11"/>
      <c r="QIF20" s="11"/>
      <c r="QIG20" s="11"/>
      <c r="QIH20" s="11"/>
      <c r="QII20" s="11"/>
      <c r="QIJ20" s="11"/>
      <c r="QIK20" s="11"/>
      <c r="QIL20" s="11"/>
      <c r="QIM20" s="11"/>
      <c r="QIN20" s="11"/>
      <c r="QIO20" s="11"/>
      <c r="QIP20" s="11"/>
      <c r="QIQ20" s="11"/>
      <c r="QIR20" s="11"/>
      <c r="QIS20" s="11"/>
      <c r="QIT20" s="11"/>
      <c r="QIU20" s="11"/>
      <c r="QIV20" s="11"/>
      <c r="QIW20" s="11"/>
      <c r="QIX20" s="11"/>
      <c r="QIY20" s="11"/>
      <c r="QIZ20" s="11"/>
      <c r="QJA20" s="11"/>
      <c r="QJB20" s="11"/>
      <c r="QJC20" s="11"/>
      <c r="QJD20" s="11"/>
      <c r="QJE20" s="11"/>
      <c r="QJF20" s="11"/>
      <c r="QJG20" s="11"/>
      <c r="QJH20" s="11"/>
      <c r="QJI20" s="11"/>
      <c r="QJJ20" s="11"/>
      <c r="QJK20" s="11"/>
      <c r="QJL20" s="11"/>
      <c r="QJM20" s="11"/>
      <c r="QJN20" s="11"/>
      <c r="QJO20" s="11"/>
      <c r="QJP20" s="11"/>
      <c r="QJQ20" s="11"/>
      <c r="QJR20" s="11"/>
      <c r="QJS20" s="11"/>
      <c r="QJT20" s="11"/>
      <c r="QJU20" s="11"/>
      <c r="QJV20" s="11"/>
      <c r="QJW20" s="11"/>
      <c r="QJX20" s="11"/>
      <c r="QJY20" s="11"/>
      <c r="QJZ20" s="11"/>
      <c r="QKA20" s="11"/>
      <c r="QKB20" s="11"/>
      <c r="QKC20" s="11"/>
      <c r="QKD20" s="11"/>
      <c r="QKE20" s="11"/>
      <c r="QKF20" s="11"/>
      <c r="QKG20" s="11"/>
      <c r="QKH20" s="11"/>
      <c r="QKI20" s="11"/>
      <c r="QKJ20" s="11"/>
      <c r="QKK20" s="11"/>
      <c r="QKL20" s="11"/>
      <c r="QKM20" s="11"/>
      <c r="QKN20" s="11"/>
      <c r="QKO20" s="11"/>
      <c r="QKP20" s="11"/>
      <c r="QKQ20" s="11"/>
      <c r="QKR20" s="11"/>
      <c r="QKS20" s="11"/>
      <c r="QKT20" s="11"/>
      <c r="QKU20" s="11"/>
      <c r="QKV20" s="11"/>
      <c r="QKW20" s="11"/>
      <c r="QKX20" s="11"/>
      <c r="QKY20" s="11"/>
      <c r="QKZ20" s="11"/>
      <c r="QLA20" s="11"/>
      <c r="QLB20" s="11"/>
      <c r="QLC20" s="11"/>
      <c r="QLD20" s="11"/>
      <c r="QLE20" s="11"/>
      <c r="QLF20" s="11"/>
      <c r="QLG20" s="11"/>
      <c r="QLH20" s="11"/>
      <c r="QLI20" s="11"/>
      <c r="QLJ20" s="11"/>
      <c r="QLK20" s="11"/>
      <c r="QLL20" s="11"/>
      <c r="QLM20" s="11"/>
      <c r="QLN20" s="11"/>
      <c r="QLO20" s="11"/>
      <c r="QLP20" s="11"/>
      <c r="QLQ20" s="11"/>
      <c r="QLR20" s="11"/>
      <c r="QLS20" s="11"/>
      <c r="QLT20" s="11"/>
      <c r="QLU20" s="11"/>
      <c r="QLV20" s="11"/>
      <c r="QLW20" s="11"/>
      <c r="QLX20" s="11"/>
      <c r="QLY20" s="11"/>
      <c r="QLZ20" s="11"/>
      <c r="QMA20" s="11"/>
      <c r="QMB20" s="11"/>
      <c r="QMC20" s="11"/>
      <c r="QMD20" s="11"/>
      <c r="QME20" s="11"/>
      <c r="QMF20" s="11"/>
      <c r="QMG20" s="11"/>
      <c r="QMH20" s="11"/>
      <c r="QMI20" s="11"/>
      <c r="QMJ20" s="11"/>
      <c r="QMK20" s="11"/>
      <c r="QML20" s="11"/>
      <c r="QMM20" s="11"/>
      <c r="QMN20" s="11"/>
      <c r="QMO20" s="11"/>
      <c r="QMP20" s="11"/>
      <c r="QMQ20" s="11"/>
      <c r="QMR20" s="11"/>
      <c r="QMS20" s="11"/>
      <c r="QMT20" s="11"/>
      <c r="QMU20" s="11"/>
      <c r="QMV20" s="11"/>
      <c r="QMW20" s="11"/>
      <c r="QMX20" s="11"/>
      <c r="QMY20" s="11"/>
      <c r="QMZ20" s="11"/>
      <c r="QNA20" s="11"/>
      <c r="QNB20" s="11"/>
      <c r="QNC20" s="11"/>
      <c r="QND20" s="11"/>
      <c r="QNE20" s="11"/>
      <c r="QNF20" s="11"/>
      <c r="QNG20" s="11"/>
      <c r="QNH20" s="11"/>
      <c r="QNI20" s="11"/>
      <c r="QNJ20" s="11"/>
      <c r="QNK20" s="11"/>
      <c r="QNL20" s="11"/>
      <c r="QNM20" s="11"/>
      <c r="QNN20" s="11"/>
      <c r="QNO20" s="11"/>
      <c r="QNP20" s="11"/>
      <c r="QNQ20" s="11"/>
      <c r="QNR20" s="11"/>
      <c r="QNS20" s="11"/>
      <c r="QNT20" s="11"/>
      <c r="QNU20" s="11"/>
      <c r="QNV20" s="11"/>
      <c r="QNW20" s="11"/>
      <c r="QNX20" s="11"/>
      <c r="QNY20" s="11"/>
      <c r="QNZ20" s="11"/>
      <c r="QOA20" s="11"/>
      <c r="QOB20" s="11"/>
      <c r="QOC20" s="11"/>
      <c r="QOD20" s="11"/>
      <c r="QOE20" s="11"/>
      <c r="QOF20" s="11"/>
      <c r="QOG20" s="11"/>
      <c r="QOH20" s="11"/>
      <c r="QOI20" s="11"/>
      <c r="QOJ20" s="11"/>
      <c r="QOK20" s="11"/>
      <c r="QOL20" s="11"/>
      <c r="QOM20" s="11"/>
      <c r="QON20" s="11"/>
      <c r="QOO20" s="11"/>
      <c r="QOP20" s="11"/>
      <c r="QOQ20" s="11"/>
      <c r="QOR20" s="11"/>
      <c r="QOS20" s="11"/>
      <c r="QOT20" s="11"/>
      <c r="QOU20" s="11"/>
      <c r="QOV20" s="11"/>
      <c r="QOW20" s="11"/>
      <c r="QOX20" s="11"/>
      <c r="QOY20" s="11"/>
      <c r="QOZ20" s="11"/>
      <c r="QPA20" s="11"/>
      <c r="QPB20" s="11"/>
      <c r="QPC20" s="11"/>
      <c r="QPD20" s="11"/>
      <c r="QPE20" s="11"/>
      <c r="QPF20" s="11"/>
      <c r="QPG20" s="11"/>
      <c r="QPH20" s="11"/>
      <c r="QPI20" s="11"/>
      <c r="QPJ20" s="11"/>
      <c r="QPK20" s="11"/>
      <c r="QPL20" s="11"/>
      <c r="QPM20" s="11"/>
      <c r="QPN20" s="11"/>
      <c r="QPO20" s="11"/>
      <c r="QPP20" s="11"/>
      <c r="QPQ20" s="11"/>
      <c r="QPR20" s="11"/>
      <c r="QPS20" s="11"/>
      <c r="QPT20" s="11"/>
      <c r="QPU20" s="11"/>
      <c r="QPV20" s="11"/>
      <c r="QPW20" s="11"/>
      <c r="QPX20" s="11"/>
      <c r="QPY20" s="11"/>
      <c r="QPZ20" s="11"/>
      <c r="QQA20" s="11"/>
      <c r="QQB20" s="11"/>
      <c r="QQC20" s="11"/>
      <c r="QQD20" s="11"/>
      <c r="QQE20" s="11"/>
      <c r="QQF20" s="11"/>
      <c r="QQG20" s="11"/>
      <c r="QQH20" s="11"/>
      <c r="QQI20" s="11"/>
      <c r="QQJ20" s="11"/>
      <c r="QQK20" s="11"/>
      <c r="QQL20" s="11"/>
      <c r="QQM20" s="11"/>
      <c r="QQN20" s="11"/>
      <c r="QQO20" s="11"/>
      <c r="QQP20" s="11"/>
      <c r="QQQ20" s="11"/>
      <c r="QQR20" s="11"/>
      <c r="QQS20" s="11"/>
      <c r="QQT20" s="11"/>
      <c r="QQU20" s="11"/>
      <c r="QQV20" s="11"/>
      <c r="QQW20" s="11"/>
      <c r="QQX20" s="11"/>
      <c r="QQY20" s="11"/>
      <c r="QQZ20" s="11"/>
      <c r="QRA20" s="11"/>
      <c r="QRB20" s="11"/>
      <c r="QRC20" s="11"/>
      <c r="QRD20" s="11"/>
      <c r="QRE20" s="11"/>
      <c r="QRF20" s="11"/>
      <c r="QRG20" s="11"/>
      <c r="QRH20" s="11"/>
      <c r="QRI20" s="11"/>
      <c r="QRJ20" s="11"/>
      <c r="QRK20" s="11"/>
      <c r="QRL20" s="11"/>
      <c r="QRM20" s="11"/>
      <c r="QRN20" s="11"/>
      <c r="QRO20" s="11"/>
      <c r="QRP20" s="11"/>
      <c r="QRQ20" s="11"/>
      <c r="QRR20" s="11"/>
      <c r="QRS20" s="11"/>
      <c r="QRT20" s="11"/>
      <c r="QRU20" s="11"/>
      <c r="QRV20" s="11"/>
      <c r="QRW20" s="11"/>
      <c r="QRX20" s="11"/>
      <c r="QRY20" s="11"/>
      <c r="QRZ20" s="11"/>
      <c r="QSA20" s="11"/>
      <c r="QSB20" s="11"/>
      <c r="QSC20" s="11"/>
      <c r="QSD20" s="11"/>
      <c r="QSE20" s="11"/>
      <c r="QSF20" s="11"/>
      <c r="QSG20" s="11"/>
      <c r="QSH20" s="11"/>
      <c r="QSI20" s="11"/>
      <c r="QSJ20" s="11"/>
      <c r="QSK20" s="11"/>
      <c r="QSL20" s="11"/>
      <c r="QSM20" s="11"/>
      <c r="QSN20" s="11"/>
      <c r="QSO20" s="11"/>
      <c r="QSP20" s="11"/>
      <c r="QSQ20" s="11"/>
      <c r="QSR20" s="11"/>
      <c r="QSS20" s="11"/>
      <c r="QST20" s="11"/>
      <c r="QSU20" s="11"/>
      <c r="QSV20" s="11"/>
      <c r="QSW20" s="11"/>
      <c r="QSX20" s="11"/>
      <c r="QSY20" s="11"/>
      <c r="QSZ20" s="11"/>
      <c r="QTA20" s="11"/>
      <c r="QTB20" s="11"/>
      <c r="QTC20" s="11"/>
      <c r="QTD20" s="11"/>
      <c r="QTE20" s="11"/>
      <c r="QTF20" s="11"/>
      <c r="QTG20" s="11"/>
      <c r="QTH20" s="11"/>
      <c r="QTI20" s="11"/>
      <c r="QTJ20" s="11"/>
      <c r="QTK20" s="11"/>
      <c r="QTL20" s="11"/>
      <c r="QTM20" s="11"/>
      <c r="QTN20" s="11"/>
      <c r="QTO20" s="11"/>
      <c r="QTP20" s="11"/>
      <c r="QTQ20" s="11"/>
      <c r="QTR20" s="11"/>
      <c r="QTS20" s="11"/>
      <c r="QTT20" s="11"/>
      <c r="QTU20" s="11"/>
      <c r="QTV20" s="11"/>
      <c r="QTW20" s="11"/>
      <c r="QTX20" s="11"/>
      <c r="QTY20" s="11"/>
      <c r="QTZ20" s="11"/>
      <c r="QUA20" s="11"/>
      <c r="QUB20" s="11"/>
      <c r="QUC20" s="11"/>
      <c r="QUD20" s="11"/>
      <c r="QUE20" s="11"/>
      <c r="QUF20" s="11"/>
      <c r="QUG20" s="11"/>
      <c r="QUH20" s="11"/>
      <c r="QUI20" s="11"/>
      <c r="QUJ20" s="11"/>
      <c r="QUK20" s="11"/>
      <c r="QUL20" s="11"/>
      <c r="QUM20" s="11"/>
      <c r="QUN20" s="11"/>
      <c r="QUO20" s="11"/>
      <c r="QUP20" s="11"/>
      <c r="QUQ20" s="11"/>
      <c r="QUR20" s="11"/>
      <c r="QUS20" s="11"/>
      <c r="QUT20" s="11"/>
      <c r="QUU20" s="11"/>
      <c r="QUV20" s="11"/>
      <c r="QUW20" s="11"/>
      <c r="QUX20" s="11"/>
      <c r="QUY20" s="11"/>
      <c r="QUZ20" s="11"/>
      <c r="QVA20" s="11"/>
      <c r="QVB20" s="11"/>
      <c r="QVC20" s="11"/>
      <c r="QVD20" s="11"/>
      <c r="QVE20" s="11"/>
      <c r="QVF20" s="11"/>
      <c r="QVG20" s="11"/>
      <c r="QVH20" s="11"/>
      <c r="QVI20" s="11"/>
      <c r="QVJ20" s="11"/>
      <c r="QVK20" s="11"/>
      <c r="QVL20" s="11"/>
      <c r="QVM20" s="11"/>
      <c r="QVN20" s="11"/>
      <c r="QVO20" s="11"/>
      <c r="QVP20" s="11"/>
      <c r="QVQ20" s="11"/>
      <c r="QVR20" s="11"/>
      <c r="QVS20" s="11"/>
      <c r="QVT20" s="11"/>
      <c r="QVU20" s="11"/>
      <c r="QVV20" s="11"/>
      <c r="QVW20" s="11"/>
      <c r="QVX20" s="11"/>
      <c r="QVY20" s="11"/>
      <c r="QVZ20" s="11"/>
      <c r="QWA20" s="11"/>
      <c r="QWB20" s="11"/>
      <c r="QWC20" s="11"/>
      <c r="QWD20" s="11"/>
      <c r="QWE20" s="11"/>
      <c r="QWF20" s="11"/>
      <c r="QWG20" s="11"/>
      <c r="QWH20" s="11"/>
      <c r="QWI20" s="11"/>
      <c r="QWJ20" s="11"/>
      <c r="QWK20" s="11"/>
      <c r="QWL20" s="11"/>
      <c r="QWM20" s="11"/>
      <c r="QWN20" s="11"/>
      <c r="QWO20" s="11"/>
      <c r="QWP20" s="11"/>
      <c r="QWQ20" s="11"/>
      <c r="QWR20" s="11"/>
      <c r="QWS20" s="11"/>
      <c r="QWT20" s="11"/>
      <c r="QWU20" s="11"/>
      <c r="QWV20" s="11"/>
      <c r="QWW20" s="11"/>
      <c r="QWX20" s="11"/>
      <c r="QWY20" s="11"/>
      <c r="QWZ20" s="11"/>
      <c r="QXA20" s="11"/>
      <c r="QXB20" s="11"/>
      <c r="QXC20" s="11"/>
      <c r="QXD20" s="11"/>
      <c r="QXE20" s="11"/>
      <c r="QXF20" s="11"/>
      <c r="QXG20" s="11"/>
      <c r="QXH20" s="11"/>
      <c r="QXI20" s="11"/>
      <c r="QXJ20" s="11"/>
      <c r="QXK20" s="11"/>
      <c r="QXL20" s="11"/>
      <c r="QXM20" s="11"/>
      <c r="QXN20" s="11"/>
      <c r="QXO20" s="11"/>
      <c r="QXP20" s="11"/>
      <c r="QXQ20" s="11"/>
      <c r="QXR20" s="11"/>
      <c r="QXS20" s="11"/>
      <c r="QXT20" s="11"/>
      <c r="QXU20" s="11"/>
      <c r="QXV20" s="11"/>
      <c r="QXW20" s="11"/>
      <c r="QXX20" s="11"/>
      <c r="QXY20" s="11"/>
      <c r="QXZ20" s="11"/>
      <c r="QYA20" s="11"/>
      <c r="QYB20" s="11"/>
      <c r="QYC20" s="11"/>
      <c r="QYD20" s="11"/>
      <c r="QYE20" s="11"/>
      <c r="QYF20" s="11"/>
      <c r="QYG20" s="11"/>
      <c r="QYH20" s="11"/>
      <c r="QYI20" s="11"/>
      <c r="QYJ20" s="11"/>
      <c r="QYK20" s="11"/>
      <c r="QYL20" s="11"/>
      <c r="QYM20" s="11"/>
      <c r="QYN20" s="11"/>
      <c r="QYO20" s="11"/>
      <c r="QYP20" s="11"/>
      <c r="QYQ20" s="11"/>
      <c r="QYR20" s="11"/>
      <c r="QYS20" s="11"/>
      <c r="QYT20" s="11"/>
      <c r="QYU20" s="11"/>
      <c r="QYV20" s="11"/>
      <c r="QYW20" s="11"/>
      <c r="QYX20" s="11"/>
      <c r="QYY20" s="11"/>
      <c r="QYZ20" s="11"/>
      <c r="QZA20" s="11"/>
      <c r="QZB20" s="11"/>
      <c r="QZC20" s="11"/>
      <c r="QZD20" s="11"/>
      <c r="QZE20" s="11"/>
      <c r="QZF20" s="11"/>
      <c r="QZG20" s="11"/>
      <c r="QZH20" s="11"/>
      <c r="QZI20" s="11"/>
      <c r="QZJ20" s="11"/>
      <c r="QZK20" s="11"/>
      <c r="QZL20" s="11"/>
      <c r="QZM20" s="11"/>
      <c r="QZN20" s="11"/>
      <c r="QZO20" s="11"/>
      <c r="QZP20" s="11"/>
      <c r="QZQ20" s="11"/>
      <c r="QZR20" s="11"/>
      <c r="QZS20" s="11"/>
      <c r="QZT20" s="11"/>
      <c r="QZU20" s="11"/>
      <c r="QZV20" s="11"/>
      <c r="QZW20" s="11"/>
      <c r="QZX20" s="11"/>
      <c r="QZY20" s="11"/>
      <c r="QZZ20" s="11"/>
      <c r="RAA20" s="11"/>
      <c r="RAB20" s="11"/>
      <c r="RAC20" s="11"/>
      <c r="RAD20" s="11"/>
      <c r="RAE20" s="11"/>
      <c r="RAF20" s="11"/>
      <c r="RAG20" s="11"/>
      <c r="RAH20" s="11"/>
      <c r="RAI20" s="11"/>
      <c r="RAJ20" s="11"/>
      <c r="RAK20" s="11"/>
      <c r="RAL20" s="11"/>
      <c r="RAM20" s="11"/>
      <c r="RAN20" s="11"/>
      <c r="RAO20" s="11"/>
      <c r="RAP20" s="11"/>
      <c r="RAQ20" s="11"/>
      <c r="RAR20" s="11"/>
      <c r="RAS20" s="11"/>
      <c r="RAT20" s="11"/>
      <c r="RAU20" s="11"/>
      <c r="RAV20" s="11"/>
      <c r="RAW20" s="11"/>
      <c r="RAX20" s="11"/>
      <c r="RAY20" s="11"/>
      <c r="RAZ20" s="11"/>
      <c r="RBA20" s="11"/>
      <c r="RBB20" s="11"/>
      <c r="RBC20" s="11"/>
      <c r="RBD20" s="11"/>
      <c r="RBE20" s="11"/>
      <c r="RBF20" s="11"/>
      <c r="RBG20" s="11"/>
      <c r="RBH20" s="11"/>
      <c r="RBI20" s="11"/>
      <c r="RBJ20" s="11"/>
      <c r="RBK20" s="11"/>
      <c r="RBL20" s="11"/>
      <c r="RBM20" s="11"/>
      <c r="RBN20" s="11"/>
      <c r="RBO20" s="11"/>
      <c r="RBP20" s="11"/>
      <c r="RBQ20" s="11"/>
      <c r="RBR20" s="11"/>
      <c r="RBS20" s="11"/>
      <c r="RBT20" s="11"/>
      <c r="RBU20" s="11"/>
      <c r="RBV20" s="11"/>
      <c r="RBW20" s="11"/>
      <c r="RBX20" s="11"/>
      <c r="RBY20" s="11"/>
      <c r="RBZ20" s="11"/>
      <c r="RCA20" s="11"/>
      <c r="RCB20" s="11"/>
      <c r="RCC20" s="11"/>
      <c r="RCD20" s="11"/>
      <c r="RCE20" s="11"/>
      <c r="RCF20" s="11"/>
      <c r="RCG20" s="11"/>
      <c r="RCH20" s="11"/>
      <c r="RCI20" s="11"/>
      <c r="RCJ20" s="11"/>
      <c r="RCK20" s="11"/>
      <c r="RCL20" s="11"/>
      <c r="RCM20" s="11"/>
      <c r="RCN20" s="11"/>
      <c r="RCO20" s="11"/>
      <c r="RCP20" s="11"/>
      <c r="RCQ20" s="11"/>
      <c r="RCR20" s="11"/>
      <c r="RCS20" s="11"/>
      <c r="RCT20" s="11"/>
      <c r="RCU20" s="11"/>
      <c r="RCV20" s="11"/>
      <c r="RCW20" s="11"/>
      <c r="RCX20" s="11"/>
      <c r="RCY20" s="11"/>
      <c r="RCZ20" s="11"/>
      <c r="RDA20" s="11"/>
      <c r="RDB20" s="11"/>
      <c r="RDC20" s="11"/>
      <c r="RDD20" s="11"/>
      <c r="RDE20" s="11"/>
      <c r="RDF20" s="11"/>
      <c r="RDG20" s="11"/>
      <c r="RDH20" s="11"/>
      <c r="RDI20" s="11"/>
      <c r="RDJ20" s="11"/>
      <c r="RDK20" s="11"/>
      <c r="RDL20" s="11"/>
      <c r="RDM20" s="11"/>
      <c r="RDN20" s="11"/>
      <c r="RDO20" s="11"/>
      <c r="RDP20" s="11"/>
      <c r="RDQ20" s="11"/>
      <c r="RDR20" s="11"/>
      <c r="RDS20" s="11"/>
      <c r="RDT20" s="11"/>
      <c r="RDU20" s="11"/>
      <c r="RDV20" s="11"/>
      <c r="RDW20" s="11"/>
      <c r="RDX20" s="11"/>
      <c r="RDY20" s="11"/>
      <c r="RDZ20" s="11"/>
      <c r="REA20" s="11"/>
      <c r="REB20" s="11"/>
      <c r="REC20" s="11"/>
      <c r="RED20" s="11"/>
      <c r="REE20" s="11"/>
      <c r="REF20" s="11"/>
      <c r="REG20" s="11"/>
      <c r="REH20" s="11"/>
      <c r="REI20" s="11"/>
      <c r="REJ20" s="11"/>
      <c r="REK20" s="11"/>
      <c r="REL20" s="11"/>
      <c r="REM20" s="11"/>
      <c r="REN20" s="11"/>
      <c r="REO20" s="11"/>
      <c r="REP20" s="11"/>
      <c r="REQ20" s="11"/>
      <c r="RER20" s="11"/>
      <c r="RES20" s="11"/>
      <c r="RET20" s="11"/>
      <c r="REU20" s="11"/>
      <c r="REV20" s="11"/>
      <c r="REW20" s="11"/>
      <c r="REX20" s="11"/>
      <c r="REY20" s="11"/>
      <c r="REZ20" s="11"/>
      <c r="RFA20" s="11"/>
      <c r="RFB20" s="11"/>
      <c r="RFC20" s="11"/>
      <c r="RFD20" s="11"/>
      <c r="RFE20" s="11"/>
      <c r="RFF20" s="11"/>
      <c r="RFG20" s="11"/>
      <c r="RFH20" s="11"/>
      <c r="RFI20" s="11"/>
      <c r="RFJ20" s="11"/>
      <c r="RFK20" s="11"/>
      <c r="RFL20" s="11"/>
      <c r="RFM20" s="11"/>
      <c r="RFN20" s="11"/>
      <c r="RFO20" s="11"/>
      <c r="RFP20" s="11"/>
      <c r="RFQ20" s="11"/>
      <c r="RFR20" s="11"/>
      <c r="RFS20" s="11"/>
      <c r="RFT20" s="11"/>
      <c r="RFU20" s="11"/>
      <c r="RFV20" s="11"/>
      <c r="RFW20" s="11"/>
      <c r="RFX20" s="11"/>
      <c r="RFY20" s="11"/>
      <c r="RFZ20" s="11"/>
      <c r="RGA20" s="11"/>
      <c r="RGB20" s="11"/>
      <c r="RGC20" s="11"/>
      <c r="RGD20" s="11"/>
      <c r="RGE20" s="11"/>
      <c r="RGF20" s="11"/>
      <c r="RGG20" s="11"/>
      <c r="RGH20" s="11"/>
      <c r="RGI20" s="11"/>
      <c r="RGJ20" s="11"/>
      <c r="RGK20" s="11"/>
      <c r="RGL20" s="11"/>
      <c r="RGM20" s="11"/>
      <c r="RGN20" s="11"/>
      <c r="RGO20" s="11"/>
      <c r="RGP20" s="11"/>
      <c r="RGQ20" s="11"/>
      <c r="RGR20" s="11"/>
      <c r="RGS20" s="11"/>
      <c r="RGT20" s="11"/>
      <c r="RGU20" s="11"/>
      <c r="RGV20" s="11"/>
      <c r="RGW20" s="11"/>
      <c r="RGX20" s="11"/>
      <c r="RGY20" s="11"/>
      <c r="RGZ20" s="11"/>
      <c r="RHA20" s="11"/>
      <c r="RHB20" s="11"/>
      <c r="RHC20" s="11"/>
      <c r="RHD20" s="11"/>
      <c r="RHE20" s="11"/>
      <c r="RHF20" s="11"/>
      <c r="RHG20" s="11"/>
      <c r="RHH20" s="11"/>
      <c r="RHI20" s="11"/>
      <c r="RHJ20" s="11"/>
      <c r="RHK20" s="11"/>
      <c r="RHL20" s="11"/>
      <c r="RHM20" s="11"/>
      <c r="RHN20" s="11"/>
      <c r="RHO20" s="11"/>
      <c r="RHP20" s="11"/>
      <c r="RHQ20" s="11"/>
      <c r="RHR20" s="11"/>
      <c r="RHS20" s="11"/>
      <c r="RHT20" s="11"/>
      <c r="RHU20" s="11"/>
      <c r="RHV20" s="11"/>
      <c r="RHW20" s="11"/>
      <c r="RHX20" s="11"/>
      <c r="RHY20" s="11"/>
      <c r="RHZ20" s="11"/>
      <c r="RIA20" s="11"/>
      <c r="RIB20" s="11"/>
      <c r="RIC20" s="11"/>
      <c r="RID20" s="11"/>
      <c r="RIE20" s="11"/>
      <c r="RIF20" s="11"/>
      <c r="RIG20" s="11"/>
      <c r="RIH20" s="11"/>
      <c r="RII20" s="11"/>
      <c r="RIJ20" s="11"/>
      <c r="RIK20" s="11"/>
      <c r="RIL20" s="11"/>
      <c r="RIM20" s="11"/>
      <c r="RIN20" s="11"/>
      <c r="RIO20" s="11"/>
      <c r="RIP20" s="11"/>
      <c r="RIQ20" s="11"/>
      <c r="RIR20" s="11"/>
      <c r="RIS20" s="11"/>
      <c r="RIT20" s="11"/>
      <c r="RIU20" s="11"/>
      <c r="RIV20" s="11"/>
      <c r="RIW20" s="11"/>
      <c r="RIX20" s="11"/>
      <c r="RIY20" s="11"/>
      <c r="RIZ20" s="11"/>
      <c r="RJA20" s="11"/>
      <c r="RJB20" s="11"/>
      <c r="RJC20" s="11"/>
      <c r="RJD20" s="11"/>
      <c r="RJE20" s="11"/>
      <c r="RJF20" s="11"/>
      <c r="RJG20" s="11"/>
      <c r="RJH20" s="11"/>
      <c r="RJI20" s="11"/>
      <c r="RJJ20" s="11"/>
      <c r="RJK20" s="11"/>
      <c r="RJL20" s="11"/>
      <c r="RJM20" s="11"/>
      <c r="RJN20" s="11"/>
      <c r="RJO20" s="11"/>
      <c r="RJP20" s="11"/>
      <c r="RJQ20" s="11"/>
      <c r="RJR20" s="11"/>
      <c r="RJS20" s="11"/>
      <c r="RJT20" s="11"/>
      <c r="RJU20" s="11"/>
      <c r="RJV20" s="11"/>
      <c r="RJW20" s="11"/>
      <c r="RJX20" s="11"/>
      <c r="RJY20" s="11"/>
      <c r="RJZ20" s="11"/>
      <c r="RKA20" s="11"/>
      <c r="RKB20" s="11"/>
      <c r="RKC20" s="11"/>
      <c r="RKD20" s="11"/>
      <c r="RKE20" s="11"/>
      <c r="RKF20" s="11"/>
      <c r="RKG20" s="11"/>
      <c r="RKH20" s="11"/>
      <c r="RKI20" s="11"/>
      <c r="RKJ20" s="11"/>
      <c r="RKK20" s="11"/>
      <c r="RKL20" s="11"/>
      <c r="RKM20" s="11"/>
      <c r="RKN20" s="11"/>
      <c r="RKO20" s="11"/>
      <c r="RKP20" s="11"/>
      <c r="RKQ20" s="11"/>
      <c r="RKR20" s="11"/>
      <c r="RKS20" s="11"/>
      <c r="RKT20" s="11"/>
      <c r="RKU20" s="11"/>
      <c r="RKV20" s="11"/>
      <c r="RKW20" s="11"/>
      <c r="RKX20" s="11"/>
      <c r="RKY20" s="11"/>
      <c r="RKZ20" s="11"/>
      <c r="RLA20" s="11"/>
      <c r="RLB20" s="11"/>
      <c r="RLC20" s="11"/>
      <c r="RLD20" s="11"/>
      <c r="RLE20" s="11"/>
      <c r="RLF20" s="11"/>
      <c r="RLG20" s="11"/>
      <c r="RLH20" s="11"/>
      <c r="RLI20" s="11"/>
      <c r="RLJ20" s="11"/>
      <c r="RLK20" s="11"/>
      <c r="RLL20" s="11"/>
      <c r="RLM20" s="11"/>
      <c r="RLN20" s="11"/>
      <c r="RLO20" s="11"/>
      <c r="RLP20" s="11"/>
      <c r="RLQ20" s="11"/>
      <c r="RLR20" s="11"/>
      <c r="RLS20" s="11"/>
      <c r="RLT20" s="11"/>
      <c r="RLU20" s="11"/>
      <c r="RLV20" s="11"/>
      <c r="RLW20" s="11"/>
      <c r="RLX20" s="11"/>
      <c r="RLY20" s="11"/>
      <c r="RLZ20" s="11"/>
      <c r="RMA20" s="11"/>
      <c r="RMB20" s="11"/>
      <c r="RMC20" s="11"/>
      <c r="RMD20" s="11"/>
      <c r="RME20" s="11"/>
      <c r="RMF20" s="11"/>
      <c r="RMG20" s="11"/>
      <c r="RMH20" s="11"/>
      <c r="RMI20" s="11"/>
      <c r="RMJ20" s="11"/>
      <c r="RMK20" s="11"/>
      <c r="RML20" s="11"/>
      <c r="RMM20" s="11"/>
      <c r="RMN20" s="11"/>
      <c r="RMO20" s="11"/>
      <c r="RMP20" s="11"/>
      <c r="RMQ20" s="11"/>
      <c r="RMR20" s="11"/>
      <c r="RMS20" s="11"/>
      <c r="RMT20" s="11"/>
      <c r="RMU20" s="11"/>
      <c r="RMV20" s="11"/>
      <c r="RMW20" s="11"/>
      <c r="RMX20" s="11"/>
      <c r="RMY20" s="11"/>
      <c r="RMZ20" s="11"/>
      <c r="RNA20" s="11"/>
      <c r="RNB20" s="11"/>
      <c r="RNC20" s="11"/>
      <c r="RND20" s="11"/>
      <c r="RNE20" s="11"/>
      <c r="RNF20" s="11"/>
      <c r="RNG20" s="11"/>
      <c r="RNH20" s="11"/>
      <c r="RNI20" s="11"/>
      <c r="RNJ20" s="11"/>
      <c r="RNK20" s="11"/>
      <c r="RNL20" s="11"/>
      <c r="RNM20" s="11"/>
      <c r="RNN20" s="11"/>
      <c r="RNO20" s="11"/>
      <c r="RNP20" s="11"/>
      <c r="RNQ20" s="11"/>
      <c r="RNR20" s="11"/>
      <c r="RNS20" s="11"/>
      <c r="RNT20" s="11"/>
      <c r="RNU20" s="11"/>
      <c r="RNV20" s="11"/>
      <c r="RNW20" s="11"/>
      <c r="RNX20" s="11"/>
      <c r="RNY20" s="11"/>
      <c r="RNZ20" s="11"/>
      <c r="ROA20" s="11"/>
      <c r="ROB20" s="11"/>
      <c r="ROC20" s="11"/>
      <c r="ROD20" s="11"/>
      <c r="ROE20" s="11"/>
      <c r="ROF20" s="11"/>
      <c r="ROG20" s="11"/>
      <c r="ROH20" s="11"/>
      <c r="ROI20" s="11"/>
      <c r="ROJ20" s="11"/>
      <c r="ROK20" s="11"/>
      <c r="ROL20" s="11"/>
      <c r="ROM20" s="11"/>
      <c r="RON20" s="11"/>
      <c r="ROO20" s="11"/>
      <c r="ROP20" s="11"/>
      <c r="ROQ20" s="11"/>
      <c r="ROR20" s="11"/>
      <c r="ROS20" s="11"/>
      <c r="ROT20" s="11"/>
      <c r="ROU20" s="11"/>
      <c r="ROV20" s="11"/>
      <c r="ROW20" s="11"/>
      <c r="ROX20" s="11"/>
      <c r="ROY20" s="11"/>
      <c r="ROZ20" s="11"/>
      <c r="RPA20" s="11"/>
      <c r="RPB20" s="11"/>
      <c r="RPC20" s="11"/>
      <c r="RPD20" s="11"/>
      <c r="RPE20" s="11"/>
      <c r="RPF20" s="11"/>
      <c r="RPG20" s="11"/>
      <c r="RPH20" s="11"/>
      <c r="RPI20" s="11"/>
      <c r="RPJ20" s="11"/>
      <c r="RPK20" s="11"/>
      <c r="RPL20" s="11"/>
      <c r="RPM20" s="11"/>
      <c r="RPN20" s="11"/>
      <c r="RPO20" s="11"/>
      <c r="RPP20" s="11"/>
      <c r="RPQ20" s="11"/>
      <c r="RPR20" s="11"/>
      <c r="RPS20" s="11"/>
      <c r="RPT20" s="11"/>
      <c r="RPU20" s="11"/>
      <c r="RPV20" s="11"/>
      <c r="RPW20" s="11"/>
      <c r="RPX20" s="11"/>
      <c r="RPY20" s="11"/>
      <c r="RPZ20" s="11"/>
      <c r="RQA20" s="11"/>
      <c r="RQB20" s="11"/>
      <c r="RQC20" s="11"/>
      <c r="RQD20" s="11"/>
      <c r="RQE20" s="11"/>
      <c r="RQF20" s="11"/>
      <c r="RQG20" s="11"/>
      <c r="RQH20" s="11"/>
      <c r="RQI20" s="11"/>
      <c r="RQJ20" s="11"/>
      <c r="RQK20" s="11"/>
      <c r="RQL20" s="11"/>
      <c r="RQM20" s="11"/>
      <c r="RQN20" s="11"/>
      <c r="RQO20" s="11"/>
      <c r="RQP20" s="11"/>
      <c r="RQQ20" s="11"/>
      <c r="RQR20" s="11"/>
      <c r="RQS20" s="11"/>
      <c r="RQT20" s="11"/>
      <c r="RQU20" s="11"/>
      <c r="RQV20" s="11"/>
      <c r="RQW20" s="11"/>
      <c r="RQX20" s="11"/>
      <c r="RQY20" s="11"/>
      <c r="RQZ20" s="11"/>
      <c r="RRA20" s="11"/>
      <c r="RRB20" s="11"/>
      <c r="RRC20" s="11"/>
      <c r="RRD20" s="11"/>
      <c r="RRE20" s="11"/>
      <c r="RRF20" s="11"/>
      <c r="RRG20" s="11"/>
      <c r="RRH20" s="11"/>
      <c r="RRI20" s="11"/>
      <c r="RRJ20" s="11"/>
      <c r="RRK20" s="11"/>
      <c r="RRL20" s="11"/>
      <c r="RRM20" s="11"/>
      <c r="RRN20" s="11"/>
      <c r="RRO20" s="11"/>
      <c r="RRP20" s="11"/>
      <c r="RRQ20" s="11"/>
      <c r="RRR20" s="11"/>
      <c r="RRS20" s="11"/>
      <c r="RRT20" s="11"/>
      <c r="RRU20" s="11"/>
      <c r="RRV20" s="11"/>
      <c r="RRW20" s="11"/>
      <c r="RRX20" s="11"/>
      <c r="RRY20" s="11"/>
      <c r="RRZ20" s="11"/>
      <c r="RSA20" s="11"/>
      <c r="RSB20" s="11"/>
      <c r="RSC20" s="11"/>
      <c r="RSD20" s="11"/>
      <c r="RSE20" s="11"/>
      <c r="RSF20" s="11"/>
      <c r="RSG20" s="11"/>
      <c r="RSH20" s="11"/>
      <c r="RSI20" s="11"/>
      <c r="RSJ20" s="11"/>
      <c r="RSK20" s="11"/>
      <c r="RSL20" s="11"/>
      <c r="RSM20" s="11"/>
      <c r="RSN20" s="11"/>
      <c r="RSO20" s="11"/>
      <c r="RSP20" s="11"/>
      <c r="RSQ20" s="11"/>
      <c r="RSR20" s="11"/>
      <c r="RSS20" s="11"/>
      <c r="RST20" s="11"/>
      <c r="RSU20" s="11"/>
      <c r="RSV20" s="11"/>
      <c r="RSW20" s="11"/>
      <c r="RSX20" s="11"/>
      <c r="RSY20" s="11"/>
      <c r="RSZ20" s="11"/>
      <c r="RTA20" s="11"/>
      <c r="RTB20" s="11"/>
      <c r="RTC20" s="11"/>
      <c r="RTD20" s="11"/>
      <c r="RTE20" s="11"/>
      <c r="RTF20" s="11"/>
      <c r="RTG20" s="11"/>
      <c r="RTH20" s="11"/>
      <c r="RTI20" s="11"/>
      <c r="RTJ20" s="11"/>
      <c r="RTK20" s="11"/>
      <c r="RTL20" s="11"/>
      <c r="RTM20" s="11"/>
      <c r="RTN20" s="11"/>
      <c r="RTO20" s="11"/>
      <c r="RTP20" s="11"/>
      <c r="RTQ20" s="11"/>
      <c r="RTR20" s="11"/>
      <c r="RTS20" s="11"/>
      <c r="RTT20" s="11"/>
      <c r="RTU20" s="11"/>
      <c r="RTV20" s="11"/>
      <c r="RTW20" s="11"/>
      <c r="RTX20" s="11"/>
      <c r="RTY20" s="11"/>
      <c r="RTZ20" s="11"/>
      <c r="RUA20" s="11"/>
      <c r="RUB20" s="11"/>
      <c r="RUC20" s="11"/>
      <c r="RUD20" s="11"/>
      <c r="RUE20" s="11"/>
      <c r="RUF20" s="11"/>
      <c r="RUG20" s="11"/>
      <c r="RUH20" s="11"/>
      <c r="RUI20" s="11"/>
      <c r="RUJ20" s="11"/>
      <c r="RUK20" s="11"/>
      <c r="RUL20" s="11"/>
      <c r="RUM20" s="11"/>
      <c r="RUN20" s="11"/>
      <c r="RUO20" s="11"/>
      <c r="RUP20" s="11"/>
      <c r="RUQ20" s="11"/>
      <c r="RUR20" s="11"/>
      <c r="RUS20" s="11"/>
      <c r="RUT20" s="11"/>
      <c r="RUU20" s="11"/>
      <c r="RUV20" s="11"/>
      <c r="RUW20" s="11"/>
      <c r="RUX20" s="11"/>
      <c r="RUY20" s="11"/>
      <c r="RUZ20" s="11"/>
      <c r="RVA20" s="11"/>
      <c r="RVB20" s="11"/>
      <c r="RVC20" s="11"/>
      <c r="RVD20" s="11"/>
      <c r="RVE20" s="11"/>
      <c r="RVF20" s="11"/>
      <c r="RVG20" s="11"/>
      <c r="RVH20" s="11"/>
      <c r="RVI20" s="11"/>
      <c r="RVJ20" s="11"/>
      <c r="RVK20" s="11"/>
      <c r="RVL20" s="11"/>
      <c r="RVM20" s="11"/>
      <c r="RVN20" s="11"/>
      <c r="RVO20" s="11"/>
      <c r="RVP20" s="11"/>
      <c r="RVQ20" s="11"/>
      <c r="RVR20" s="11"/>
      <c r="RVS20" s="11"/>
      <c r="RVT20" s="11"/>
      <c r="RVU20" s="11"/>
      <c r="RVV20" s="11"/>
      <c r="RVW20" s="11"/>
      <c r="RVX20" s="11"/>
      <c r="RVY20" s="11"/>
      <c r="RVZ20" s="11"/>
      <c r="RWA20" s="11"/>
      <c r="RWB20" s="11"/>
      <c r="RWC20" s="11"/>
      <c r="RWD20" s="11"/>
      <c r="RWE20" s="11"/>
      <c r="RWF20" s="11"/>
      <c r="RWG20" s="11"/>
      <c r="RWH20" s="11"/>
      <c r="RWI20" s="11"/>
      <c r="RWJ20" s="11"/>
      <c r="RWK20" s="11"/>
      <c r="RWL20" s="11"/>
      <c r="RWM20" s="11"/>
      <c r="RWN20" s="11"/>
      <c r="RWO20" s="11"/>
      <c r="RWP20" s="11"/>
      <c r="RWQ20" s="11"/>
      <c r="RWR20" s="11"/>
      <c r="RWS20" s="11"/>
      <c r="RWT20" s="11"/>
      <c r="RWU20" s="11"/>
      <c r="RWV20" s="11"/>
      <c r="RWW20" s="11"/>
      <c r="RWX20" s="11"/>
      <c r="RWY20" s="11"/>
      <c r="RWZ20" s="11"/>
      <c r="RXA20" s="11"/>
      <c r="RXB20" s="11"/>
      <c r="RXC20" s="11"/>
      <c r="RXD20" s="11"/>
      <c r="RXE20" s="11"/>
      <c r="RXF20" s="11"/>
      <c r="RXG20" s="11"/>
      <c r="RXH20" s="11"/>
      <c r="RXI20" s="11"/>
      <c r="RXJ20" s="11"/>
      <c r="RXK20" s="11"/>
      <c r="RXL20" s="11"/>
      <c r="RXM20" s="11"/>
      <c r="RXN20" s="11"/>
      <c r="RXO20" s="11"/>
      <c r="RXP20" s="11"/>
      <c r="RXQ20" s="11"/>
      <c r="RXR20" s="11"/>
      <c r="RXS20" s="11"/>
      <c r="RXT20" s="11"/>
      <c r="RXU20" s="11"/>
      <c r="RXV20" s="11"/>
      <c r="RXW20" s="11"/>
      <c r="RXX20" s="11"/>
      <c r="RXY20" s="11"/>
      <c r="RXZ20" s="11"/>
      <c r="RYA20" s="11"/>
      <c r="RYB20" s="11"/>
      <c r="RYC20" s="11"/>
      <c r="RYD20" s="11"/>
      <c r="RYE20" s="11"/>
      <c r="RYF20" s="11"/>
      <c r="RYG20" s="11"/>
      <c r="RYH20" s="11"/>
      <c r="RYI20" s="11"/>
      <c r="RYJ20" s="11"/>
      <c r="RYK20" s="11"/>
      <c r="RYL20" s="11"/>
      <c r="RYM20" s="11"/>
      <c r="RYN20" s="11"/>
      <c r="RYO20" s="11"/>
      <c r="RYP20" s="11"/>
      <c r="RYQ20" s="11"/>
      <c r="RYR20" s="11"/>
      <c r="RYS20" s="11"/>
      <c r="RYT20" s="11"/>
      <c r="RYU20" s="11"/>
      <c r="RYV20" s="11"/>
      <c r="RYW20" s="11"/>
      <c r="RYX20" s="11"/>
      <c r="RYY20" s="11"/>
      <c r="RYZ20" s="11"/>
      <c r="RZA20" s="11"/>
      <c r="RZB20" s="11"/>
      <c r="RZC20" s="11"/>
      <c r="RZD20" s="11"/>
      <c r="RZE20" s="11"/>
      <c r="RZF20" s="11"/>
      <c r="RZG20" s="11"/>
      <c r="RZH20" s="11"/>
      <c r="RZI20" s="11"/>
      <c r="RZJ20" s="11"/>
      <c r="RZK20" s="11"/>
      <c r="RZL20" s="11"/>
      <c r="RZM20" s="11"/>
      <c r="RZN20" s="11"/>
      <c r="RZO20" s="11"/>
      <c r="RZP20" s="11"/>
      <c r="RZQ20" s="11"/>
      <c r="RZR20" s="11"/>
      <c r="RZS20" s="11"/>
      <c r="RZT20" s="11"/>
      <c r="RZU20" s="11"/>
      <c r="RZV20" s="11"/>
      <c r="RZW20" s="11"/>
      <c r="RZX20" s="11"/>
      <c r="RZY20" s="11"/>
      <c r="RZZ20" s="11"/>
      <c r="SAA20" s="11"/>
      <c r="SAB20" s="11"/>
      <c r="SAC20" s="11"/>
      <c r="SAD20" s="11"/>
      <c r="SAE20" s="11"/>
      <c r="SAF20" s="11"/>
      <c r="SAG20" s="11"/>
      <c r="SAH20" s="11"/>
      <c r="SAI20" s="11"/>
      <c r="SAJ20" s="11"/>
      <c r="SAK20" s="11"/>
      <c r="SAL20" s="11"/>
      <c r="SAM20" s="11"/>
      <c r="SAN20" s="11"/>
      <c r="SAO20" s="11"/>
      <c r="SAP20" s="11"/>
      <c r="SAQ20" s="11"/>
      <c r="SAR20" s="11"/>
      <c r="SAS20" s="11"/>
      <c r="SAT20" s="11"/>
      <c r="SAU20" s="11"/>
      <c r="SAV20" s="11"/>
      <c r="SAW20" s="11"/>
      <c r="SAX20" s="11"/>
      <c r="SAY20" s="11"/>
      <c r="SAZ20" s="11"/>
      <c r="SBA20" s="11"/>
      <c r="SBB20" s="11"/>
      <c r="SBC20" s="11"/>
      <c r="SBD20" s="11"/>
      <c r="SBE20" s="11"/>
      <c r="SBF20" s="11"/>
      <c r="SBG20" s="11"/>
      <c r="SBH20" s="11"/>
      <c r="SBI20" s="11"/>
      <c r="SBJ20" s="11"/>
      <c r="SBK20" s="11"/>
      <c r="SBL20" s="11"/>
      <c r="SBM20" s="11"/>
      <c r="SBN20" s="11"/>
      <c r="SBO20" s="11"/>
      <c r="SBP20" s="11"/>
      <c r="SBQ20" s="11"/>
      <c r="SBR20" s="11"/>
      <c r="SBS20" s="11"/>
      <c r="SBT20" s="11"/>
      <c r="SBU20" s="11"/>
      <c r="SBV20" s="11"/>
      <c r="SBW20" s="11"/>
      <c r="SBX20" s="11"/>
      <c r="SBY20" s="11"/>
      <c r="SBZ20" s="11"/>
      <c r="SCA20" s="11"/>
      <c r="SCB20" s="11"/>
      <c r="SCC20" s="11"/>
      <c r="SCD20" s="11"/>
      <c r="SCE20" s="11"/>
      <c r="SCF20" s="11"/>
      <c r="SCG20" s="11"/>
      <c r="SCH20" s="11"/>
      <c r="SCI20" s="11"/>
      <c r="SCJ20" s="11"/>
      <c r="SCK20" s="11"/>
      <c r="SCL20" s="11"/>
      <c r="SCM20" s="11"/>
      <c r="SCN20" s="11"/>
      <c r="SCO20" s="11"/>
      <c r="SCP20" s="11"/>
      <c r="SCQ20" s="11"/>
      <c r="SCR20" s="11"/>
      <c r="SCS20" s="11"/>
      <c r="SCT20" s="11"/>
      <c r="SCU20" s="11"/>
      <c r="SCV20" s="11"/>
      <c r="SCW20" s="11"/>
      <c r="SCX20" s="11"/>
      <c r="SCY20" s="11"/>
      <c r="SCZ20" s="11"/>
      <c r="SDA20" s="11"/>
      <c r="SDB20" s="11"/>
      <c r="SDC20" s="11"/>
      <c r="SDD20" s="11"/>
      <c r="SDE20" s="11"/>
      <c r="SDF20" s="11"/>
      <c r="SDG20" s="11"/>
      <c r="SDH20" s="11"/>
      <c r="SDI20" s="11"/>
      <c r="SDJ20" s="11"/>
      <c r="SDK20" s="11"/>
      <c r="SDL20" s="11"/>
      <c r="SDM20" s="11"/>
      <c r="SDN20" s="11"/>
      <c r="SDO20" s="11"/>
      <c r="SDP20" s="11"/>
      <c r="SDQ20" s="11"/>
      <c r="SDR20" s="11"/>
      <c r="SDS20" s="11"/>
      <c r="SDT20" s="11"/>
      <c r="SDU20" s="11"/>
      <c r="SDV20" s="11"/>
      <c r="SDW20" s="11"/>
      <c r="SDX20" s="11"/>
      <c r="SDY20" s="11"/>
      <c r="SDZ20" s="11"/>
      <c r="SEA20" s="11"/>
      <c r="SEB20" s="11"/>
      <c r="SEC20" s="11"/>
      <c r="SED20" s="11"/>
      <c r="SEE20" s="11"/>
      <c r="SEF20" s="11"/>
      <c r="SEG20" s="11"/>
      <c r="SEH20" s="11"/>
      <c r="SEI20" s="11"/>
      <c r="SEJ20" s="11"/>
      <c r="SEK20" s="11"/>
      <c r="SEL20" s="11"/>
      <c r="SEM20" s="11"/>
      <c r="SEN20" s="11"/>
      <c r="SEO20" s="11"/>
      <c r="SEP20" s="11"/>
      <c r="SEQ20" s="11"/>
      <c r="SER20" s="11"/>
      <c r="SES20" s="11"/>
      <c r="SET20" s="11"/>
      <c r="SEU20" s="11"/>
      <c r="SEV20" s="11"/>
      <c r="SEW20" s="11"/>
      <c r="SEX20" s="11"/>
      <c r="SEY20" s="11"/>
      <c r="SEZ20" s="11"/>
      <c r="SFA20" s="11"/>
      <c r="SFB20" s="11"/>
      <c r="SFC20" s="11"/>
      <c r="SFD20" s="11"/>
      <c r="SFE20" s="11"/>
      <c r="SFF20" s="11"/>
      <c r="SFG20" s="11"/>
      <c r="SFH20" s="11"/>
      <c r="SFI20" s="11"/>
      <c r="SFJ20" s="11"/>
      <c r="SFK20" s="11"/>
      <c r="SFL20" s="11"/>
      <c r="SFM20" s="11"/>
      <c r="SFN20" s="11"/>
      <c r="SFO20" s="11"/>
      <c r="SFP20" s="11"/>
      <c r="SFQ20" s="11"/>
      <c r="SFR20" s="11"/>
      <c r="SFS20" s="11"/>
      <c r="SFT20" s="11"/>
      <c r="SFU20" s="11"/>
      <c r="SFV20" s="11"/>
      <c r="SFW20" s="11"/>
      <c r="SFX20" s="11"/>
      <c r="SFY20" s="11"/>
      <c r="SFZ20" s="11"/>
      <c r="SGA20" s="11"/>
      <c r="SGB20" s="11"/>
      <c r="SGC20" s="11"/>
      <c r="SGD20" s="11"/>
      <c r="SGE20" s="11"/>
      <c r="SGF20" s="11"/>
      <c r="SGG20" s="11"/>
      <c r="SGH20" s="11"/>
      <c r="SGI20" s="11"/>
      <c r="SGJ20" s="11"/>
      <c r="SGK20" s="11"/>
      <c r="SGL20" s="11"/>
      <c r="SGM20" s="11"/>
      <c r="SGN20" s="11"/>
      <c r="SGO20" s="11"/>
      <c r="SGP20" s="11"/>
      <c r="SGQ20" s="11"/>
      <c r="SGR20" s="11"/>
      <c r="SGS20" s="11"/>
      <c r="SGT20" s="11"/>
      <c r="SGU20" s="11"/>
      <c r="SGV20" s="11"/>
      <c r="SGW20" s="11"/>
      <c r="SGX20" s="11"/>
      <c r="SGY20" s="11"/>
      <c r="SGZ20" s="11"/>
      <c r="SHA20" s="11"/>
      <c r="SHB20" s="11"/>
      <c r="SHC20" s="11"/>
      <c r="SHD20" s="11"/>
      <c r="SHE20" s="11"/>
      <c r="SHF20" s="11"/>
      <c r="SHG20" s="11"/>
      <c r="SHH20" s="11"/>
      <c r="SHI20" s="11"/>
      <c r="SHJ20" s="11"/>
      <c r="SHK20" s="11"/>
      <c r="SHL20" s="11"/>
      <c r="SHM20" s="11"/>
      <c r="SHN20" s="11"/>
      <c r="SHO20" s="11"/>
      <c r="SHP20" s="11"/>
      <c r="SHQ20" s="11"/>
      <c r="SHR20" s="11"/>
      <c r="SHS20" s="11"/>
      <c r="SHT20" s="11"/>
      <c r="SHU20" s="11"/>
      <c r="SHV20" s="11"/>
      <c r="SHW20" s="11"/>
      <c r="SHX20" s="11"/>
      <c r="SHY20" s="11"/>
      <c r="SHZ20" s="11"/>
      <c r="SIA20" s="11"/>
      <c r="SIB20" s="11"/>
      <c r="SIC20" s="11"/>
      <c r="SID20" s="11"/>
      <c r="SIE20" s="11"/>
      <c r="SIF20" s="11"/>
      <c r="SIG20" s="11"/>
      <c r="SIH20" s="11"/>
      <c r="SII20" s="11"/>
      <c r="SIJ20" s="11"/>
      <c r="SIK20" s="11"/>
      <c r="SIL20" s="11"/>
      <c r="SIM20" s="11"/>
      <c r="SIN20" s="11"/>
      <c r="SIO20" s="11"/>
      <c r="SIP20" s="11"/>
      <c r="SIQ20" s="11"/>
      <c r="SIR20" s="11"/>
      <c r="SIS20" s="11"/>
      <c r="SIT20" s="11"/>
      <c r="SIU20" s="11"/>
      <c r="SIV20" s="11"/>
      <c r="SIW20" s="11"/>
      <c r="SIX20" s="11"/>
      <c r="SIY20" s="11"/>
      <c r="SIZ20" s="11"/>
      <c r="SJA20" s="11"/>
      <c r="SJB20" s="11"/>
      <c r="SJC20" s="11"/>
      <c r="SJD20" s="11"/>
      <c r="SJE20" s="11"/>
      <c r="SJF20" s="11"/>
      <c r="SJG20" s="11"/>
      <c r="SJH20" s="11"/>
      <c r="SJI20" s="11"/>
      <c r="SJJ20" s="11"/>
      <c r="SJK20" s="11"/>
      <c r="SJL20" s="11"/>
      <c r="SJM20" s="11"/>
      <c r="SJN20" s="11"/>
      <c r="SJO20" s="11"/>
      <c r="SJP20" s="11"/>
      <c r="SJQ20" s="11"/>
      <c r="SJR20" s="11"/>
      <c r="SJS20" s="11"/>
      <c r="SJT20" s="11"/>
      <c r="SJU20" s="11"/>
      <c r="SJV20" s="11"/>
      <c r="SJW20" s="11"/>
      <c r="SJX20" s="11"/>
      <c r="SJY20" s="11"/>
      <c r="SJZ20" s="11"/>
      <c r="SKA20" s="11"/>
      <c r="SKB20" s="11"/>
      <c r="SKC20" s="11"/>
      <c r="SKD20" s="11"/>
      <c r="SKE20" s="11"/>
      <c r="SKF20" s="11"/>
      <c r="SKG20" s="11"/>
      <c r="SKH20" s="11"/>
      <c r="SKI20" s="11"/>
      <c r="SKJ20" s="11"/>
      <c r="SKK20" s="11"/>
      <c r="SKL20" s="11"/>
      <c r="SKM20" s="11"/>
      <c r="SKN20" s="11"/>
      <c r="SKO20" s="11"/>
      <c r="SKP20" s="11"/>
      <c r="SKQ20" s="11"/>
      <c r="SKR20" s="11"/>
      <c r="SKS20" s="11"/>
      <c r="SKT20" s="11"/>
      <c r="SKU20" s="11"/>
      <c r="SKV20" s="11"/>
      <c r="SKW20" s="11"/>
      <c r="SKX20" s="11"/>
      <c r="SKY20" s="11"/>
      <c r="SKZ20" s="11"/>
      <c r="SLA20" s="11"/>
      <c r="SLB20" s="11"/>
      <c r="SLC20" s="11"/>
      <c r="SLD20" s="11"/>
      <c r="SLE20" s="11"/>
      <c r="SLF20" s="11"/>
      <c r="SLG20" s="11"/>
      <c r="SLH20" s="11"/>
      <c r="SLI20" s="11"/>
      <c r="SLJ20" s="11"/>
      <c r="SLK20" s="11"/>
      <c r="SLL20" s="11"/>
      <c r="SLM20" s="11"/>
      <c r="SLN20" s="11"/>
      <c r="SLO20" s="11"/>
      <c r="SLP20" s="11"/>
      <c r="SLQ20" s="11"/>
      <c r="SLR20" s="11"/>
      <c r="SLS20" s="11"/>
      <c r="SLT20" s="11"/>
      <c r="SLU20" s="11"/>
      <c r="SLV20" s="11"/>
      <c r="SLW20" s="11"/>
      <c r="SLX20" s="11"/>
      <c r="SLY20" s="11"/>
      <c r="SLZ20" s="11"/>
      <c r="SMA20" s="11"/>
      <c r="SMB20" s="11"/>
      <c r="SMC20" s="11"/>
      <c r="SMD20" s="11"/>
      <c r="SME20" s="11"/>
      <c r="SMF20" s="11"/>
      <c r="SMG20" s="11"/>
      <c r="SMH20" s="11"/>
      <c r="SMI20" s="11"/>
      <c r="SMJ20" s="11"/>
      <c r="SMK20" s="11"/>
      <c r="SML20" s="11"/>
      <c r="SMM20" s="11"/>
      <c r="SMN20" s="11"/>
      <c r="SMO20" s="11"/>
      <c r="SMP20" s="11"/>
      <c r="SMQ20" s="11"/>
      <c r="SMR20" s="11"/>
      <c r="SMS20" s="11"/>
      <c r="SMT20" s="11"/>
      <c r="SMU20" s="11"/>
      <c r="SMV20" s="11"/>
      <c r="SMW20" s="11"/>
      <c r="SMX20" s="11"/>
      <c r="SMY20" s="11"/>
      <c r="SMZ20" s="11"/>
      <c r="SNA20" s="11"/>
      <c r="SNB20" s="11"/>
      <c r="SNC20" s="11"/>
      <c r="SND20" s="11"/>
      <c r="SNE20" s="11"/>
      <c r="SNF20" s="11"/>
      <c r="SNG20" s="11"/>
      <c r="SNH20" s="11"/>
      <c r="SNI20" s="11"/>
      <c r="SNJ20" s="11"/>
      <c r="SNK20" s="11"/>
      <c r="SNL20" s="11"/>
      <c r="SNM20" s="11"/>
      <c r="SNN20" s="11"/>
      <c r="SNO20" s="11"/>
      <c r="SNP20" s="11"/>
      <c r="SNQ20" s="11"/>
      <c r="SNR20" s="11"/>
      <c r="SNS20" s="11"/>
      <c r="SNT20" s="11"/>
      <c r="SNU20" s="11"/>
      <c r="SNV20" s="11"/>
      <c r="SNW20" s="11"/>
      <c r="SNX20" s="11"/>
      <c r="SNY20" s="11"/>
      <c r="SNZ20" s="11"/>
      <c r="SOA20" s="11"/>
      <c r="SOB20" s="11"/>
      <c r="SOC20" s="11"/>
      <c r="SOD20" s="11"/>
      <c r="SOE20" s="11"/>
      <c r="SOF20" s="11"/>
      <c r="SOG20" s="11"/>
      <c r="SOH20" s="11"/>
      <c r="SOI20" s="11"/>
      <c r="SOJ20" s="11"/>
      <c r="SOK20" s="11"/>
      <c r="SOL20" s="11"/>
      <c r="SOM20" s="11"/>
      <c r="SON20" s="11"/>
      <c r="SOO20" s="11"/>
      <c r="SOP20" s="11"/>
      <c r="SOQ20" s="11"/>
      <c r="SOR20" s="11"/>
      <c r="SOS20" s="11"/>
      <c r="SOT20" s="11"/>
      <c r="SOU20" s="11"/>
      <c r="SOV20" s="11"/>
      <c r="SOW20" s="11"/>
      <c r="SOX20" s="11"/>
      <c r="SOY20" s="11"/>
      <c r="SOZ20" s="11"/>
      <c r="SPA20" s="11"/>
      <c r="SPB20" s="11"/>
      <c r="SPC20" s="11"/>
      <c r="SPD20" s="11"/>
      <c r="SPE20" s="11"/>
      <c r="SPF20" s="11"/>
      <c r="SPG20" s="11"/>
      <c r="SPH20" s="11"/>
      <c r="SPI20" s="11"/>
      <c r="SPJ20" s="11"/>
      <c r="SPK20" s="11"/>
      <c r="SPL20" s="11"/>
      <c r="SPM20" s="11"/>
      <c r="SPN20" s="11"/>
      <c r="SPO20" s="11"/>
      <c r="SPP20" s="11"/>
      <c r="SPQ20" s="11"/>
      <c r="SPR20" s="11"/>
      <c r="SPS20" s="11"/>
      <c r="SPT20" s="11"/>
      <c r="SPU20" s="11"/>
      <c r="SPV20" s="11"/>
      <c r="SPW20" s="11"/>
      <c r="SPX20" s="11"/>
      <c r="SPY20" s="11"/>
      <c r="SPZ20" s="11"/>
      <c r="SQA20" s="11"/>
      <c r="SQB20" s="11"/>
      <c r="SQC20" s="11"/>
      <c r="SQD20" s="11"/>
      <c r="SQE20" s="11"/>
      <c r="SQF20" s="11"/>
      <c r="SQG20" s="11"/>
      <c r="SQH20" s="11"/>
      <c r="SQI20" s="11"/>
      <c r="SQJ20" s="11"/>
      <c r="SQK20" s="11"/>
      <c r="SQL20" s="11"/>
      <c r="SQM20" s="11"/>
      <c r="SQN20" s="11"/>
      <c r="SQO20" s="11"/>
      <c r="SQP20" s="11"/>
      <c r="SQQ20" s="11"/>
      <c r="SQR20" s="11"/>
      <c r="SQS20" s="11"/>
      <c r="SQT20" s="11"/>
      <c r="SQU20" s="11"/>
      <c r="SQV20" s="11"/>
      <c r="SQW20" s="11"/>
      <c r="SQX20" s="11"/>
      <c r="SQY20" s="11"/>
      <c r="SQZ20" s="11"/>
      <c r="SRA20" s="11"/>
      <c r="SRB20" s="11"/>
      <c r="SRC20" s="11"/>
      <c r="SRD20" s="11"/>
      <c r="SRE20" s="11"/>
      <c r="SRF20" s="11"/>
      <c r="SRG20" s="11"/>
      <c r="SRH20" s="11"/>
      <c r="SRI20" s="11"/>
      <c r="SRJ20" s="11"/>
      <c r="SRK20" s="11"/>
      <c r="SRL20" s="11"/>
      <c r="SRM20" s="11"/>
      <c r="SRN20" s="11"/>
      <c r="SRO20" s="11"/>
      <c r="SRP20" s="11"/>
      <c r="SRQ20" s="11"/>
      <c r="SRR20" s="11"/>
      <c r="SRS20" s="11"/>
      <c r="SRT20" s="11"/>
      <c r="SRU20" s="11"/>
      <c r="SRV20" s="11"/>
      <c r="SRW20" s="11"/>
      <c r="SRX20" s="11"/>
      <c r="SRY20" s="11"/>
      <c r="SRZ20" s="11"/>
      <c r="SSA20" s="11"/>
      <c r="SSB20" s="11"/>
      <c r="SSC20" s="11"/>
      <c r="SSD20" s="11"/>
      <c r="SSE20" s="11"/>
      <c r="SSF20" s="11"/>
      <c r="SSG20" s="11"/>
      <c r="SSH20" s="11"/>
      <c r="SSI20" s="11"/>
      <c r="SSJ20" s="11"/>
      <c r="SSK20" s="11"/>
      <c r="SSL20" s="11"/>
      <c r="SSM20" s="11"/>
      <c r="SSN20" s="11"/>
      <c r="SSO20" s="11"/>
      <c r="SSP20" s="11"/>
      <c r="SSQ20" s="11"/>
      <c r="SSR20" s="11"/>
      <c r="SSS20" s="11"/>
      <c r="SST20" s="11"/>
      <c r="SSU20" s="11"/>
      <c r="SSV20" s="11"/>
      <c r="SSW20" s="11"/>
      <c r="SSX20" s="11"/>
      <c r="SSY20" s="11"/>
      <c r="SSZ20" s="11"/>
      <c r="STA20" s="11"/>
      <c r="STB20" s="11"/>
      <c r="STC20" s="11"/>
      <c r="STD20" s="11"/>
      <c r="STE20" s="11"/>
      <c r="STF20" s="11"/>
      <c r="STG20" s="11"/>
      <c r="STH20" s="11"/>
      <c r="STI20" s="11"/>
      <c r="STJ20" s="11"/>
      <c r="STK20" s="11"/>
      <c r="STL20" s="11"/>
      <c r="STM20" s="11"/>
      <c r="STN20" s="11"/>
      <c r="STO20" s="11"/>
      <c r="STP20" s="11"/>
      <c r="STQ20" s="11"/>
      <c r="STR20" s="11"/>
      <c r="STS20" s="11"/>
      <c r="STT20" s="11"/>
      <c r="STU20" s="11"/>
      <c r="STV20" s="11"/>
      <c r="STW20" s="11"/>
      <c r="STX20" s="11"/>
      <c r="STY20" s="11"/>
      <c r="STZ20" s="11"/>
      <c r="SUA20" s="11"/>
      <c r="SUB20" s="11"/>
      <c r="SUC20" s="11"/>
      <c r="SUD20" s="11"/>
      <c r="SUE20" s="11"/>
      <c r="SUF20" s="11"/>
      <c r="SUG20" s="11"/>
      <c r="SUH20" s="11"/>
      <c r="SUI20" s="11"/>
      <c r="SUJ20" s="11"/>
      <c r="SUK20" s="11"/>
      <c r="SUL20" s="11"/>
      <c r="SUM20" s="11"/>
      <c r="SUN20" s="11"/>
      <c r="SUO20" s="11"/>
      <c r="SUP20" s="11"/>
      <c r="SUQ20" s="11"/>
      <c r="SUR20" s="11"/>
      <c r="SUS20" s="11"/>
      <c r="SUT20" s="11"/>
      <c r="SUU20" s="11"/>
      <c r="SUV20" s="11"/>
      <c r="SUW20" s="11"/>
      <c r="SUX20" s="11"/>
      <c r="SUY20" s="11"/>
      <c r="SUZ20" s="11"/>
      <c r="SVA20" s="11"/>
      <c r="SVB20" s="11"/>
      <c r="SVC20" s="11"/>
      <c r="SVD20" s="11"/>
      <c r="SVE20" s="11"/>
      <c r="SVF20" s="11"/>
      <c r="SVG20" s="11"/>
      <c r="SVH20" s="11"/>
      <c r="SVI20" s="11"/>
      <c r="SVJ20" s="11"/>
      <c r="SVK20" s="11"/>
      <c r="SVL20" s="11"/>
      <c r="SVM20" s="11"/>
      <c r="SVN20" s="11"/>
      <c r="SVO20" s="11"/>
      <c r="SVP20" s="11"/>
      <c r="SVQ20" s="11"/>
      <c r="SVR20" s="11"/>
      <c r="SVS20" s="11"/>
      <c r="SVT20" s="11"/>
      <c r="SVU20" s="11"/>
      <c r="SVV20" s="11"/>
      <c r="SVW20" s="11"/>
      <c r="SVX20" s="11"/>
      <c r="SVY20" s="11"/>
      <c r="SVZ20" s="11"/>
      <c r="SWA20" s="11"/>
      <c r="SWB20" s="11"/>
      <c r="SWC20" s="11"/>
      <c r="SWD20" s="11"/>
      <c r="SWE20" s="11"/>
      <c r="SWF20" s="11"/>
      <c r="SWG20" s="11"/>
      <c r="SWH20" s="11"/>
      <c r="SWI20" s="11"/>
      <c r="SWJ20" s="11"/>
      <c r="SWK20" s="11"/>
      <c r="SWL20" s="11"/>
      <c r="SWM20" s="11"/>
      <c r="SWN20" s="11"/>
      <c r="SWO20" s="11"/>
      <c r="SWP20" s="11"/>
      <c r="SWQ20" s="11"/>
      <c r="SWR20" s="11"/>
      <c r="SWS20" s="11"/>
      <c r="SWT20" s="11"/>
      <c r="SWU20" s="11"/>
      <c r="SWV20" s="11"/>
      <c r="SWW20" s="11"/>
      <c r="SWX20" s="11"/>
      <c r="SWY20" s="11"/>
      <c r="SWZ20" s="11"/>
      <c r="SXA20" s="11"/>
      <c r="SXB20" s="11"/>
      <c r="SXC20" s="11"/>
      <c r="SXD20" s="11"/>
      <c r="SXE20" s="11"/>
      <c r="SXF20" s="11"/>
      <c r="SXG20" s="11"/>
      <c r="SXH20" s="11"/>
      <c r="SXI20" s="11"/>
      <c r="SXJ20" s="11"/>
      <c r="SXK20" s="11"/>
      <c r="SXL20" s="11"/>
      <c r="SXM20" s="11"/>
      <c r="SXN20" s="11"/>
      <c r="SXO20" s="11"/>
      <c r="SXP20" s="11"/>
      <c r="SXQ20" s="11"/>
      <c r="SXR20" s="11"/>
      <c r="SXS20" s="11"/>
      <c r="SXT20" s="11"/>
      <c r="SXU20" s="11"/>
      <c r="SXV20" s="11"/>
      <c r="SXW20" s="11"/>
      <c r="SXX20" s="11"/>
      <c r="SXY20" s="11"/>
      <c r="SXZ20" s="11"/>
      <c r="SYA20" s="11"/>
      <c r="SYB20" s="11"/>
      <c r="SYC20" s="11"/>
      <c r="SYD20" s="11"/>
      <c r="SYE20" s="11"/>
      <c r="SYF20" s="11"/>
      <c r="SYG20" s="11"/>
      <c r="SYH20" s="11"/>
      <c r="SYI20" s="11"/>
      <c r="SYJ20" s="11"/>
      <c r="SYK20" s="11"/>
      <c r="SYL20" s="11"/>
      <c r="SYM20" s="11"/>
      <c r="SYN20" s="11"/>
      <c r="SYO20" s="11"/>
      <c r="SYP20" s="11"/>
      <c r="SYQ20" s="11"/>
      <c r="SYR20" s="11"/>
      <c r="SYS20" s="11"/>
      <c r="SYT20" s="11"/>
      <c r="SYU20" s="11"/>
      <c r="SYV20" s="11"/>
      <c r="SYW20" s="11"/>
      <c r="SYX20" s="11"/>
      <c r="SYY20" s="11"/>
      <c r="SYZ20" s="11"/>
      <c r="SZA20" s="11"/>
      <c r="SZB20" s="11"/>
      <c r="SZC20" s="11"/>
      <c r="SZD20" s="11"/>
      <c r="SZE20" s="11"/>
      <c r="SZF20" s="11"/>
      <c r="SZG20" s="11"/>
      <c r="SZH20" s="11"/>
      <c r="SZI20" s="11"/>
      <c r="SZJ20" s="11"/>
      <c r="SZK20" s="11"/>
      <c r="SZL20" s="11"/>
      <c r="SZM20" s="11"/>
      <c r="SZN20" s="11"/>
      <c r="SZO20" s="11"/>
      <c r="SZP20" s="11"/>
      <c r="SZQ20" s="11"/>
      <c r="SZR20" s="11"/>
      <c r="SZS20" s="11"/>
      <c r="SZT20" s="11"/>
      <c r="SZU20" s="11"/>
      <c r="SZV20" s="11"/>
      <c r="SZW20" s="11"/>
      <c r="SZX20" s="11"/>
      <c r="SZY20" s="11"/>
      <c r="SZZ20" s="11"/>
      <c r="TAA20" s="11"/>
      <c r="TAB20" s="11"/>
      <c r="TAC20" s="11"/>
      <c r="TAD20" s="11"/>
      <c r="TAE20" s="11"/>
      <c r="TAF20" s="11"/>
      <c r="TAG20" s="11"/>
      <c r="TAH20" s="11"/>
      <c r="TAI20" s="11"/>
      <c r="TAJ20" s="11"/>
      <c r="TAK20" s="11"/>
      <c r="TAL20" s="11"/>
      <c r="TAM20" s="11"/>
      <c r="TAN20" s="11"/>
      <c r="TAO20" s="11"/>
      <c r="TAP20" s="11"/>
      <c r="TAQ20" s="11"/>
      <c r="TAR20" s="11"/>
      <c r="TAS20" s="11"/>
      <c r="TAT20" s="11"/>
      <c r="TAU20" s="11"/>
      <c r="TAV20" s="11"/>
      <c r="TAW20" s="11"/>
      <c r="TAX20" s="11"/>
      <c r="TAY20" s="11"/>
      <c r="TAZ20" s="11"/>
      <c r="TBA20" s="11"/>
      <c r="TBB20" s="11"/>
      <c r="TBC20" s="11"/>
      <c r="TBD20" s="11"/>
      <c r="TBE20" s="11"/>
      <c r="TBF20" s="11"/>
      <c r="TBG20" s="11"/>
      <c r="TBH20" s="11"/>
      <c r="TBI20" s="11"/>
      <c r="TBJ20" s="11"/>
      <c r="TBK20" s="11"/>
      <c r="TBL20" s="11"/>
      <c r="TBM20" s="11"/>
      <c r="TBN20" s="11"/>
      <c r="TBO20" s="11"/>
      <c r="TBP20" s="11"/>
      <c r="TBQ20" s="11"/>
      <c r="TBR20" s="11"/>
      <c r="TBS20" s="11"/>
      <c r="TBT20" s="11"/>
      <c r="TBU20" s="11"/>
      <c r="TBV20" s="11"/>
      <c r="TBW20" s="11"/>
      <c r="TBX20" s="11"/>
      <c r="TBY20" s="11"/>
      <c r="TBZ20" s="11"/>
      <c r="TCA20" s="11"/>
      <c r="TCB20" s="11"/>
      <c r="TCC20" s="11"/>
      <c r="TCD20" s="11"/>
      <c r="TCE20" s="11"/>
      <c r="TCF20" s="11"/>
      <c r="TCG20" s="11"/>
      <c r="TCH20" s="11"/>
      <c r="TCI20" s="11"/>
      <c r="TCJ20" s="11"/>
      <c r="TCK20" s="11"/>
      <c r="TCL20" s="11"/>
      <c r="TCM20" s="11"/>
      <c r="TCN20" s="11"/>
      <c r="TCO20" s="11"/>
      <c r="TCP20" s="11"/>
      <c r="TCQ20" s="11"/>
      <c r="TCR20" s="11"/>
      <c r="TCS20" s="11"/>
      <c r="TCT20" s="11"/>
      <c r="TCU20" s="11"/>
      <c r="TCV20" s="11"/>
      <c r="TCW20" s="11"/>
      <c r="TCX20" s="11"/>
      <c r="TCY20" s="11"/>
      <c r="TCZ20" s="11"/>
      <c r="TDA20" s="11"/>
      <c r="TDB20" s="11"/>
      <c r="TDC20" s="11"/>
      <c r="TDD20" s="11"/>
      <c r="TDE20" s="11"/>
      <c r="TDF20" s="11"/>
      <c r="TDG20" s="11"/>
      <c r="TDH20" s="11"/>
      <c r="TDI20" s="11"/>
      <c r="TDJ20" s="11"/>
      <c r="TDK20" s="11"/>
      <c r="TDL20" s="11"/>
      <c r="TDM20" s="11"/>
      <c r="TDN20" s="11"/>
      <c r="TDO20" s="11"/>
      <c r="TDP20" s="11"/>
      <c r="TDQ20" s="11"/>
      <c r="TDR20" s="11"/>
      <c r="TDS20" s="11"/>
      <c r="TDT20" s="11"/>
      <c r="TDU20" s="11"/>
      <c r="TDV20" s="11"/>
      <c r="TDW20" s="11"/>
      <c r="TDX20" s="11"/>
      <c r="TDY20" s="11"/>
      <c r="TDZ20" s="11"/>
      <c r="TEA20" s="11"/>
      <c r="TEB20" s="11"/>
      <c r="TEC20" s="11"/>
      <c r="TED20" s="11"/>
      <c r="TEE20" s="11"/>
      <c r="TEF20" s="11"/>
      <c r="TEG20" s="11"/>
      <c r="TEH20" s="11"/>
      <c r="TEI20" s="11"/>
      <c r="TEJ20" s="11"/>
      <c r="TEK20" s="11"/>
      <c r="TEL20" s="11"/>
      <c r="TEM20" s="11"/>
      <c r="TEN20" s="11"/>
      <c r="TEO20" s="11"/>
      <c r="TEP20" s="11"/>
      <c r="TEQ20" s="11"/>
      <c r="TER20" s="11"/>
      <c r="TES20" s="11"/>
      <c r="TET20" s="11"/>
      <c r="TEU20" s="11"/>
      <c r="TEV20" s="11"/>
      <c r="TEW20" s="11"/>
      <c r="TEX20" s="11"/>
      <c r="TEY20" s="11"/>
      <c r="TEZ20" s="11"/>
      <c r="TFA20" s="11"/>
      <c r="TFB20" s="11"/>
      <c r="TFC20" s="11"/>
      <c r="TFD20" s="11"/>
      <c r="TFE20" s="11"/>
      <c r="TFF20" s="11"/>
      <c r="TFG20" s="11"/>
      <c r="TFH20" s="11"/>
      <c r="TFI20" s="11"/>
      <c r="TFJ20" s="11"/>
      <c r="TFK20" s="11"/>
      <c r="TFL20" s="11"/>
      <c r="TFM20" s="11"/>
      <c r="TFN20" s="11"/>
      <c r="TFO20" s="11"/>
      <c r="TFP20" s="11"/>
      <c r="TFQ20" s="11"/>
      <c r="TFR20" s="11"/>
      <c r="TFS20" s="11"/>
      <c r="TFT20" s="11"/>
      <c r="TFU20" s="11"/>
      <c r="TFV20" s="11"/>
      <c r="TFW20" s="11"/>
      <c r="TFX20" s="11"/>
      <c r="TFY20" s="11"/>
      <c r="TFZ20" s="11"/>
      <c r="TGA20" s="11"/>
      <c r="TGB20" s="11"/>
      <c r="TGC20" s="11"/>
      <c r="TGD20" s="11"/>
      <c r="TGE20" s="11"/>
      <c r="TGF20" s="11"/>
      <c r="TGG20" s="11"/>
      <c r="TGH20" s="11"/>
      <c r="TGI20" s="11"/>
      <c r="TGJ20" s="11"/>
      <c r="TGK20" s="11"/>
      <c r="TGL20" s="11"/>
      <c r="TGM20" s="11"/>
      <c r="TGN20" s="11"/>
      <c r="TGO20" s="11"/>
      <c r="TGP20" s="11"/>
      <c r="TGQ20" s="11"/>
      <c r="TGR20" s="11"/>
      <c r="TGS20" s="11"/>
      <c r="TGT20" s="11"/>
      <c r="TGU20" s="11"/>
      <c r="TGV20" s="11"/>
      <c r="TGW20" s="11"/>
      <c r="TGX20" s="11"/>
      <c r="TGY20" s="11"/>
      <c r="TGZ20" s="11"/>
      <c r="THA20" s="11"/>
      <c r="THB20" s="11"/>
      <c r="THC20" s="11"/>
      <c r="THD20" s="11"/>
      <c r="THE20" s="11"/>
      <c r="THF20" s="11"/>
      <c r="THG20" s="11"/>
      <c r="THH20" s="11"/>
      <c r="THI20" s="11"/>
      <c r="THJ20" s="11"/>
      <c r="THK20" s="11"/>
      <c r="THL20" s="11"/>
      <c r="THM20" s="11"/>
      <c r="THN20" s="11"/>
      <c r="THO20" s="11"/>
      <c r="THP20" s="11"/>
      <c r="THQ20" s="11"/>
      <c r="THR20" s="11"/>
      <c r="THS20" s="11"/>
      <c r="THT20" s="11"/>
      <c r="THU20" s="11"/>
      <c r="THV20" s="11"/>
      <c r="THW20" s="11"/>
      <c r="THX20" s="11"/>
      <c r="THY20" s="11"/>
      <c r="THZ20" s="11"/>
      <c r="TIA20" s="11"/>
      <c r="TIB20" s="11"/>
      <c r="TIC20" s="11"/>
      <c r="TID20" s="11"/>
      <c r="TIE20" s="11"/>
      <c r="TIF20" s="11"/>
      <c r="TIG20" s="11"/>
      <c r="TIH20" s="11"/>
      <c r="TII20" s="11"/>
      <c r="TIJ20" s="11"/>
      <c r="TIK20" s="11"/>
      <c r="TIL20" s="11"/>
      <c r="TIM20" s="11"/>
      <c r="TIN20" s="11"/>
      <c r="TIO20" s="11"/>
      <c r="TIP20" s="11"/>
      <c r="TIQ20" s="11"/>
      <c r="TIR20" s="11"/>
      <c r="TIS20" s="11"/>
      <c r="TIT20" s="11"/>
      <c r="TIU20" s="11"/>
      <c r="TIV20" s="11"/>
      <c r="TIW20" s="11"/>
      <c r="TIX20" s="11"/>
      <c r="TIY20" s="11"/>
      <c r="TIZ20" s="11"/>
      <c r="TJA20" s="11"/>
      <c r="TJB20" s="11"/>
      <c r="TJC20" s="11"/>
      <c r="TJD20" s="11"/>
      <c r="TJE20" s="11"/>
      <c r="TJF20" s="11"/>
      <c r="TJG20" s="11"/>
      <c r="TJH20" s="11"/>
      <c r="TJI20" s="11"/>
      <c r="TJJ20" s="11"/>
      <c r="TJK20" s="11"/>
      <c r="TJL20" s="11"/>
      <c r="TJM20" s="11"/>
      <c r="TJN20" s="11"/>
      <c r="TJO20" s="11"/>
      <c r="TJP20" s="11"/>
      <c r="TJQ20" s="11"/>
      <c r="TJR20" s="11"/>
      <c r="TJS20" s="11"/>
      <c r="TJT20" s="11"/>
      <c r="TJU20" s="11"/>
      <c r="TJV20" s="11"/>
      <c r="TJW20" s="11"/>
      <c r="TJX20" s="11"/>
      <c r="TJY20" s="11"/>
      <c r="TJZ20" s="11"/>
      <c r="TKA20" s="11"/>
      <c r="TKB20" s="11"/>
      <c r="TKC20" s="11"/>
      <c r="TKD20" s="11"/>
      <c r="TKE20" s="11"/>
      <c r="TKF20" s="11"/>
      <c r="TKG20" s="11"/>
      <c r="TKH20" s="11"/>
      <c r="TKI20" s="11"/>
      <c r="TKJ20" s="11"/>
      <c r="TKK20" s="11"/>
      <c r="TKL20" s="11"/>
      <c r="TKM20" s="11"/>
      <c r="TKN20" s="11"/>
      <c r="TKO20" s="11"/>
      <c r="TKP20" s="11"/>
      <c r="TKQ20" s="11"/>
      <c r="TKR20" s="11"/>
      <c r="TKS20" s="11"/>
      <c r="TKT20" s="11"/>
      <c r="TKU20" s="11"/>
      <c r="TKV20" s="11"/>
      <c r="TKW20" s="11"/>
      <c r="TKX20" s="11"/>
      <c r="TKY20" s="11"/>
      <c r="TKZ20" s="11"/>
      <c r="TLA20" s="11"/>
      <c r="TLB20" s="11"/>
      <c r="TLC20" s="11"/>
      <c r="TLD20" s="11"/>
      <c r="TLE20" s="11"/>
      <c r="TLF20" s="11"/>
      <c r="TLG20" s="11"/>
      <c r="TLH20" s="11"/>
      <c r="TLI20" s="11"/>
      <c r="TLJ20" s="11"/>
      <c r="TLK20" s="11"/>
      <c r="TLL20" s="11"/>
      <c r="TLM20" s="11"/>
      <c r="TLN20" s="11"/>
      <c r="TLO20" s="11"/>
      <c r="TLP20" s="11"/>
      <c r="TLQ20" s="11"/>
      <c r="TLR20" s="11"/>
      <c r="TLS20" s="11"/>
      <c r="TLT20" s="11"/>
      <c r="TLU20" s="11"/>
      <c r="TLV20" s="11"/>
      <c r="TLW20" s="11"/>
      <c r="TLX20" s="11"/>
      <c r="TLY20" s="11"/>
      <c r="TLZ20" s="11"/>
      <c r="TMA20" s="11"/>
      <c r="TMB20" s="11"/>
      <c r="TMC20" s="11"/>
      <c r="TMD20" s="11"/>
      <c r="TME20" s="11"/>
      <c r="TMF20" s="11"/>
      <c r="TMG20" s="11"/>
      <c r="TMH20" s="11"/>
      <c r="TMI20" s="11"/>
      <c r="TMJ20" s="11"/>
      <c r="TMK20" s="11"/>
      <c r="TML20" s="11"/>
      <c r="TMM20" s="11"/>
      <c r="TMN20" s="11"/>
      <c r="TMO20" s="11"/>
      <c r="TMP20" s="11"/>
      <c r="TMQ20" s="11"/>
      <c r="TMR20" s="11"/>
      <c r="TMS20" s="11"/>
      <c r="TMT20" s="11"/>
      <c r="TMU20" s="11"/>
      <c r="TMV20" s="11"/>
      <c r="TMW20" s="11"/>
      <c r="TMX20" s="11"/>
      <c r="TMY20" s="11"/>
      <c r="TMZ20" s="11"/>
      <c r="TNA20" s="11"/>
      <c r="TNB20" s="11"/>
      <c r="TNC20" s="11"/>
      <c r="TND20" s="11"/>
      <c r="TNE20" s="11"/>
      <c r="TNF20" s="11"/>
      <c r="TNG20" s="11"/>
      <c r="TNH20" s="11"/>
      <c r="TNI20" s="11"/>
      <c r="TNJ20" s="11"/>
      <c r="TNK20" s="11"/>
      <c r="TNL20" s="11"/>
      <c r="TNM20" s="11"/>
      <c r="TNN20" s="11"/>
      <c r="TNO20" s="11"/>
      <c r="TNP20" s="11"/>
      <c r="TNQ20" s="11"/>
      <c r="TNR20" s="11"/>
      <c r="TNS20" s="11"/>
      <c r="TNT20" s="11"/>
      <c r="TNU20" s="11"/>
      <c r="TNV20" s="11"/>
      <c r="TNW20" s="11"/>
      <c r="TNX20" s="11"/>
      <c r="TNY20" s="11"/>
      <c r="TNZ20" s="11"/>
      <c r="TOA20" s="11"/>
      <c r="TOB20" s="11"/>
      <c r="TOC20" s="11"/>
      <c r="TOD20" s="11"/>
      <c r="TOE20" s="11"/>
      <c r="TOF20" s="11"/>
      <c r="TOG20" s="11"/>
      <c r="TOH20" s="11"/>
      <c r="TOI20" s="11"/>
      <c r="TOJ20" s="11"/>
      <c r="TOK20" s="11"/>
      <c r="TOL20" s="11"/>
      <c r="TOM20" s="11"/>
      <c r="TON20" s="11"/>
      <c r="TOO20" s="11"/>
      <c r="TOP20" s="11"/>
      <c r="TOQ20" s="11"/>
      <c r="TOR20" s="11"/>
      <c r="TOS20" s="11"/>
      <c r="TOT20" s="11"/>
      <c r="TOU20" s="11"/>
      <c r="TOV20" s="11"/>
      <c r="TOW20" s="11"/>
      <c r="TOX20" s="11"/>
      <c r="TOY20" s="11"/>
      <c r="TOZ20" s="11"/>
      <c r="TPA20" s="11"/>
      <c r="TPB20" s="11"/>
      <c r="TPC20" s="11"/>
      <c r="TPD20" s="11"/>
      <c r="TPE20" s="11"/>
      <c r="TPF20" s="11"/>
      <c r="TPG20" s="11"/>
      <c r="TPH20" s="11"/>
      <c r="TPI20" s="11"/>
      <c r="TPJ20" s="11"/>
      <c r="TPK20" s="11"/>
      <c r="TPL20" s="11"/>
      <c r="TPM20" s="11"/>
      <c r="TPN20" s="11"/>
      <c r="TPO20" s="11"/>
      <c r="TPP20" s="11"/>
      <c r="TPQ20" s="11"/>
      <c r="TPR20" s="11"/>
      <c r="TPS20" s="11"/>
      <c r="TPT20" s="11"/>
      <c r="TPU20" s="11"/>
      <c r="TPV20" s="11"/>
      <c r="TPW20" s="11"/>
      <c r="TPX20" s="11"/>
      <c r="TPY20" s="11"/>
      <c r="TPZ20" s="11"/>
      <c r="TQA20" s="11"/>
      <c r="TQB20" s="11"/>
      <c r="TQC20" s="11"/>
      <c r="TQD20" s="11"/>
      <c r="TQE20" s="11"/>
      <c r="TQF20" s="11"/>
      <c r="TQG20" s="11"/>
      <c r="TQH20" s="11"/>
      <c r="TQI20" s="11"/>
      <c r="TQJ20" s="11"/>
      <c r="TQK20" s="11"/>
      <c r="TQL20" s="11"/>
      <c r="TQM20" s="11"/>
      <c r="TQN20" s="11"/>
      <c r="TQO20" s="11"/>
      <c r="TQP20" s="11"/>
      <c r="TQQ20" s="11"/>
      <c r="TQR20" s="11"/>
      <c r="TQS20" s="11"/>
      <c r="TQT20" s="11"/>
      <c r="TQU20" s="11"/>
      <c r="TQV20" s="11"/>
      <c r="TQW20" s="11"/>
      <c r="TQX20" s="11"/>
      <c r="TQY20" s="11"/>
      <c r="TQZ20" s="11"/>
      <c r="TRA20" s="11"/>
      <c r="TRB20" s="11"/>
      <c r="TRC20" s="11"/>
      <c r="TRD20" s="11"/>
      <c r="TRE20" s="11"/>
      <c r="TRF20" s="11"/>
      <c r="TRG20" s="11"/>
      <c r="TRH20" s="11"/>
      <c r="TRI20" s="11"/>
      <c r="TRJ20" s="11"/>
      <c r="TRK20" s="11"/>
      <c r="TRL20" s="11"/>
      <c r="TRM20" s="11"/>
      <c r="TRN20" s="11"/>
      <c r="TRO20" s="11"/>
      <c r="TRP20" s="11"/>
      <c r="TRQ20" s="11"/>
      <c r="TRR20" s="11"/>
      <c r="TRS20" s="11"/>
      <c r="TRT20" s="11"/>
      <c r="TRU20" s="11"/>
      <c r="TRV20" s="11"/>
      <c r="TRW20" s="11"/>
      <c r="TRX20" s="11"/>
      <c r="TRY20" s="11"/>
      <c r="TRZ20" s="11"/>
      <c r="TSA20" s="11"/>
      <c r="TSB20" s="11"/>
      <c r="TSC20" s="11"/>
      <c r="TSD20" s="11"/>
      <c r="TSE20" s="11"/>
      <c r="TSF20" s="11"/>
      <c r="TSG20" s="11"/>
      <c r="TSH20" s="11"/>
      <c r="TSI20" s="11"/>
      <c r="TSJ20" s="11"/>
      <c r="TSK20" s="11"/>
      <c r="TSL20" s="11"/>
      <c r="TSM20" s="11"/>
      <c r="TSN20" s="11"/>
      <c r="TSO20" s="11"/>
      <c r="TSP20" s="11"/>
      <c r="TSQ20" s="11"/>
      <c r="TSR20" s="11"/>
      <c r="TSS20" s="11"/>
      <c r="TST20" s="11"/>
      <c r="TSU20" s="11"/>
      <c r="TSV20" s="11"/>
      <c r="TSW20" s="11"/>
      <c r="TSX20" s="11"/>
      <c r="TSY20" s="11"/>
      <c r="TSZ20" s="11"/>
      <c r="TTA20" s="11"/>
      <c r="TTB20" s="11"/>
      <c r="TTC20" s="11"/>
      <c r="TTD20" s="11"/>
      <c r="TTE20" s="11"/>
      <c r="TTF20" s="11"/>
      <c r="TTG20" s="11"/>
      <c r="TTH20" s="11"/>
      <c r="TTI20" s="11"/>
      <c r="TTJ20" s="11"/>
      <c r="TTK20" s="11"/>
      <c r="TTL20" s="11"/>
      <c r="TTM20" s="11"/>
      <c r="TTN20" s="11"/>
      <c r="TTO20" s="11"/>
      <c r="TTP20" s="11"/>
      <c r="TTQ20" s="11"/>
      <c r="TTR20" s="11"/>
      <c r="TTS20" s="11"/>
      <c r="TTT20" s="11"/>
      <c r="TTU20" s="11"/>
      <c r="TTV20" s="11"/>
      <c r="TTW20" s="11"/>
      <c r="TTX20" s="11"/>
      <c r="TTY20" s="11"/>
      <c r="TTZ20" s="11"/>
      <c r="TUA20" s="11"/>
      <c r="TUB20" s="11"/>
      <c r="TUC20" s="11"/>
      <c r="TUD20" s="11"/>
      <c r="TUE20" s="11"/>
      <c r="TUF20" s="11"/>
      <c r="TUG20" s="11"/>
      <c r="TUH20" s="11"/>
      <c r="TUI20" s="11"/>
      <c r="TUJ20" s="11"/>
      <c r="TUK20" s="11"/>
      <c r="TUL20" s="11"/>
      <c r="TUM20" s="11"/>
      <c r="TUN20" s="11"/>
      <c r="TUO20" s="11"/>
      <c r="TUP20" s="11"/>
      <c r="TUQ20" s="11"/>
      <c r="TUR20" s="11"/>
      <c r="TUS20" s="11"/>
      <c r="TUT20" s="11"/>
      <c r="TUU20" s="11"/>
      <c r="TUV20" s="11"/>
      <c r="TUW20" s="11"/>
      <c r="TUX20" s="11"/>
      <c r="TUY20" s="11"/>
      <c r="TUZ20" s="11"/>
      <c r="TVA20" s="11"/>
      <c r="TVB20" s="11"/>
      <c r="TVC20" s="11"/>
      <c r="TVD20" s="11"/>
      <c r="TVE20" s="11"/>
      <c r="TVF20" s="11"/>
      <c r="TVG20" s="11"/>
      <c r="TVH20" s="11"/>
      <c r="TVI20" s="11"/>
      <c r="TVJ20" s="11"/>
      <c r="TVK20" s="11"/>
      <c r="TVL20" s="11"/>
      <c r="TVM20" s="11"/>
      <c r="TVN20" s="11"/>
      <c r="TVO20" s="11"/>
      <c r="TVP20" s="11"/>
      <c r="TVQ20" s="11"/>
      <c r="TVR20" s="11"/>
      <c r="TVS20" s="11"/>
      <c r="TVT20" s="11"/>
      <c r="TVU20" s="11"/>
      <c r="TVV20" s="11"/>
      <c r="TVW20" s="11"/>
      <c r="TVX20" s="11"/>
      <c r="TVY20" s="11"/>
      <c r="TVZ20" s="11"/>
      <c r="TWA20" s="11"/>
      <c r="TWB20" s="11"/>
      <c r="TWC20" s="11"/>
      <c r="TWD20" s="11"/>
      <c r="TWE20" s="11"/>
      <c r="TWF20" s="11"/>
      <c r="TWG20" s="11"/>
      <c r="TWH20" s="11"/>
      <c r="TWI20" s="11"/>
      <c r="TWJ20" s="11"/>
      <c r="TWK20" s="11"/>
      <c r="TWL20" s="11"/>
      <c r="TWM20" s="11"/>
      <c r="TWN20" s="11"/>
      <c r="TWO20" s="11"/>
      <c r="TWP20" s="11"/>
      <c r="TWQ20" s="11"/>
      <c r="TWR20" s="11"/>
      <c r="TWS20" s="11"/>
      <c r="TWT20" s="11"/>
      <c r="TWU20" s="11"/>
      <c r="TWV20" s="11"/>
      <c r="TWW20" s="11"/>
      <c r="TWX20" s="11"/>
      <c r="TWY20" s="11"/>
      <c r="TWZ20" s="11"/>
      <c r="TXA20" s="11"/>
      <c r="TXB20" s="11"/>
      <c r="TXC20" s="11"/>
      <c r="TXD20" s="11"/>
      <c r="TXE20" s="11"/>
      <c r="TXF20" s="11"/>
      <c r="TXG20" s="11"/>
      <c r="TXH20" s="11"/>
      <c r="TXI20" s="11"/>
      <c r="TXJ20" s="11"/>
      <c r="TXK20" s="11"/>
      <c r="TXL20" s="11"/>
      <c r="TXM20" s="11"/>
      <c r="TXN20" s="11"/>
      <c r="TXO20" s="11"/>
      <c r="TXP20" s="11"/>
      <c r="TXQ20" s="11"/>
      <c r="TXR20" s="11"/>
      <c r="TXS20" s="11"/>
      <c r="TXT20" s="11"/>
      <c r="TXU20" s="11"/>
      <c r="TXV20" s="11"/>
      <c r="TXW20" s="11"/>
      <c r="TXX20" s="11"/>
      <c r="TXY20" s="11"/>
      <c r="TXZ20" s="11"/>
      <c r="TYA20" s="11"/>
      <c r="TYB20" s="11"/>
      <c r="TYC20" s="11"/>
      <c r="TYD20" s="11"/>
      <c r="TYE20" s="11"/>
      <c r="TYF20" s="11"/>
      <c r="TYG20" s="11"/>
      <c r="TYH20" s="11"/>
      <c r="TYI20" s="11"/>
      <c r="TYJ20" s="11"/>
      <c r="TYK20" s="11"/>
      <c r="TYL20" s="11"/>
      <c r="TYM20" s="11"/>
      <c r="TYN20" s="11"/>
      <c r="TYO20" s="11"/>
      <c r="TYP20" s="11"/>
      <c r="TYQ20" s="11"/>
      <c r="TYR20" s="11"/>
      <c r="TYS20" s="11"/>
      <c r="TYT20" s="11"/>
      <c r="TYU20" s="11"/>
      <c r="TYV20" s="11"/>
      <c r="TYW20" s="11"/>
      <c r="TYX20" s="11"/>
      <c r="TYY20" s="11"/>
      <c r="TYZ20" s="11"/>
      <c r="TZA20" s="11"/>
      <c r="TZB20" s="11"/>
      <c r="TZC20" s="11"/>
      <c r="TZD20" s="11"/>
      <c r="TZE20" s="11"/>
      <c r="TZF20" s="11"/>
      <c r="TZG20" s="11"/>
      <c r="TZH20" s="11"/>
      <c r="TZI20" s="11"/>
      <c r="TZJ20" s="11"/>
      <c r="TZK20" s="11"/>
      <c r="TZL20" s="11"/>
      <c r="TZM20" s="11"/>
      <c r="TZN20" s="11"/>
      <c r="TZO20" s="11"/>
      <c r="TZP20" s="11"/>
      <c r="TZQ20" s="11"/>
      <c r="TZR20" s="11"/>
      <c r="TZS20" s="11"/>
      <c r="TZT20" s="11"/>
      <c r="TZU20" s="11"/>
      <c r="TZV20" s="11"/>
      <c r="TZW20" s="11"/>
      <c r="TZX20" s="11"/>
      <c r="TZY20" s="11"/>
      <c r="TZZ20" s="11"/>
      <c r="UAA20" s="11"/>
      <c r="UAB20" s="11"/>
      <c r="UAC20" s="11"/>
      <c r="UAD20" s="11"/>
      <c r="UAE20" s="11"/>
      <c r="UAF20" s="11"/>
      <c r="UAG20" s="11"/>
      <c r="UAH20" s="11"/>
      <c r="UAI20" s="11"/>
      <c r="UAJ20" s="11"/>
      <c r="UAK20" s="11"/>
      <c r="UAL20" s="11"/>
      <c r="UAM20" s="11"/>
      <c r="UAN20" s="11"/>
      <c r="UAO20" s="11"/>
      <c r="UAP20" s="11"/>
      <c r="UAQ20" s="11"/>
      <c r="UAR20" s="11"/>
      <c r="UAS20" s="11"/>
      <c r="UAT20" s="11"/>
      <c r="UAU20" s="11"/>
      <c r="UAV20" s="11"/>
      <c r="UAW20" s="11"/>
      <c r="UAX20" s="11"/>
      <c r="UAY20" s="11"/>
      <c r="UAZ20" s="11"/>
      <c r="UBA20" s="11"/>
      <c r="UBB20" s="11"/>
      <c r="UBC20" s="11"/>
      <c r="UBD20" s="11"/>
      <c r="UBE20" s="11"/>
      <c r="UBF20" s="11"/>
      <c r="UBG20" s="11"/>
      <c r="UBH20" s="11"/>
      <c r="UBI20" s="11"/>
      <c r="UBJ20" s="11"/>
      <c r="UBK20" s="11"/>
      <c r="UBL20" s="11"/>
      <c r="UBM20" s="11"/>
      <c r="UBN20" s="11"/>
      <c r="UBO20" s="11"/>
      <c r="UBP20" s="11"/>
      <c r="UBQ20" s="11"/>
      <c r="UBR20" s="11"/>
      <c r="UBS20" s="11"/>
      <c r="UBT20" s="11"/>
      <c r="UBU20" s="11"/>
      <c r="UBV20" s="11"/>
      <c r="UBW20" s="11"/>
      <c r="UBX20" s="11"/>
      <c r="UBY20" s="11"/>
      <c r="UBZ20" s="11"/>
      <c r="UCA20" s="11"/>
      <c r="UCB20" s="11"/>
      <c r="UCC20" s="11"/>
      <c r="UCD20" s="11"/>
      <c r="UCE20" s="11"/>
      <c r="UCF20" s="11"/>
      <c r="UCG20" s="11"/>
      <c r="UCH20" s="11"/>
      <c r="UCI20" s="11"/>
      <c r="UCJ20" s="11"/>
      <c r="UCK20" s="11"/>
      <c r="UCL20" s="11"/>
      <c r="UCM20" s="11"/>
      <c r="UCN20" s="11"/>
      <c r="UCO20" s="11"/>
      <c r="UCP20" s="11"/>
      <c r="UCQ20" s="11"/>
      <c r="UCR20" s="11"/>
      <c r="UCS20" s="11"/>
      <c r="UCT20" s="11"/>
      <c r="UCU20" s="11"/>
      <c r="UCV20" s="11"/>
      <c r="UCW20" s="11"/>
      <c r="UCX20" s="11"/>
      <c r="UCY20" s="11"/>
      <c r="UCZ20" s="11"/>
      <c r="UDA20" s="11"/>
      <c r="UDB20" s="11"/>
      <c r="UDC20" s="11"/>
      <c r="UDD20" s="11"/>
      <c r="UDE20" s="11"/>
      <c r="UDF20" s="11"/>
      <c r="UDG20" s="11"/>
      <c r="UDH20" s="11"/>
      <c r="UDI20" s="11"/>
      <c r="UDJ20" s="11"/>
      <c r="UDK20" s="11"/>
      <c r="UDL20" s="11"/>
      <c r="UDM20" s="11"/>
      <c r="UDN20" s="11"/>
      <c r="UDO20" s="11"/>
      <c r="UDP20" s="11"/>
      <c r="UDQ20" s="11"/>
      <c r="UDR20" s="11"/>
      <c r="UDS20" s="11"/>
      <c r="UDT20" s="11"/>
      <c r="UDU20" s="11"/>
      <c r="UDV20" s="11"/>
      <c r="UDW20" s="11"/>
      <c r="UDX20" s="11"/>
      <c r="UDY20" s="11"/>
      <c r="UDZ20" s="11"/>
      <c r="UEA20" s="11"/>
      <c r="UEB20" s="11"/>
      <c r="UEC20" s="11"/>
      <c r="UED20" s="11"/>
      <c r="UEE20" s="11"/>
      <c r="UEF20" s="11"/>
      <c r="UEG20" s="11"/>
      <c r="UEH20" s="11"/>
      <c r="UEI20" s="11"/>
      <c r="UEJ20" s="11"/>
      <c r="UEK20" s="11"/>
      <c r="UEL20" s="11"/>
      <c r="UEM20" s="11"/>
      <c r="UEN20" s="11"/>
      <c r="UEO20" s="11"/>
      <c r="UEP20" s="11"/>
      <c r="UEQ20" s="11"/>
      <c r="UER20" s="11"/>
      <c r="UES20" s="11"/>
      <c r="UET20" s="11"/>
      <c r="UEU20" s="11"/>
      <c r="UEV20" s="11"/>
      <c r="UEW20" s="11"/>
      <c r="UEX20" s="11"/>
      <c r="UEY20" s="11"/>
      <c r="UEZ20" s="11"/>
      <c r="UFA20" s="11"/>
      <c r="UFB20" s="11"/>
      <c r="UFC20" s="11"/>
      <c r="UFD20" s="11"/>
      <c r="UFE20" s="11"/>
      <c r="UFF20" s="11"/>
      <c r="UFG20" s="11"/>
      <c r="UFH20" s="11"/>
      <c r="UFI20" s="11"/>
      <c r="UFJ20" s="11"/>
      <c r="UFK20" s="11"/>
      <c r="UFL20" s="11"/>
      <c r="UFM20" s="11"/>
      <c r="UFN20" s="11"/>
      <c r="UFO20" s="11"/>
      <c r="UFP20" s="11"/>
      <c r="UFQ20" s="11"/>
      <c r="UFR20" s="11"/>
      <c r="UFS20" s="11"/>
      <c r="UFT20" s="11"/>
      <c r="UFU20" s="11"/>
      <c r="UFV20" s="11"/>
      <c r="UFW20" s="11"/>
      <c r="UFX20" s="11"/>
      <c r="UFY20" s="11"/>
      <c r="UFZ20" s="11"/>
      <c r="UGA20" s="11"/>
      <c r="UGB20" s="11"/>
      <c r="UGC20" s="11"/>
      <c r="UGD20" s="11"/>
      <c r="UGE20" s="11"/>
      <c r="UGF20" s="11"/>
      <c r="UGG20" s="11"/>
      <c r="UGH20" s="11"/>
      <c r="UGI20" s="11"/>
      <c r="UGJ20" s="11"/>
      <c r="UGK20" s="11"/>
      <c r="UGL20" s="11"/>
      <c r="UGM20" s="11"/>
      <c r="UGN20" s="11"/>
      <c r="UGO20" s="11"/>
      <c r="UGP20" s="11"/>
      <c r="UGQ20" s="11"/>
      <c r="UGR20" s="11"/>
      <c r="UGS20" s="11"/>
      <c r="UGT20" s="11"/>
      <c r="UGU20" s="11"/>
      <c r="UGV20" s="11"/>
      <c r="UGW20" s="11"/>
      <c r="UGX20" s="11"/>
      <c r="UGY20" s="11"/>
      <c r="UGZ20" s="11"/>
      <c r="UHA20" s="11"/>
      <c r="UHB20" s="11"/>
      <c r="UHC20" s="11"/>
      <c r="UHD20" s="11"/>
      <c r="UHE20" s="11"/>
      <c r="UHF20" s="11"/>
      <c r="UHG20" s="11"/>
      <c r="UHH20" s="11"/>
      <c r="UHI20" s="11"/>
      <c r="UHJ20" s="11"/>
      <c r="UHK20" s="11"/>
      <c r="UHL20" s="11"/>
      <c r="UHM20" s="11"/>
      <c r="UHN20" s="11"/>
      <c r="UHO20" s="11"/>
      <c r="UHP20" s="11"/>
      <c r="UHQ20" s="11"/>
      <c r="UHR20" s="11"/>
      <c r="UHS20" s="11"/>
      <c r="UHT20" s="11"/>
      <c r="UHU20" s="11"/>
      <c r="UHV20" s="11"/>
      <c r="UHW20" s="11"/>
      <c r="UHX20" s="11"/>
      <c r="UHY20" s="11"/>
      <c r="UHZ20" s="11"/>
      <c r="UIA20" s="11"/>
      <c r="UIB20" s="11"/>
      <c r="UIC20" s="11"/>
      <c r="UID20" s="11"/>
      <c r="UIE20" s="11"/>
      <c r="UIF20" s="11"/>
      <c r="UIG20" s="11"/>
      <c r="UIH20" s="11"/>
      <c r="UII20" s="11"/>
      <c r="UIJ20" s="11"/>
      <c r="UIK20" s="11"/>
      <c r="UIL20" s="11"/>
      <c r="UIM20" s="11"/>
      <c r="UIN20" s="11"/>
      <c r="UIO20" s="11"/>
      <c r="UIP20" s="11"/>
      <c r="UIQ20" s="11"/>
      <c r="UIR20" s="11"/>
      <c r="UIS20" s="11"/>
      <c r="UIT20" s="11"/>
      <c r="UIU20" s="11"/>
      <c r="UIV20" s="11"/>
      <c r="UIW20" s="11"/>
      <c r="UIX20" s="11"/>
      <c r="UIY20" s="11"/>
      <c r="UIZ20" s="11"/>
      <c r="UJA20" s="11"/>
      <c r="UJB20" s="11"/>
      <c r="UJC20" s="11"/>
      <c r="UJD20" s="11"/>
      <c r="UJE20" s="11"/>
      <c r="UJF20" s="11"/>
      <c r="UJG20" s="11"/>
      <c r="UJH20" s="11"/>
      <c r="UJI20" s="11"/>
      <c r="UJJ20" s="11"/>
      <c r="UJK20" s="11"/>
      <c r="UJL20" s="11"/>
      <c r="UJM20" s="11"/>
      <c r="UJN20" s="11"/>
      <c r="UJO20" s="11"/>
      <c r="UJP20" s="11"/>
      <c r="UJQ20" s="11"/>
      <c r="UJR20" s="11"/>
      <c r="UJS20" s="11"/>
      <c r="UJT20" s="11"/>
      <c r="UJU20" s="11"/>
      <c r="UJV20" s="11"/>
      <c r="UJW20" s="11"/>
      <c r="UJX20" s="11"/>
      <c r="UJY20" s="11"/>
      <c r="UJZ20" s="11"/>
      <c r="UKA20" s="11"/>
      <c r="UKB20" s="11"/>
      <c r="UKC20" s="11"/>
      <c r="UKD20" s="11"/>
      <c r="UKE20" s="11"/>
      <c r="UKF20" s="11"/>
      <c r="UKG20" s="11"/>
      <c r="UKH20" s="11"/>
      <c r="UKI20" s="11"/>
      <c r="UKJ20" s="11"/>
      <c r="UKK20" s="11"/>
      <c r="UKL20" s="11"/>
      <c r="UKM20" s="11"/>
      <c r="UKN20" s="11"/>
      <c r="UKO20" s="11"/>
      <c r="UKP20" s="11"/>
      <c r="UKQ20" s="11"/>
      <c r="UKR20" s="11"/>
      <c r="UKS20" s="11"/>
      <c r="UKT20" s="11"/>
      <c r="UKU20" s="11"/>
      <c r="UKV20" s="11"/>
      <c r="UKW20" s="11"/>
      <c r="UKX20" s="11"/>
      <c r="UKY20" s="11"/>
      <c r="UKZ20" s="11"/>
      <c r="ULA20" s="11"/>
      <c r="ULB20" s="11"/>
      <c r="ULC20" s="11"/>
      <c r="ULD20" s="11"/>
      <c r="ULE20" s="11"/>
      <c r="ULF20" s="11"/>
      <c r="ULG20" s="11"/>
      <c r="ULH20" s="11"/>
      <c r="ULI20" s="11"/>
      <c r="ULJ20" s="11"/>
      <c r="ULK20" s="11"/>
      <c r="ULL20" s="11"/>
      <c r="ULM20" s="11"/>
      <c r="ULN20" s="11"/>
      <c r="ULO20" s="11"/>
      <c r="ULP20" s="11"/>
      <c r="ULQ20" s="11"/>
      <c r="ULR20" s="11"/>
      <c r="ULS20" s="11"/>
      <c r="ULT20" s="11"/>
      <c r="ULU20" s="11"/>
      <c r="ULV20" s="11"/>
      <c r="ULW20" s="11"/>
      <c r="ULX20" s="11"/>
      <c r="ULY20" s="11"/>
      <c r="ULZ20" s="11"/>
      <c r="UMA20" s="11"/>
      <c r="UMB20" s="11"/>
      <c r="UMC20" s="11"/>
      <c r="UMD20" s="11"/>
      <c r="UME20" s="11"/>
      <c r="UMF20" s="11"/>
      <c r="UMG20" s="11"/>
      <c r="UMH20" s="11"/>
      <c r="UMI20" s="11"/>
      <c r="UMJ20" s="11"/>
      <c r="UMK20" s="11"/>
      <c r="UML20" s="11"/>
      <c r="UMM20" s="11"/>
      <c r="UMN20" s="11"/>
      <c r="UMO20" s="11"/>
      <c r="UMP20" s="11"/>
      <c r="UMQ20" s="11"/>
      <c r="UMR20" s="11"/>
      <c r="UMS20" s="11"/>
      <c r="UMT20" s="11"/>
      <c r="UMU20" s="11"/>
      <c r="UMV20" s="11"/>
      <c r="UMW20" s="11"/>
      <c r="UMX20" s="11"/>
      <c r="UMY20" s="11"/>
      <c r="UMZ20" s="11"/>
      <c r="UNA20" s="11"/>
      <c r="UNB20" s="11"/>
      <c r="UNC20" s="11"/>
      <c r="UND20" s="11"/>
      <c r="UNE20" s="11"/>
      <c r="UNF20" s="11"/>
      <c r="UNG20" s="11"/>
      <c r="UNH20" s="11"/>
      <c r="UNI20" s="11"/>
      <c r="UNJ20" s="11"/>
      <c r="UNK20" s="11"/>
      <c r="UNL20" s="11"/>
      <c r="UNM20" s="11"/>
      <c r="UNN20" s="11"/>
      <c r="UNO20" s="11"/>
      <c r="UNP20" s="11"/>
      <c r="UNQ20" s="11"/>
      <c r="UNR20" s="11"/>
      <c r="UNS20" s="11"/>
      <c r="UNT20" s="11"/>
      <c r="UNU20" s="11"/>
      <c r="UNV20" s="11"/>
      <c r="UNW20" s="11"/>
      <c r="UNX20" s="11"/>
      <c r="UNY20" s="11"/>
      <c r="UNZ20" s="11"/>
      <c r="UOA20" s="11"/>
      <c r="UOB20" s="11"/>
      <c r="UOC20" s="11"/>
      <c r="UOD20" s="11"/>
      <c r="UOE20" s="11"/>
      <c r="UOF20" s="11"/>
      <c r="UOG20" s="11"/>
      <c r="UOH20" s="11"/>
      <c r="UOI20" s="11"/>
      <c r="UOJ20" s="11"/>
      <c r="UOK20" s="11"/>
      <c r="UOL20" s="11"/>
      <c r="UOM20" s="11"/>
      <c r="UON20" s="11"/>
      <c r="UOO20" s="11"/>
      <c r="UOP20" s="11"/>
      <c r="UOQ20" s="11"/>
      <c r="UOR20" s="11"/>
      <c r="UOS20" s="11"/>
      <c r="UOT20" s="11"/>
      <c r="UOU20" s="11"/>
      <c r="UOV20" s="11"/>
      <c r="UOW20" s="11"/>
      <c r="UOX20" s="11"/>
      <c r="UOY20" s="11"/>
      <c r="UOZ20" s="11"/>
      <c r="UPA20" s="11"/>
      <c r="UPB20" s="11"/>
      <c r="UPC20" s="11"/>
      <c r="UPD20" s="11"/>
      <c r="UPE20" s="11"/>
      <c r="UPF20" s="11"/>
      <c r="UPG20" s="11"/>
      <c r="UPH20" s="11"/>
      <c r="UPI20" s="11"/>
      <c r="UPJ20" s="11"/>
      <c r="UPK20" s="11"/>
      <c r="UPL20" s="11"/>
      <c r="UPM20" s="11"/>
      <c r="UPN20" s="11"/>
      <c r="UPO20" s="11"/>
      <c r="UPP20" s="11"/>
      <c r="UPQ20" s="11"/>
      <c r="UPR20" s="11"/>
      <c r="UPS20" s="11"/>
      <c r="UPT20" s="11"/>
      <c r="UPU20" s="11"/>
      <c r="UPV20" s="11"/>
      <c r="UPW20" s="11"/>
      <c r="UPX20" s="11"/>
      <c r="UPY20" s="11"/>
      <c r="UPZ20" s="11"/>
      <c r="UQA20" s="11"/>
      <c r="UQB20" s="11"/>
      <c r="UQC20" s="11"/>
      <c r="UQD20" s="11"/>
      <c r="UQE20" s="11"/>
      <c r="UQF20" s="11"/>
      <c r="UQG20" s="11"/>
      <c r="UQH20" s="11"/>
      <c r="UQI20" s="11"/>
      <c r="UQJ20" s="11"/>
      <c r="UQK20" s="11"/>
      <c r="UQL20" s="11"/>
      <c r="UQM20" s="11"/>
      <c r="UQN20" s="11"/>
      <c r="UQO20" s="11"/>
      <c r="UQP20" s="11"/>
      <c r="UQQ20" s="11"/>
      <c r="UQR20" s="11"/>
      <c r="UQS20" s="11"/>
      <c r="UQT20" s="11"/>
      <c r="UQU20" s="11"/>
      <c r="UQV20" s="11"/>
      <c r="UQW20" s="11"/>
      <c r="UQX20" s="11"/>
      <c r="UQY20" s="11"/>
      <c r="UQZ20" s="11"/>
      <c r="URA20" s="11"/>
      <c r="URB20" s="11"/>
      <c r="URC20" s="11"/>
      <c r="URD20" s="11"/>
      <c r="URE20" s="11"/>
      <c r="URF20" s="11"/>
      <c r="URG20" s="11"/>
      <c r="URH20" s="11"/>
      <c r="URI20" s="11"/>
      <c r="URJ20" s="11"/>
      <c r="URK20" s="11"/>
      <c r="URL20" s="11"/>
      <c r="URM20" s="11"/>
      <c r="URN20" s="11"/>
      <c r="URO20" s="11"/>
      <c r="URP20" s="11"/>
      <c r="URQ20" s="11"/>
      <c r="URR20" s="11"/>
      <c r="URS20" s="11"/>
      <c r="URT20" s="11"/>
      <c r="URU20" s="11"/>
      <c r="URV20" s="11"/>
      <c r="URW20" s="11"/>
      <c r="URX20" s="11"/>
      <c r="URY20" s="11"/>
      <c r="URZ20" s="11"/>
      <c r="USA20" s="11"/>
      <c r="USB20" s="11"/>
      <c r="USC20" s="11"/>
      <c r="USD20" s="11"/>
      <c r="USE20" s="11"/>
      <c r="USF20" s="11"/>
      <c r="USG20" s="11"/>
      <c r="USH20" s="11"/>
      <c r="USI20" s="11"/>
      <c r="USJ20" s="11"/>
      <c r="USK20" s="11"/>
      <c r="USL20" s="11"/>
      <c r="USM20" s="11"/>
      <c r="USN20" s="11"/>
      <c r="USO20" s="11"/>
      <c r="USP20" s="11"/>
      <c r="USQ20" s="11"/>
      <c r="USR20" s="11"/>
      <c r="USS20" s="11"/>
      <c r="UST20" s="11"/>
      <c r="USU20" s="11"/>
      <c r="USV20" s="11"/>
      <c r="USW20" s="11"/>
      <c r="USX20" s="11"/>
      <c r="USY20" s="11"/>
      <c r="USZ20" s="11"/>
      <c r="UTA20" s="11"/>
      <c r="UTB20" s="11"/>
      <c r="UTC20" s="11"/>
      <c r="UTD20" s="11"/>
      <c r="UTE20" s="11"/>
      <c r="UTF20" s="11"/>
      <c r="UTG20" s="11"/>
      <c r="UTH20" s="11"/>
      <c r="UTI20" s="11"/>
      <c r="UTJ20" s="11"/>
      <c r="UTK20" s="11"/>
      <c r="UTL20" s="11"/>
      <c r="UTM20" s="11"/>
      <c r="UTN20" s="11"/>
      <c r="UTO20" s="11"/>
      <c r="UTP20" s="11"/>
      <c r="UTQ20" s="11"/>
      <c r="UTR20" s="11"/>
      <c r="UTS20" s="11"/>
      <c r="UTT20" s="11"/>
      <c r="UTU20" s="11"/>
      <c r="UTV20" s="11"/>
      <c r="UTW20" s="11"/>
      <c r="UTX20" s="11"/>
      <c r="UTY20" s="11"/>
      <c r="UTZ20" s="11"/>
      <c r="UUA20" s="11"/>
      <c r="UUB20" s="11"/>
      <c r="UUC20" s="11"/>
      <c r="UUD20" s="11"/>
      <c r="UUE20" s="11"/>
      <c r="UUF20" s="11"/>
      <c r="UUG20" s="11"/>
      <c r="UUH20" s="11"/>
      <c r="UUI20" s="11"/>
      <c r="UUJ20" s="11"/>
      <c r="UUK20" s="11"/>
      <c r="UUL20" s="11"/>
      <c r="UUM20" s="11"/>
      <c r="UUN20" s="11"/>
      <c r="UUO20" s="11"/>
      <c r="UUP20" s="11"/>
      <c r="UUQ20" s="11"/>
      <c r="UUR20" s="11"/>
      <c r="UUS20" s="11"/>
      <c r="UUT20" s="11"/>
      <c r="UUU20" s="11"/>
      <c r="UUV20" s="11"/>
      <c r="UUW20" s="11"/>
      <c r="UUX20" s="11"/>
      <c r="UUY20" s="11"/>
      <c r="UUZ20" s="11"/>
      <c r="UVA20" s="11"/>
      <c r="UVB20" s="11"/>
      <c r="UVC20" s="11"/>
      <c r="UVD20" s="11"/>
      <c r="UVE20" s="11"/>
      <c r="UVF20" s="11"/>
      <c r="UVG20" s="11"/>
      <c r="UVH20" s="11"/>
      <c r="UVI20" s="11"/>
      <c r="UVJ20" s="11"/>
      <c r="UVK20" s="11"/>
      <c r="UVL20" s="11"/>
      <c r="UVM20" s="11"/>
      <c r="UVN20" s="11"/>
      <c r="UVO20" s="11"/>
      <c r="UVP20" s="11"/>
      <c r="UVQ20" s="11"/>
      <c r="UVR20" s="11"/>
      <c r="UVS20" s="11"/>
      <c r="UVT20" s="11"/>
      <c r="UVU20" s="11"/>
      <c r="UVV20" s="11"/>
      <c r="UVW20" s="11"/>
      <c r="UVX20" s="11"/>
      <c r="UVY20" s="11"/>
      <c r="UVZ20" s="11"/>
      <c r="UWA20" s="11"/>
      <c r="UWB20" s="11"/>
      <c r="UWC20" s="11"/>
      <c r="UWD20" s="11"/>
      <c r="UWE20" s="11"/>
      <c r="UWF20" s="11"/>
      <c r="UWG20" s="11"/>
      <c r="UWH20" s="11"/>
      <c r="UWI20" s="11"/>
      <c r="UWJ20" s="11"/>
      <c r="UWK20" s="11"/>
      <c r="UWL20" s="11"/>
      <c r="UWM20" s="11"/>
      <c r="UWN20" s="11"/>
      <c r="UWO20" s="11"/>
      <c r="UWP20" s="11"/>
      <c r="UWQ20" s="11"/>
      <c r="UWR20" s="11"/>
      <c r="UWS20" s="11"/>
      <c r="UWT20" s="11"/>
      <c r="UWU20" s="11"/>
      <c r="UWV20" s="11"/>
      <c r="UWW20" s="11"/>
      <c r="UWX20" s="11"/>
      <c r="UWY20" s="11"/>
      <c r="UWZ20" s="11"/>
      <c r="UXA20" s="11"/>
      <c r="UXB20" s="11"/>
      <c r="UXC20" s="11"/>
      <c r="UXD20" s="11"/>
      <c r="UXE20" s="11"/>
      <c r="UXF20" s="11"/>
      <c r="UXG20" s="11"/>
      <c r="UXH20" s="11"/>
      <c r="UXI20" s="11"/>
      <c r="UXJ20" s="11"/>
      <c r="UXK20" s="11"/>
      <c r="UXL20" s="11"/>
      <c r="UXM20" s="11"/>
      <c r="UXN20" s="11"/>
      <c r="UXO20" s="11"/>
      <c r="UXP20" s="11"/>
      <c r="UXQ20" s="11"/>
      <c r="UXR20" s="11"/>
      <c r="UXS20" s="11"/>
      <c r="UXT20" s="11"/>
      <c r="UXU20" s="11"/>
      <c r="UXV20" s="11"/>
      <c r="UXW20" s="11"/>
      <c r="UXX20" s="11"/>
      <c r="UXY20" s="11"/>
      <c r="UXZ20" s="11"/>
      <c r="UYA20" s="11"/>
      <c r="UYB20" s="11"/>
      <c r="UYC20" s="11"/>
      <c r="UYD20" s="11"/>
      <c r="UYE20" s="11"/>
      <c r="UYF20" s="11"/>
      <c r="UYG20" s="11"/>
      <c r="UYH20" s="11"/>
      <c r="UYI20" s="11"/>
      <c r="UYJ20" s="11"/>
      <c r="UYK20" s="11"/>
      <c r="UYL20" s="11"/>
      <c r="UYM20" s="11"/>
      <c r="UYN20" s="11"/>
      <c r="UYO20" s="11"/>
      <c r="UYP20" s="11"/>
      <c r="UYQ20" s="11"/>
      <c r="UYR20" s="11"/>
      <c r="UYS20" s="11"/>
      <c r="UYT20" s="11"/>
      <c r="UYU20" s="11"/>
      <c r="UYV20" s="11"/>
      <c r="UYW20" s="11"/>
      <c r="UYX20" s="11"/>
      <c r="UYY20" s="11"/>
      <c r="UYZ20" s="11"/>
      <c r="UZA20" s="11"/>
      <c r="UZB20" s="11"/>
      <c r="UZC20" s="11"/>
      <c r="UZD20" s="11"/>
      <c r="UZE20" s="11"/>
      <c r="UZF20" s="11"/>
      <c r="UZG20" s="11"/>
      <c r="UZH20" s="11"/>
      <c r="UZI20" s="11"/>
      <c r="UZJ20" s="11"/>
      <c r="UZK20" s="11"/>
      <c r="UZL20" s="11"/>
      <c r="UZM20" s="11"/>
      <c r="UZN20" s="11"/>
      <c r="UZO20" s="11"/>
      <c r="UZP20" s="11"/>
      <c r="UZQ20" s="11"/>
      <c r="UZR20" s="11"/>
      <c r="UZS20" s="11"/>
      <c r="UZT20" s="11"/>
      <c r="UZU20" s="11"/>
      <c r="UZV20" s="11"/>
      <c r="UZW20" s="11"/>
      <c r="UZX20" s="11"/>
      <c r="UZY20" s="11"/>
      <c r="UZZ20" s="11"/>
      <c r="VAA20" s="11"/>
      <c r="VAB20" s="11"/>
      <c r="VAC20" s="11"/>
      <c r="VAD20" s="11"/>
      <c r="VAE20" s="11"/>
      <c r="VAF20" s="11"/>
      <c r="VAG20" s="11"/>
      <c r="VAH20" s="11"/>
      <c r="VAI20" s="11"/>
      <c r="VAJ20" s="11"/>
      <c r="VAK20" s="11"/>
      <c r="VAL20" s="11"/>
      <c r="VAM20" s="11"/>
      <c r="VAN20" s="11"/>
      <c r="VAO20" s="11"/>
      <c r="VAP20" s="11"/>
      <c r="VAQ20" s="11"/>
      <c r="VAR20" s="11"/>
      <c r="VAS20" s="11"/>
      <c r="VAT20" s="11"/>
      <c r="VAU20" s="11"/>
      <c r="VAV20" s="11"/>
      <c r="VAW20" s="11"/>
      <c r="VAX20" s="11"/>
      <c r="VAY20" s="11"/>
      <c r="VAZ20" s="11"/>
      <c r="VBA20" s="11"/>
      <c r="VBB20" s="11"/>
      <c r="VBC20" s="11"/>
      <c r="VBD20" s="11"/>
      <c r="VBE20" s="11"/>
      <c r="VBF20" s="11"/>
      <c r="VBG20" s="11"/>
      <c r="VBH20" s="11"/>
      <c r="VBI20" s="11"/>
      <c r="VBJ20" s="11"/>
      <c r="VBK20" s="11"/>
      <c r="VBL20" s="11"/>
      <c r="VBM20" s="11"/>
      <c r="VBN20" s="11"/>
      <c r="VBO20" s="11"/>
      <c r="VBP20" s="11"/>
      <c r="VBQ20" s="11"/>
      <c r="VBR20" s="11"/>
      <c r="VBS20" s="11"/>
      <c r="VBT20" s="11"/>
      <c r="VBU20" s="11"/>
      <c r="VBV20" s="11"/>
      <c r="VBW20" s="11"/>
      <c r="VBX20" s="11"/>
      <c r="VBY20" s="11"/>
      <c r="VBZ20" s="11"/>
      <c r="VCA20" s="11"/>
      <c r="VCB20" s="11"/>
      <c r="VCC20" s="11"/>
      <c r="VCD20" s="11"/>
      <c r="VCE20" s="11"/>
      <c r="VCF20" s="11"/>
      <c r="VCG20" s="11"/>
      <c r="VCH20" s="11"/>
      <c r="VCI20" s="11"/>
      <c r="VCJ20" s="11"/>
      <c r="VCK20" s="11"/>
      <c r="VCL20" s="11"/>
      <c r="VCM20" s="11"/>
      <c r="VCN20" s="11"/>
      <c r="VCO20" s="11"/>
      <c r="VCP20" s="11"/>
      <c r="VCQ20" s="11"/>
      <c r="VCR20" s="11"/>
      <c r="VCS20" s="11"/>
      <c r="VCT20" s="11"/>
      <c r="VCU20" s="11"/>
      <c r="VCV20" s="11"/>
      <c r="VCW20" s="11"/>
      <c r="VCX20" s="11"/>
      <c r="VCY20" s="11"/>
      <c r="VCZ20" s="11"/>
      <c r="VDA20" s="11"/>
      <c r="VDB20" s="11"/>
      <c r="VDC20" s="11"/>
      <c r="VDD20" s="11"/>
      <c r="VDE20" s="11"/>
      <c r="VDF20" s="11"/>
      <c r="VDG20" s="11"/>
      <c r="VDH20" s="11"/>
      <c r="VDI20" s="11"/>
      <c r="VDJ20" s="11"/>
      <c r="VDK20" s="11"/>
      <c r="VDL20" s="11"/>
      <c r="VDM20" s="11"/>
      <c r="VDN20" s="11"/>
      <c r="VDO20" s="11"/>
      <c r="VDP20" s="11"/>
      <c r="VDQ20" s="11"/>
      <c r="VDR20" s="11"/>
      <c r="VDS20" s="11"/>
      <c r="VDT20" s="11"/>
      <c r="VDU20" s="11"/>
      <c r="VDV20" s="11"/>
      <c r="VDW20" s="11"/>
      <c r="VDX20" s="11"/>
      <c r="VDY20" s="11"/>
      <c r="VDZ20" s="11"/>
      <c r="VEA20" s="11"/>
      <c r="VEB20" s="11"/>
      <c r="VEC20" s="11"/>
      <c r="VED20" s="11"/>
      <c r="VEE20" s="11"/>
      <c r="VEF20" s="11"/>
      <c r="VEG20" s="11"/>
      <c r="VEH20" s="11"/>
      <c r="VEI20" s="11"/>
      <c r="VEJ20" s="11"/>
      <c r="VEK20" s="11"/>
      <c r="VEL20" s="11"/>
      <c r="VEM20" s="11"/>
      <c r="VEN20" s="11"/>
      <c r="VEO20" s="11"/>
      <c r="VEP20" s="11"/>
      <c r="VEQ20" s="11"/>
      <c r="VER20" s="11"/>
      <c r="VES20" s="11"/>
      <c r="VET20" s="11"/>
      <c r="VEU20" s="11"/>
      <c r="VEV20" s="11"/>
      <c r="VEW20" s="11"/>
      <c r="VEX20" s="11"/>
      <c r="VEY20" s="11"/>
      <c r="VEZ20" s="11"/>
      <c r="VFA20" s="11"/>
      <c r="VFB20" s="11"/>
      <c r="VFC20" s="11"/>
      <c r="VFD20" s="11"/>
      <c r="VFE20" s="11"/>
      <c r="VFF20" s="11"/>
      <c r="VFG20" s="11"/>
      <c r="VFH20" s="11"/>
      <c r="VFI20" s="11"/>
      <c r="VFJ20" s="11"/>
      <c r="VFK20" s="11"/>
      <c r="VFL20" s="11"/>
      <c r="VFM20" s="11"/>
      <c r="VFN20" s="11"/>
      <c r="VFO20" s="11"/>
      <c r="VFP20" s="11"/>
      <c r="VFQ20" s="11"/>
      <c r="VFR20" s="11"/>
      <c r="VFS20" s="11"/>
      <c r="VFT20" s="11"/>
      <c r="VFU20" s="11"/>
      <c r="VFV20" s="11"/>
      <c r="VFW20" s="11"/>
      <c r="VFX20" s="11"/>
      <c r="VFY20" s="11"/>
      <c r="VFZ20" s="11"/>
      <c r="VGA20" s="11"/>
      <c r="VGB20" s="11"/>
      <c r="VGC20" s="11"/>
      <c r="VGD20" s="11"/>
      <c r="VGE20" s="11"/>
      <c r="VGF20" s="11"/>
      <c r="VGG20" s="11"/>
      <c r="VGH20" s="11"/>
      <c r="VGI20" s="11"/>
      <c r="VGJ20" s="11"/>
      <c r="VGK20" s="11"/>
      <c r="VGL20" s="11"/>
      <c r="VGM20" s="11"/>
      <c r="VGN20" s="11"/>
      <c r="VGO20" s="11"/>
      <c r="VGP20" s="11"/>
      <c r="VGQ20" s="11"/>
      <c r="VGR20" s="11"/>
      <c r="VGS20" s="11"/>
      <c r="VGT20" s="11"/>
      <c r="VGU20" s="11"/>
      <c r="VGV20" s="11"/>
      <c r="VGW20" s="11"/>
      <c r="VGX20" s="11"/>
      <c r="VGY20" s="11"/>
      <c r="VGZ20" s="11"/>
      <c r="VHA20" s="11"/>
      <c r="VHB20" s="11"/>
      <c r="VHC20" s="11"/>
      <c r="VHD20" s="11"/>
      <c r="VHE20" s="11"/>
      <c r="VHF20" s="11"/>
      <c r="VHG20" s="11"/>
      <c r="VHH20" s="11"/>
      <c r="VHI20" s="11"/>
      <c r="VHJ20" s="11"/>
      <c r="VHK20" s="11"/>
      <c r="VHL20" s="11"/>
      <c r="VHM20" s="11"/>
      <c r="VHN20" s="11"/>
      <c r="VHO20" s="11"/>
      <c r="VHP20" s="11"/>
      <c r="VHQ20" s="11"/>
      <c r="VHR20" s="11"/>
      <c r="VHS20" s="11"/>
      <c r="VHT20" s="11"/>
      <c r="VHU20" s="11"/>
      <c r="VHV20" s="11"/>
      <c r="VHW20" s="11"/>
      <c r="VHX20" s="11"/>
      <c r="VHY20" s="11"/>
      <c r="VHZ20" s="11"/>
      <c r="VIA20" s="11"/>
      <c r="VIB20" s="11"/>
      <c r="VIC20" s="11"/>
      <c r="VID20" s="11"/>
      <c r="VIE20" s="11"/>
      <c r="VIF20" s="11"/>
      <c r="VIG20" s="11"/>
      <c r="VIH20" s="11"/>
      <c r="VII20" s="11"/>
      <c r="VIJ20" s="11"/>
      <c r="VIK20" s="11"/>
      <c r="VIL20" s="11"/>
      <c r="VIM20" s="11"/>
      <c r="VIN20" s="11"/>
      <c r="VIO20" s="11"/>
      <c r="VIP20" s="11"/>
      <c r="VIQ20" s="11"/>
      <c r="VIR20" s="11"/>
      <c r="VIS20" s="11"/>
      <c r="VIT20" s="11"/>
      <c r="VIU20" s="11"/>
      <c r="VIV20" s="11"/>
      <c r="VIW20" s="11"/>
      <c r="VIX20" s="11"/>
      <c r="VIY20" s="11"/>
      <c r="VIZ20" s="11"/>
      <c r="VJA20" s="11"/>
      <c r="VJB20" s="11"/>
      <c r="VJC20" s="11"/>
      <c r="VJD20" s="11"/>
      <c r="VJE20" s="11"/>
      <c r="VJF20" s="11"/>
      <c r="VJG20" s="11"/>
      <c r="VJH20" s="11"/>
      <c r="VJI20" s="11"/>
      <c r="VJJ20" s="11"/>
      <c r="VJK20" s="11"/>
      <c r="VJL20" s="11"/>
      <c r="VJM20" s="11"/>
      <c r="VJN20" s="11"/>
      <c r="VJO20" s="11"/>
      <c r="VJP20" s="11"/>
      <c r="VJQ20" s="11"/>
      <c r="VJR20" s="11"/>
      <c r="VJS20" s="11"/>
      <c r="VJT20" s="11"/>
      <c r="VJU20" s="11"/>
      <c r="VJV20" s="11"/>
      <c r="VJW20" s="11"/>
      <c r="VJX20" s="11"/>
      <c r="VJY20" s="11"/>
      <c r="VJZ20" s="11"/>
      <c r="VKA20" s="11"/>
      <c r="VKB20" s="11"/>
      <c r="VKC20" s="11"/>
      <c r="VKD20" s="11"/>
      <c r="VKE20" s="11"/>
      <c r="VKF20" s="11"/>
      <c r="VKG20" s="11"/>
      <c r="VKH20" s="11"/>
      <c r="VKI20" s="11"/>
      <c r="VKJ20" s="11"/>
      <c r="VKK20" s="11"/>
      <c r="VKL20" s="11"/>
      <c r="VKM20" s="11"/>
      <c r="VKN20" s="11"/>
      <c r="VKO20" s="11"/>
      <c r="VKP20" s="11"/>
      <c r="VKQ20" s="11"/>
      <c r="VKR20" s="11"/>
      <c r="VKS20" s="11"/>
      <c r="VKT20" s="11"/>
      <c r="VKU20" s="11"/>
      <c r="VKV20" s="11"/>
      <c r="VKW20" s="11"/>
      <c r="VKX20" s="11"/>
      <c r="VKY20" s="11"/>
      <c r="VKZ20" s="11"/>
      <c r="VLA20" s="11"/>
      <c r="VLB20" s="11"/>
      <c r="VLC20" s="11"/>
      <c r="VLD20" s="11"/>
      <c r="VLE20" s="11"/>
      <c r="VLF20" s="11"/>
      <c r="VLG20" s="11"/>
      <c r="VLH20" s="11"/>
      <c r="VLI20" s="11"/>
      <c r="VLJ20" s="11"/>
      <c r="VLK20" s="11"/>
      <c r="VLL20" s="11"/>
      <c r="VLM20" s="11"/>
      <c r="VLN20" s="11"/>
      <c r="VLO20" s="11"/>
      <c r="VLP20" s="11"/>
      <c r="VLQ20" s="11"/>
      <c r="VLR20" s="11"/>
      <c r="VLS20" s="11"/>
      <c r="VLT20" s="11"/>
      <c r="VLU20" s="11"/>
      <c r="VLV20" s="11"/>
      <c r="VLW20" s="11"/>
      <c r="VLX20" s="11"/>
      <c r="VLY20" s="11"/>
      <c r="VLZ20" s="11"/>
      <c r="VMA20" s="11"/>
      <c r="VMB20" s="11"/>
      <c r="VMC20" s="11"/>
      <c r="VMD20" s="11"/>
      <c r="VME20" s="11"/>
      <c r="VMF20" s="11"/>
      <c r="VMG20" s="11"/>
      <c r="VMH20" s="11"/>
      <c r="VMI20" s="11"/>
      <c r="VMJ20" s="11"/>
      <c r="VMK20" s="11"/>
      <c r="VML20" s="11"/>
      <c r="VMM20" s="11"/>
      <c r="VMN20" s="11"/>
      <c r="VMO20" s="11"/>
      <c r="VMP20" s="11"/>
      <c r="VMQ20" s="11"/>
      <c r="VMR20" s="11"/>
      <c r="VMS20" s="11"/>
      <c r="VMT20" s="11"/>
      <c r="VMU20" s="11"/>
      <c r="VMV20" s="11"/>
      <c r="VMW20" s="11"/>
      <c r="VMX20" s="11"/>
      <c r="VMY20" s="11"/>
      <c r="VMZ20" s="11"/>
      <c r="VNA20" s="11"/>
      <c r="VNB20" s="11"/>
      <c r="VNC20" s="11"/>
      <c r="VND20" s="11"/>
      <c r="VNE20" s="11"/>
      <c r="VNF20" s="11"/>
      <c r="VNG20" s="11"/>
      <c r="VNH20" s="11"/>
      <c r="VNI20" s="11"/>
      <c r="VNJ20" s="11"/>
      <c r="VNK20" s="11"/>
      <c r="VNL20" s="11"/>
      <c r="VNM20" s="11"/>
      <c r="VNN20" s="11"/>
      <c r="VNO20" s="11"/>
      <c r="VNP20" s="11"/>
      <c r="VNQ20" s="11"/>
      <c r="VNR20" s="11"/>
      <c r="VNS20" s="11"/>
      <c r="VNT20" s="11"/>
      <c r="VNU20" s="11"/>
      <c r="VNV20" s="11"/>
      <c r="VNW20" s="11"/>
      <c r="VNX20" s="11"/>
      <c r="VNY20" s="11"/>
      <c r="VNZ20" s="11"/>
      <c r="VOA20" s="11"/>
      <c r="VOB20" s="11"/>
      <c r="VOC20" s="11"/>
      <c r="VOD20" s="11"/>
      <c r="VOE20" s="11"/>
      <c r="VOF20" s="11"/>
      <c r="VOG20" s="11"/>
      <c r="VOH20" s="11"/>
      <c r="VOI20" s="11"/>
      <c r="VOJ20" s="11"/>
      <c r="VOK20" s="11"/>
      <c r="VOL20" s="11"/>
      <c r="VOM20" s="11"/>
      <c r="VON20" s="11"/>
      <c r="VOO20" s="11"/>
      <c r="VOP20" s="11"/>
      <c r="VOQ20" s="11"/>
      <c r="VOR20" s="11"/>
      <c r="VOS20" s="11"/>
      <c r="VOT20" s="11"/>
      <c r="VOU20" s="11"/>
      <c r="VOV20" s="11"/>
      <c r="VOW20" s="11"/>
      <c r="VOX20" s="11"/>
      <c r="VOY20" s="11"/>
      <c r="VOZ20" s="11"/>
      <c r="VPA20" s="11"/>
      <c r="VPB20" s="11"/>
      <c r="VPC20" s="11"/>
      <c r="VPD20" s="11"/>
      <c r="VPE20" s="11"/>
      <c r="VPF20" s="11"/>
      <c r="VPG20" s="11"/>
      <c r="VPH20" s="11"/>
      <c r="VPI20" s="11"/>
      <c r="VPJ20" s="11"/>
      <c r="VPK20" s="11"/>
      <c r="VPL20" s="11"/>
      <c r="VPM20" s="11"/>
      <c r="VPN20" s="11"/>
      <c r="VPO20" s="11"/>
      <c r="VPP20" s="11"/>
      <c r="VPQ20" s="11"/>
      <c r="VPR20" s="11"/>
      <c r="VPS20" s="11"/>
      <c r="VPT20" s="11"/>
      <c r="VPU20" s="11"/>
      <c r="VPV20" s="11"/>
      <c r="VPW20" s="11"/>
      <c r="VPX20" s="11"/>
      <c r="VPY20" s="11"/>
      <c r="VPZ20" s="11"/>
      <c r="VQA20" s="11"/>
      <c r="VQB20" s="11"/>
      <c r="VQC20" s="11"/>
      <c r="VQD20" s="11"/>
      <c r="VQE20" s="11"/>
      <c r="VQF20" s="11"/>
      <c r="VQG20" s="11"/>
      <c r="VQH20" s="11"/>
      <c r="VQI20" s="11"/>
      <c r="VQJ20" s="11"/>
      <c r="VQK20" s="11"/>
      <c r="VQL20" s="11"/>
      <c r="VQM20" s="11"/>
      <c r="VQN20" s="11"/>
      <c r="VQO20" s="11"/>
      <c r="VQP20" s="11"/>
      <c r="VQQ20" s="11"/>
      <c r="VQR20" s="11"/>
      <c r="VQS20" s="11"/>
      <c r="VQT20" s="11"/>
      <c r="VQU20" s="11"/>
      <c r="VQV20" s="11"/>
      <c r="VQW20" s="11"/>
      <c r="VQX20" s="11"/>
      <c r="VQY20" s="11"/>
      <c r="VQZ20" s="11"/>
      <c r="VRA20" s="11"/>
      <c r="VRB20" s="11"/>
      <c r="VRC20" s="11"/>
      <c r="VRD20" s="11"/>
      <c r="VRE20" s="11"/>
      <c r="VRF20" s="11"/>
      <c r="VRG20" s="11"/>
      <c r="VRH20" s="11"/>
      <c r="VRI20" s="11"/>
      <c r="VRJ20" s="11"/>
      <c r="VRK20" s="11"/>
      <c r="VRL20" s="11"/>
      <c r="VRM20" s="11"/>
      <c r="VRN20" s="11"/>
      <c r="VRO20" s="11"/>
      <c r="VRP20" s="11"/>
      <c r="VRQ20" s="11"/>
      <c r="VRR20" s="11"/>
      <c r="VRS20" s="11"/>
      <c r="VRT20" s="11"/>
      <c r="VRU20" s="11"/>
      <c r="VRV20" s="11"/>
      <c r="VRW20" s="11"/>
      <c r="VRX20" s="11"/>
      <c r="VRY20" s="11"/>
      <c r="VRZ20" s="11"/>
      <c r="VSA20" s="11"/>
      <c r="VSB20" s="11"/>
      <c r="VSC20" s="11"/>
      <c r="VSD20" s="11"/>
      <c r="VSE20" s="11"/>
      <c r="VSF20" s="11"/>
      <c r="VSG20" s="11"/>
      <c r="VSH20" s="11"/>
      <c r="VSI20" s="11"/>
      <c r="VSJ20" s="11"/>
      <c r="VSK20" s="11"/>
      <c r="VSL20" s="11"/>
      <c r="VSM20" s="11"/>
      <c r="VSN20" s="11"/>
      <c r="VSO20" s="11"/>
      <c r="VSP20" s="11"/>
      <c r="VSQ20" s="11"/>
      <c r="VSR20" s="11"/>
      <c r="VSS20" s="11"/>
      <c r="VST20" s="11"/>
      <c r="VSU20" s="11"/>
      <c r="VSV20" s="11"/>
      <c r="VSW20" s="11"/>
      <c r="VSX20" s="11"/>
      <c r="VSY20" s="11"/>
      <c r="VSZ20" s="11"/>
      <c r="VTA20" s="11"/>
      <c r="VTB20" s="11"/>
      <c r="VTC20" s="11"/>
      <c r="VTD20" s="11"/>
      <c r="VTE20" s="11"/>
      <c r="VTF20" s="11"/>
      <c r="VTG20" s="11"/>
      <c r="VTH20" s="11"/>
      <c r="VTI20" s="11"/>
      <c r="VTJ20" s="11"/>
      <c r="VTK20" s="11"/>
      <c r="VTL20" s="11"/>
      <c r="VTM20" s="11"/>
      <c r="VTN20" s="11"/>
      <c r="VTO20" s="11"/>
      <c r="VTP20" s="11"/>
      <c r="VTQ20" s="11"/>
      <c r="VTR20" s="11"/>
      <c r="VTS20" s="11"/>
      <c r="VTT20" s="11"/>
      <c r="VTU20" s="11"/>
      <c r="VTV20" s="11"/>
      <c r="VTW20" s="11"/>
      <c r="VTX20" s="11"/>
      <c r="VTY20" s="11"/>
      <c r="VTZ20" s="11"/>
      <c r="VUA20" s="11"/>
      <c r="VUB20" s="11"/>
      <c r="VUC20" s="11"/>
      <c r="VUD20" s="11"/>
      <c r="VUE20" s="11"/>
      <c r="VUF20" s="11"/>
      <c r="VUG20" s="11"/>
      <c r="VUH20" s="11"/>
      <c r="VUI20" s="11"/>
      <c r="VUJ20" s="11"/>
      <c r="VUK20" s="11"/>
      <c r="VUL20" s="11"/>
      <c r="VUM20" s="11"/>
      <c r="VUN20" s="11"/>
      <c r="VUO20" s="11"/>
      <c r="VUP20" s="11"/>
      <c r="VUQ20" s="11"/>
      <c r="VUR20" s="11"/>
      <c r="VUS20" s="11"/>
      <c r="VUT20" s="11"/>
      <c r="VUU20" s="11"/>
      <c r="VUV20" s="11"/>
      <c r="VUW20" s="11"/>
      <c r="VUX20" s="11"/>
      <c r="VUY20" s="11"/>
      <c r="VUZ20" s="11"/>
      <c r="VVA20" s="11"/>
      <c r="VVB20" s="11"/>
      <c r="VVC20" s="11"/>
      <c r="VVD20" s="11"/>
      <c r="VVE20" s="11"/>
      <c r="VVF20" s="11"/>
      <c r="VVG20" s="11"/>
      <c r="VVH20" s="11"/>
      <c r="VVI20" s="11"/>
      <c r="VVJ20" s="11"/>
      <c r="VVK20" s="11"/>
      <c r="VVL20" s="11"/>
      <c r="VVM20" s="11"/>
      <c r="VVN20" s="11"/>
      <c r="VVO20" s="11"/>
      <c r="VVP20" s="11"/>
      <c r="VVQ20" s="11"/>
      <c r="VVR20" s="11"/>
      <c r="VVS20" s="11"/>
      <c r="VVT20" s="11"/>
      <c r="VVU20" s="11"/>
      <c r="VVV20" s="11"/>
      <c r="VVW20" s="11"/>
      <c r="VVX20" s="11"/>
      <c r="VVY20" s="11"/>
      <c r="VVZ20" s="11"/>
      <c r="VWA20" s="11"/>
      <c r="VWB20" s="11"/>
      <c r="VWC20" s="11"/>
      <c r="VWD20" s="11"/>
      <c r="VWE20" s="11"/>
      <c r="VWF20" s="11"/>
      <c r="VWG20" s="11"/>
      <c r="VWH20" s="11"/>
      <c r="VWI20" s="11"/>
      <c r="VWJ20" s="11"/>
      <c r="VWK20" s="11"/>
      <c r="VWL20" s="11"/>
      <c r="VWM20" s="11"/>
      <c r="VWN20" s="11"/>
      <c r="VWO20" s="11"/>
      <c r="VWP20" s="11"/>
      <c r="VWQ20" s="11"/>
      <c r="VWR20" s="11"/>
      <c r="VWS20" s="11"/>
      <c r="VWT20" s="11"/>
      <c r="VWU20" s="11"/>
      <c r="VWV20" s="11"/>
      <c r="VWW20" s="11"/>
      <c r="VWX20" s="11"/>
      <c r="VWY20" s="11"/>
      <c r="VWZ20" s="11"/>
      <c r="VXA20" s="11"/>
      <c r="VXB20" s="11"/>
      <c r="VXC20" s="11"/>
      <c r="VXD20" s="11"/>
      <c r="VXE20" s="11"/>
      <c r="VXF20" s="11"/>
      <c r="VXG20" s="11"/>
      <c r="VXH20" s="11"/>
      <c r="VXI20" s="11"/>
      <c r="VXJ20" s="11"/>
      <c r="VXK20" s="11"/>
      <c r="VXL20" s="11"/>
      <c r="VXM20" s="11"/>
      <c r="VXN20" s="11"/>
      <c r="VXO20" s="11"/>
      <c r="VXP20" s="11"/>
      <c r="VXQ20" s="11"/>
      <c r="VXR20" s="11"/>
      <c r="VXS20" s="11"/>
      <c r="VXT20" s="11"/>
      <c r="VXU20" s="11"/>
      <c r="VXV20" s="11"/>
      <c r="VXW20" s="11"/>
      <c r="VXX20" s="11"/>
      <c r="VXY20" s="11"/>
      <c r="VXZ20" s="11"/>
      <c r="VYA20" s="11"/>
      <c r="VYB20" s="11"/>
      <c r="VYC20" s="11"/>
      <c r="VYD20" s="11"/>
      <c r="VYE20" s="11"/>
      <c r="VYF20" s="11"/>
      <c r="VYG20" s="11"/>
      <c r="VYH20" s="11"/>
      <c r="VYI20" s="11"/>
      <c r="VYJ20" s="11"/>
      <c r="VYK20" s="11"/>
      <c r="VYL20" s="11"/>
      <c r="VYM20" s="11"/>
      <c r="VYN20" s="11"/>
      <c r="VYO20" s="11"/>
      <c r="VYP20" s="11"/>
      <c r="VYQ20" s="11"/>
      <c r="VYR20" s="11"/>
      <c r="VYS20" s="11"/>
      <c r="VYT20" s="11"/>
      <c r="VYU20" s="11"/>
      <c r="VYV20" s="11"/>
      <c r="VYW20" s="11"/>
      <c r="VYX20" s="11"/>
      <c r="VYY20" s="11"/>
      <c r="VYZ20" s="11"/>
      <c r="VZA20" s="11"/>
      <c r="VZB20" s="11"/>
      <c r="VZC20" s="11"/>
      <c r="VZD20" s="11"/>
      <c r="VZE20" s="11"/>
      <c r="VZF20" s="11"/>
      <c r="VZG20" s="11"/>
      <c r="VZH20" s="11"/>
      <c r="VZI20" s="11"/>
      <c r="VZJ20" s="11"/>
      <c r="VZK20" s="11"/>
      <c r="VZL20" s="11"/>
      <c r="VZM20" s="11"/>
      <c r="VZN20" s="11"/>
      <c r="VZO20" s="11"/>
      <c r="VZP20" s="11"/>
      <c r="VZQ20" s="11"/>
      <c r="VZR20" s="11"/>
      <c r="VZS20" s="11"/>
      <c r="VZT20" s="11"/>
      <c r="VZU20" s="11"/>
      <c r="VZV20" s="11"/>
      <c r="VZW20" s="11"/>
      <c r="VZX20" s="11"/>
      <c r="VZY20" s="11"/>
      <c r="VZZ20" s="11"/>
      <c r="WAA20" s="11"/>
      <c r="WAB20" s="11"/>
      <c r="WAC20" s="11"/>
      <c r="WAD20" s="11"/>
      <c r="WAE20" s="11"/>
      <c r="WAF20" s="11"/>
      <c r="WAG20" s="11"/>
      <c r="WAH20" s="11"/>
      <c r="WAI20" s="11"/>
      <c r="WAJ20" s="11"/>
      <c r="WAK20" s="11"/>
      <c r="WAL20" s="11"/>
      <c r="WAM20" s="11"/>
      <c r="WAN20" s="11"/>
      <c r="WAO20" s="11"/>
      <c r="WAP20" s="11"/>
      <c r="WAQ20" s="11"/>
      <c r="WAR20" s="11"/>
      <c r="WAS20" s="11"/>
      <c r="WAT20" s="11"/>
      <c r="WAU20" s="11"/>
      <c r="WAV20" s="11"/>
      <c r="WAW20" s="11"/>
      <c r="WAX20" s="11"/>
      <c r="WAY20" s="11"/>
      <c r="WAZ20" s="11"/>
      <c r="WBA20" s="11"/>
      <c r="WBB20" s="11"/>
      <c r="WBC20" s="11"/>
      <c r="WBD20" s="11"/>
      <c r="WBE20" s="11"/>
      <c r="WBF20" s="11"/>
      <c r="WBG20" s="11"/>
      <c r="WBH20" s="11"/>
      <c r="WBI20" s="11"/>
      <c r="WBJ20" s="11"/>
      <c r="WBK20" s="11"/>
      <c r="WBL20" s="11"/>
      <c r="WBM20" s="11"/>
      <c r="WBN20" s="11"/>
      <c r="WBO20" s="11"/>
      <c r="WBP20" s="11"/>
      <c r="WBQ20" s="11"/>
      <c r="WBR20" s="11"/>
      <c r="WBS20" s="11"/>
      <c r="WBT20" s="11"/>
      <c r="WBU20" s="11"/>
      <c r="WBV20" s="11"/>
      <c r="WBW20" s="11"/>
      <c r="WBX20" s="11"/>
      <c r="WBY20" s="11"/>
      <c r="WBZ20" s="11"/>
      <c r="WCA20" s="11"/>
      <c r="WCB20" s="11"/>
      <c r="WCC20" s="11"/>
      <c r="WCD20" s="11"/>
      <c r="WCE20" s="11"/>
      <c r="WCF20" s="11"/>
      <c r="WCG20" s="11"/>
      <c r="WCH20" s="11"/>
      <c r="WCI20" s="11"/>
      <c r="WCJ20" s="11"/>
      <c r="WCK20" s="11"/>
      <c r="WCL20" s="11"/>
      <c r="WCM20" s="11"/>
      <c r="WCN20" s="11"/>
      <c r="WCO20" s="11"/>
      <c r="WCP20" s="11"/>
      <c r="WCQ20" s="11"/>
      <c r="WCR20" s="11"/>
      <c r="WCS20" s="11"/>
      <c r="WCT20" s="11"/>
      <c r="WCU20" s="11"/>
      <c r="WCV20" s="11"/>
      <c r="WCW20" s="11"/>
      <c r="WCX20" s="11"/>
      <c r="WCY20" s="11"/>
      <c r="WCZ20" s="11"/>
      <c r="WDA20" s="11"/>
      <c r="WDB20" s="11"/>
      <c r="WDC20" s="11"/>
      <c r="WDD20" s="11"/>
      <c r="WDE20" s="11"/>
      <c r="WDF20" s="11"/>
      <c r="WDG20" s="11"/>
      <c r="WDH20" s="11"/>
      <c r="WDI20" s="11"/>
      <c r="WDJ20" s="11"/>
      <c r="WDK20" s="11"/>
      <c r="WDL20" s="11"/>
      <c r="WDM20" s="11"/>
      <c r="WDN20" s="11"/>
      <c r="WDO20" s="11"/>
      <c r="WDP20" s="11"/>
      <c r="WDQ20" s="11"/>
      <c r="WDR20" s="11"/>
      <c r="WDS20" s="11"/>
      <c r="WDT20" s="11"/>
      <c r="WDU20" s="11"/>
      <c r="WDV20" s="11"/>
      <c r="WDW20" s="11"/>
      <c r="WDX20" s="11"/>
      <c r="WDY20" s="11"/>
      <c r="WDZ20" s="11"/>
      <c r="WEA20" s="11"/>
      <c r="WEB20" s="11"/>
      <c r="WEC20" s="11"/>
      <c r="WED20" s="11"/>
      <c r="WEE20" s="11"/>
      <c r="WEF20" s="11"/>
      <c r="WEG20" s="11"/>
      <c r="WEH20" s="11"/>
      <c r="WEI20" s="11"/>
      <c r="WEJ20" s="11"/>
      <c r="WEK20" s="11"/>
      <c r="WEL20" s="11"/>
      <c r="WEM20" s="11"/>
      <c r="WEN20" s="11"/>
      <c r="WEO20" s="11"/>
      <c r="WEP20" s="11"/>
      <c r="WEQ20" s="11"/>
      <c r="WER20" s="11"/>
      <c r="WES20" s="11"/>
      <c r="WET20" s="11"/>
      <c r="WEU20" s="11"/>
      <c r="WEV20" s="11"/>
      <c r="WEW20" s="11"/>
      <c r="WEX20" s="11"/>
      <c r="WEY20" s="11"/>
      <c r="WEZ20" s="11"/>
      <c r="WFA20" s="11"/>
      <c r="WFB20" s="11"/>
      <c r="WFC20" s="11"/>
      <c r="WFD20" s="11"/>
      <c r="WFE20" s="11"/>
      <c r="WFF20" s="11"/>
      <c r="WFG20" s="11"/>
      <c r="WFH20" s="11"/>
      <c r="WFI20" s="11"/>
      <c r="WFJ20" s="11"/>
      <c r="WFK20" s="11"/>
      <c r="WFL20" s="11"/>
      <c r="WFM20" s="11"/>
      <c r="WFN20" s="11"/>
      <c r="WFO20" s="11"/>
      <c r="WFP20" s="11"/>
      <c r="WFQ20" s="11"/>
      <c r="WFR20" s="11"/>
      <c r="WFS20" s="11"/>
      <c r="WFT20" s="11"/>
      <c r="WFU20" s="11"/>
      <c r="WFV20" s="11"/>
      <c r="WFW20" s="11"/>
      <c r="WFX20" s="11"/>
      <c r="WFY20" s="11"/>
      <c r="WFZ20" s="11"/>
      <c r="WGA20" s="11"/>
      <c r="WGB20" s="11"/>
      <c r="WGC20" s="11"/>
      <c r="WGD20" s="11"/>
      <c r="WGE20" s="11"/>
      <c r="WGF20" s="11"/>
      <c r="WGG20" s="11"/>
      <c r="WGH20" s="11"/>
      <c r="WGI20" s="11"/>
      <c r="WGJ20" s="11"/>
      <c r="WGK20" s="11"/>
      <c r="WGL20" s="11"/>
      <c r="WGM20" s="11"/>
      <c r="WGN20" s="11"/>
      <c r="WGO20" s="11"/>
      <c r="WGP20" s="11"/>
      <c r="WGQ20" s="11"/>
      <c r="WGR20" s="11"/>
      <c r="WGS20" s="11"/>
      <c r="WGT20" s="11"/>
      <c r="WGU20" s="11"/>
      <c r="WGV20" s="11"/>
      <c r="WGW20" s="11"/>
      <c r="WGX20" s="11"/>
      <c r="WGY20" s="11"/>
      <c r="WGZ20" s="11"/>
      <c r="WHA20" s="11"/>
      <c r="WHB20" s="11"/>
      <c r="WHC20" s="11"/>
      <c r="WHD20" s="11"/>
      <c r="WHE20" s="11"/>
      <c r="WHF20" s="11"/>
      <c r="WHG20" s="11"/>
      <c r="WHH20" s="11"/>
      <c r="WHI20" s="11"/>
      <c r="WHJ20" s="11"/>
      <c r="WHK20" s="11"/>
      <c r="WHL20" s="11"/>
      <c r="WHM20" s="11"/>
      <c r="WHN20" s="11"/>
      <c r="WHO20" s="11"/>
      <c r="WHP20" s="11"/>
      <c r="WHQ20" s="11"/>
      <c r="WHR20" s="11"/>
      <c r="WHS20" s="11"/>
      <c r="WHT20" s="11"/>
      <c r="WHU20" s="11"/>
      <c r="WHV20" s="11"/>
      <c r="WHW20" s="11"/>
      <c r="WHX20" s="11"/>
      <c r="WHY20" s="11"/>
      <c r="WHZ20" s="11"/>
      <c r="WIA20" s="11"/>
      <c r="WIB20" s="11"/>
      <c r="WIC20" s="11"/>
      <c r="WID20" s="11"/>
      <c r="WIE20" s="11"/>
      <c r="WIF20" s="11"/>
      <c r="WIG20" s="11"/>
      <c r="WIH20" s="11"/>
      <c r="WII20" s="11"/>
      <c r="WIJ20" s="11"/>
      <c r="WIK20" s="11"/>
      <c r="WIL20" s="11"/>
      <c r="WIM20" s="11"/>
      <c r="WIN20" s="11"/>
      <c r="WIO20" s="11"/>
      <c r="WIP20" s="11"/>
      <c r="WIQ20" s="11"/>
      <c r="WIR20" s="11"/>
      <c r="WIS20" s="11"/>
      <c r="WIT20" s="11"/>
      <c r="WIU20" s="11"/>
      <c r="WIV20" s="11"/>
      <c r="WIW20" s="11"/>
      <c r="WIX20" s="11"/>
      <c r="WIY20" s="11"/>
      <c r="WIZ20" s="11"/>
      <c r="WJA20" s="11"/>
      <c r="WJB20" s="11"/>
      <c r="WJC20" s="11"/>
      <c r="WJD20" s="11"/>
      <c r="WJE20" s="11"/>
      <c r="WJF20" s="11"/>
      <c r="WJG20" s="11"/>
      <c r="WJH20" s="11"/>
      <c r="WJI20" s="11"/>
      <c r="WJJ20" s="11"/>
      <c r="WJK20" s="11"/>
      <c r="WJL20" s="11"/>
      <c r="WJM20" s="11"/>
      <c r="WJN20" s="11"/>
      <c r="WJO20" s="11"/>
      <c r="WJP20" s="11"/>
      <c r="WJQ20" s="11"/>
      <c r="WJR20" s="11"/>
      <c r="WJS20" s="11"/>
      <c r="WJT20" s="11"/>
      <c r="WJU20" s="11"/>
      <c r="WJV20" s="11"/>
      <c r="WJW20" s="11"/>
      <c r="WJX20" s="11"/>
      <c r="WJY20" s="11"/>
      <c r="WJZ20" s="11"/>
      <c r="WKA20" s="11"/>
      <c r="WKB20" s="11"/>
      <c r="WKC20" s="11"/>
      <c r="WKD20" s="11"/>
      <c r="WKE20" s="11"/>
      <c r="WKF20" s="11"/>
      <c r="WKG20" s="11"/>
      <c r="WKH20" s="11"/>
      <c r="WKI20" s="11"/>
      <c r="WKJ20" s="11"/>
      <c r="WKK20" s="11"/>
      <c r="WKL20" s="11"/>
      <c r="WKM20" s="11"/>
      <c r="WKN20" s="11"/>
      <c r="WKO20" s="11"/>
      <c r="WKP20" s="11"/>
      <c r="WKQ20" s="11"/>
      <c r="WKR20" s="11"/>
      <c r="WKS20" s="11"/>
      <c r="WKT20" s="11"/>
      <c r="WKU20" s="11"/>
      <c r="WKV20" s="11"/>
      <c r="WKW20" s="11"/>
      <c r="WKX20" s="11"/>
      <c r="WKY20" s="11"/>
      <c r="WKZ20" s="11"/>
      <c r="WLA20" s="11"/>
      <c r="WLB20" s="11"/>
      <c r="WLC20" s="11"/>
      <c r="WLD20" s="11"/>
      <c r="WLE20" s="11"/>
      <c r="WLF20" s="11"/>
      <c r="WLG20" s="11"/>
      <c r="WLH20" s="11"/>
      <c r="WLI20" s="11"/>
      <c r="WLJ20" s="11"/>
      <c r="WLK20" s="11"/>
      <c r="WLL20" s="11"/>
      <c r="WLM20" s="11"/>
      <c r="WLN20" s="11"/>
      <c r="WLO20" s="11"/>
      <c r="WLP20" s="11"/>
      <c r="WLQ20" s="11"/>
      <c r="WLR20" s="11"/>
      <c r="WLS20" s="11"/>
      <c r="WLT20" s="11"/>
      <c r="WLU20" s="11"/>
      <c r="WLV20" s="11"/>
      <c r="WLW20" s="11"/>
      <c r="WLX20" s="11"/>
      <c r="WLY20" s="11"/>
      <c r="WLZ20" s="11"/>
      <c r="WMA20" s="11"/>
      <c r="WMB20" s="11"/>
      <c r="WMC20" s="11"/>
      <c r="WMD20" s="11"/>
      <c r="WME20" s="11"/>
      <c r="WMF20" s="11"/>
      <c r="WMG20" s="11"/>
      <c r="WMH20" s="11"/>
      <c r="WMI20" s="11"/>
      <c r="WMJ20" s="11"/>
      <c r="WMK20" s="11"/>
      <c r="WML20" s="11"/>
      <c r="WMM20" s="11"/>
      <c r="WMN20" s="11"/>
      <c r="WMO20" s="11"/>
      <c r="WMP20" s="11"/>
      <c r="WMQ20" s="11"/>
      <c r="WMR20" s="11"/>
      <c r="WMS20" s="11"/>
      <c r="WMT20" s="11"/>
      <c r="WMU20" s="11"/>
      <c r="WMV20" s="11"/>
      <c r="WMW20" s="11"/>
      <c r="WMX20" s="11"/>
      <c r="WMY20" s="11"/>
      <c r="WMZ20" s="11"/>
      <c r="WNA20" s="11"/>
      <c r="WNB20" s="11"/>
      <c r="WNC20" s="11"/>
      <c r="WND20" s="11"/>
      <c r="WNE20" s="11"/>
      <c r="WNF20" s="11"/>
      <c r="WNG20" s="11"/>
      <c r="WNH20" s="11"/>
      <c r="WNI20" s="11"/>
      <c r="WNJ20" s="11"/>
      <c r="WNK20" s="11"/>
      <c r="WNL20" s="11"/>
      <c r="WNM20" s="11"/>
      <c r="WNN20" s="11"/>
      <c r="WNO20" s="11"/>
      <c r="WNP20" s="11"/>
      <c r="WNQ20" s="11"/>
      <c r="WNR20" s="11"/>
      <c r="WNS20" s="11"/>
      <c r="WNT20" s="11"/>
      <c r="WNU20" s="11"/>
      <c r="WNV20" s="11"/>
      <c r="WNW20" s="11"/>
      <c r="WNX20" s="11"/>
      <c r="WNY20" s="11"/>
      <c r="WNZ20" s="11"/>
      <c r="WOA20" s="11"/>
      <c r="WOB20" s="11"/>
      <c r="WOC20" s="11"/>
      <c r="WOD20" s="11"/>
      <c r="WOE20" s="11"/>
      <c r="WOF20" s="11"/>
      <c r="WOG20" s="11"/>
      <c r="WOH20" s="11"/>
      <c r="WOI20" s="11"/>
      <c r="WOJ20" s="11"/>
      <c r="WOK20" s="11"/>
      <c r="WOL20" s="11"/>
      <c r="WOM20" s="11"/>
      <c r="WON20" s="11"/>
      <c r="WOO20" s="11"/>
      <c r="WOP20" s="11"/>
      <c r="WOQ20" s="11"/>
      <c r="WOR20" s="11"/>
      <c r="WOS20" s="11"/>
      <c r="WOT20" s="11"/>
      <c r="WOU20" s="11"/>
      <c r="WOV20" s="11"/>
      <c r="WOW20" s="11"/>
      <c r="WOX20" s="11"/>
      <c r="WOY20" s="11"/>
      <c r="WOZ20" s="11"/>
      <c r="WPA20" s="11"/>
      <c r="WPB20" s="11"/>
      <c r="WPC20" s="11"/>
      <c r="WPD20" s="11"/>
      <c r="WPE20" s="11"/>
      <c r="WPF20" s="11"/>
      <c r="WPG20" s="11"/>
      <c r="WPH20" s="11"/>
      <c r="WPI20" s="11"/>
      <c r="WPJ20" s="11"/>
      <c r="WPK20" s="11"/>
      <c r="WPL20" s="11"/>
      <c r="WPM20" s="11"/>
      <c r="WPN20" s="11"/>
      <c r="WPO20" s="11"/>
      <c r="WPP20" s="11"/>
      <c r="WPQ20" s="11"/>
      <c r="WPR20" s="11"/>
      <c r="WPS20" s="11"/>
      <c r="WPT20" s="11"/>
      <c r="WPU20" s="11"/>
      <c r="WPV20" s="11"/>
      <c r="WPW20" s="11"/>
      <c r="WPX20" s="11"/>
      <c r="WPY20" s="11"/>
      <c r="WPZ20" s="11"/>
      <c r="WQA20" s="11"/>
      <c r="WQB20" s="11"/>
      <c r="WQC20" s="11"/>
      <c r="WQD20" s="11"/>
      <c r="WQE20" s="11"/>
      <c r="WQF20" s="11"/>
      <c r="WQG20" s="11"/>
      <c r="WQH20" s="11"/>
      <c r="WQI20" s="11"/>
      <c r="WQJ20" s="11"/>
      <c r="WQK20" s="11"/>
      <c r="WQL20" s="11"/>
      <c r="WQM20" s="11"/>
      <c r="WQN20" s="11"/>
      <c r="WQO20" s="11"/>
      <c r="WQP20" s="11"/>
      <c r="WQQ20" s="11"/>
      <c r="WQR20" s="11"/>
      <c r="WQS20" s="11"/>
      <c r="WQT20" s="11"/>
      <c r="WQU20" s="11"/>
      <c r="WQV20" s="11"/>
      <c r="WQW20" s="11"/>
      <c r="WQX20" s="11"/>
      <c r="WQY20" s="11"/>
      <c r="WQZ20" s="11"/>
      <c r="WRA20" s="11"/>
      <c r="WRB20" s="11"/>
      <c r="WRC20" s="11"/>
      <c r="WRD20" s="11"/>
      <c r="WRE20" s="11"/>
      <c r="WRF20" s="11"/>
      <c r="WRG20" s="11"/>
      <c r="WRH20" s="11"/>
      <c r="WRI20" s="11"/>
      <c r="WRJ20" s="11"/>
      <c r="WRK20" s="11"/>
      <c r="WRL20" s="11"/>
      <c r="WRM20" s="11"/>
      <c r="WRN20" s="11"/>
      <c r="WRO20" s="11"/>
      <c r="WRP20" s="11"/>
      <c r="WRQ20" s="11"/>
      <c r="WRR20" s="11"/>
      <c r="WRS20" s="11"/>
      <c r="WRT20" s="11"/>
      <c r="WRU20" s="11"/>
      <c r="WRV20" s="11"/>
      <c r="WRW20" s="11"/>
      <c r="WRX20" s="11"/>
      <c r="WRY20" s="11"/>
      <c r="WRZ20" s="11"/>
      <c r="WSA20" s="11"/>
      <c r="WSB20" s="11"/>
      <c r="WSC20" s="11"/>
      <c r="WSD20" s="11"/>
      <c r="WSE20" s="11"/>
      <c r="WSF20" s="11"/>
      <c r="WSG20" s="11"/>
      <c r="WSH20" s="11"/>
      <c r="WSI20" s="11"/>
      <c r="WSJ20" s="11"/>
      <c r="WSK20" s="11"/>
      <c r="WSL20" s="11"/>
      <c r="WSM20" s="11"/>
      <c r="WSN20" s="11"/>
      <c r="WSO20" s="11"/>
      <c r="WSP20" s="11"/>
      <c r="WSQ20" s="11"/>
      <c r="WSR20" s="11"/>
      <c r="WSS20" s="11"/>
      <c r="WST20" s="11"/>
      <c r="WSU20" s="11"/>
      <c r="WSV20" s="11"/>
      <c r="WSW20" s="11"/>
      <c r="WSX20" s="11"/>
      <c r="WSY20" s="11"/>
      <c r="WSZ20" s="11"/>
      <c r="WTA20" s="11"/>
      <c r="WTB20" s="11"/>
      <c r="WTC20" s="11"/>
      <c r="WTD20" s="11"/>
      <c r="WTE20" s="11"/>
      <c r="WTF20" s="11"/>
      <c r="WTG20" s="11"/>
      <c r="WTH20" s="11"/>
      <c r="WTI20" s="11"/>
      <c r="WTJ20" s="11"/>
      <c r="WTK20" s="11"/>
      <c r="WTL20" s="11"/>
      <c r="WTM20" s="11"/>
      <c r="WTN20" s="11"/>
      <c r="WTO20" s="11"/>
      <c r="WTP20" s="11"/>
      <c r="WTQ20" s="11"/>
      <c r="WTR20" s="11"/>
      <c r="WTS20" s="11"/>
      <c r="WTT20" s="11"/>
      <c r="WTU20" s="11"/>
      <c r="WTV20" s="11"/>
      <c r="WTW20" s="11"/>
      <c r="WTX20" s="11"/>
      <c r="WTY20" s="11"/>
      <c r="WTZ20" s="11"/>
      <c r="WUA20" s="11"/>
      <c r="WUB20" s="11"/>
      <c r="WUC20" s="11"/>
      <c r="WUD20" s="11"/>
      <c r="WUE20" s="11"/>
      <c r="WUF20" s="11"/>
      <c r="WUG20" s="11"/>
      <c r="WUH20" s="11"/>
      <c r="WUI20" s="11"/>
      <c r="WUJ20" s="11"/>
      <c r="WUK20" s="11"/>
      <c r="WUL20" s="11"/>
      <c r="WUM20" s="11"/>
      <c r="WUN20" s="11"/>
      <c r="WUO20" s="11"/>
      <c r="WUP20" s="11"/>
      <c r="WUQ20" s="11"/>
      <c r="WUR20" s="11"/>
      <c r="WUS20" s="11"/>
      <c r="WUT20" s="11"/>
      <c r="WUU20" s="11"/>
      <c r="WUV20" s="11"/>
      <c r="WUW20" s="11"/>
      <c r="WUX20" s="11"/>
      <c r="WUY20" s="11"/>
      <c r="WUZ20" s="11"/>
      <c r="WVA20" s="11"/>
      <c r="WVB20" s="11"/>
      <c r="WVC20" s="11"/>
      <c r="WVD20" s="11"/>
      <c r="WVE20" s="11"/>
      <c r="WVF20" s="11"/>
      <c r="WVG20" s="11"/>
      <c r="WVH20" s="11"/>
      <c r="WVI20" s="11"/>
      <c r="WVJ20" s="11"/>
      <c r="WVK20" s="11"/>
      <c r="WVL20" s="11"/>
      <c r="WVM20" s="11"/>
      <c r="WVN20" s="11"/>
      <c r="WVO20" s="11"/>
      <c r="WVP20" s="11"/>
      <c r="WVQ20" s="11"/>
      <c r="WVR20" s="11"/>
      <c r="WVS20" s="11"/>
      <c r="WVT20" s="11"/>
      <c r="WVU20" s="11"/>
      <c r="WVV20" s="11"/>
      <c r="WVW20" s="11"/>
      <c r="WVX20" s="11"/>
      <c r="WVY20" s="11"/>
      <c r="WVZ20" s="11"/>
      <c r="WWA20" s="11"/>
      <c r="WWB20" s="11"/>
      <c r="WWC20" s="11"/>
      <c r="WWD20" s="11"/>
      <c r="WWE20" s="11"/>
      <c r="WWF20" s="11"/>
      <c r="WWG20" s="11"/>
      <c r="WWH20" s="11"/>
      <c r="WWI20" s="11"/>
      <c r="WWJ20" s="11"/>
      <c r="WWK20" s="11"/>
      <c r="WWL20" s="11"/>
      <c r="WWM20" s="11"/>
      <c r="WWN20" s="11"/>
      <c r="WWO20" s="11"/>
      <c r="WWP20" s="11"/>
      <c r="WWQ20" s="11"/>
      <c r="WWR20" s="11"/>
      <c r="WWS20" s="11"/>
      <c r="WWT20" s="11"/>
      <c r="WWU20" s="11"/>
      <c r="WWV20" s="11"/>
      <c r="WWW20" s="11"/>
      <c r="WWX20" s="11"/>
      <c r="WWY20" s="11"/>
      <c r="WWZ20" s="11"/>
      <c r="WXA20" s="11"/>
      <c r="WXB20" s="11"/>
      <c r="WXC20" s="11"/>
      <c r="WXD20" s="11"/>
      <c r="WXE20" s="11"/>
      <c r="WXF20" s="11"/>
      <c r="WXG20" s="11"/>
      <c r="WXH20" s="11"/>
      <c r="WXI20" s="11"/>
      <c r="WXJ20" s="11"/>
      <c r="WXK20" s="11"/>
      <c r="WXL20" s="11"/>
      <c r="WXM20" s="11"/>
      <c r="WXN20" s="11"/>
      <c r="WXO20" s="11"/>
      <c r="WXP20" s="11"/>
      <c r="WXQ20" s="11"/>
      <c r="WXR20" s="11"/>
      <c r="WXS20" s="11"/>
      <c r="WXT20" s="11"/>
      <c r="WXU20" s="11"/>
      <c r="WXV20" s="11"/>
      <c r="WXW20" s="11"/>
      <c r="WXX20" s="11"/>
      <c r="WXY20" s="11"/>
      <c r="WXZ20" s="11"/>
      <c r="WYA20" s="11"/>
      <c r="WYB20" s="11"/>
      <c r="WYC20" s="11"/>
      <c r="WYD20" s="11"/>
      <c r="WYE20" s="11"/>
      <c r="WYF20" s="11"/>
      <c r="WYG20" s="11"/>
      <c r="WYH20" s="11"/>
      <c r="WYI20" s="11"/>
      <c r="WYJ20" s="11"/>
      <c r="WYK20" s="11"/>
      <c r="WYL20" s="11"/>
      <c r="WYM20" s="11"/>
      <c r="WYN20" s="11"/>
      <c r="WYO20" s="11"/>
      <c r="WYP20" s="11"/>
      <c r="WYQ20" s="11"/>
      <c r="WYR20" s="11"/>
      <c r="WYS20" s="11"/>
      <c r="WYT20" s="11"/>
      <c r="WYU20" s="11"/>
      <c r="WYV20" s="11"/>
      <c r="WYW20" s="11"/>
      <c r="WYX20" s="11"/>
      <c r="WYY20" s="11"/>
      <c r="WYZ20" s="11"/>
      <c r="WZA20" s="11"/>
      <c r="WZB20" s="11"/>
      <c r="WZC20" s="11"/>
      <c r="WZD20" s="11"/>
      <c r="WZE20" s="11"/>
      <c r="WZF20" s="11"/>
      <c r="WZG20" s="11"/>
      <c r="WZH20" s="11"/>
      <c r="WZI20" s="11"/>
      <c r="WZJ20" s="11"/>
      <c r="WZK20" s="11"/>
      <c r="WZL20" s="11"/>
      <c r="WZM20" s="11"/>
      <c r="WZN20" s="11"/>
      <c r="WZO20" s="11"/>
      <c r="WZP20" s="11"/>
      <c r="WZQ20" s="11"/>
      <c r="WZR20" s="11"/>
      <c r="WZS20" s="11"/>
      <c r="WZT20" s="11"/>
      <c r="WZU20" s="11"/>
      <c r="WZV20" s="11"/>
      <c r="WZW20" s="11"/>
      <c r="WZX20" s="11"/>
      <c r="WZY20" s="11"/>
      <c r="WZZ20" s="11"/>
      <c r="XAA20" s="11"/>
      <c r="XAB20" s="11"/>
      <c r="XAC20" s="11"/>
      <c r="XAD20" s="11"/>
      <c r="XAE20" s="11"/>
      <c r="XAF20" s="11"/>
      <c r="XAG20" s="11"/>
      <c r="XAH20" s="11"/>
      <c r="XAI20" s="11"/>
      <c r="XAJ20" s="11"/>
      <c r="XAK20" s="11"/>
      <c r="XAL20" s="11"/>
      <c r="XAM20" s="11"/>
      <c r="XAN20" s="11"/>
      <c r="XAO20" s="11"/>
      <c r="XAP20" s="11"/>
      <c r="XAQ20" s="11"/>
      <c r="XAR20" s="11"/>
      <c r="XAS20" s="11"/>
      <c r="XAT20" s="11"/>
      <c r="XAU20" s="11"/>
      <c r="XAV20" s="11"/>
      <c r="XAW20" s="11"/>
      <c r="XAX20" s="11"/>
      <c r="XAY20" s="11"/>
      <c r="XAZ20" s="11"/>
      <c r="XBA20" s="11"/>
      <c r="XBB20" s="11"/>
      <c r="XBC20" s="11"/>
      <c r="XBD20" s="11"/>
      <c r="XBE20" s="11"/>
      <c r="XBF20" s="11"/>
      <c r="XBG20" s="11"/>
      <c r="XBH20" s="11"/>
      <c r="XBI20" s="11"/>
      <c r="XBJ20" s="11"/>
      <c r="XBK20" s="11"/>
      <c r="XBL20" s="11"/>
      <c r="XBM20" s="11"/>
      <c r="XBN20" s="11"/>
      <c r="XBO20" s="11"/>
      <c r="XBP20" s="11"/>
      <c r="XBQ20" s="11"/>
      <c r="XBR20" s="11"/>
      <c r="XBS20" s="11"/>
      <c r="XBT20" s="11"/>
      <c r="XBU20" s="11"/>
      <c r="XBV20" s="11"/>
      <c r="XBW20" s="11"/>
      <c r="XBX20" s="11"/>
      <c r="XBY20" s="11"/>
      <c r="XBZ20" s="11"/>
      <c r="XCA20" s="11"/>
      <c r="XCB20" s="11"/>
      <c r="XCC20" s="11"/>
      <c r="XCD20" s="11"/>
      <c r="XCE20" s="11"/>
      <c r="XCF20" s="11"/>
      <c r="XCG20" s="11"/>
      <c r="XCH20" s="11"/>
      <c r="XCI20" s="11"/>
      <c r="XCJ20" s="11"/>
      <c r="XCK20" s="11"/>
      <c r="XCL20" s="11"/>
      <c r="XCM20" s="11"/>
      <c r="XCN20" s="11"/>
      <c r="XCO20" s="11"/>
      <c r="XCP20" s="11"/>
      <c r="XCQ20" s="11"/>
      <c r="XCR20" s="11"/>
      <c r="XCS20" s="11"/>
      <c r="XCT20" s="11"/>
      <c r="XCU20" s="11"/>
      <c r="XCV20" s="11"/>
      <c r="XCW20" s="11"/>
      <c r="XCX20" s="11"/>
      <c r="XCY20" s="11"/>
      <c r="XCZ20" s="11"/>
      <c r="XDA20" s="11"/>
      <c r="XDB20" s="11"/>
      <c r="XDC20" s="11"/>
      <c r="XDD20" s="11"/>
      <c r="XDE20" s="11"/>
      <c r="XDF20" s="11"/>
      <c r="XDG20" s="11"/>
      <c r="XDH20" s="11"/>
      <c r="XDI20" s="11"/>
      <c r="XDJ20" s="11"/>
      <c r="XDK20" s="11"/>
      <c r="XDL20" s="11"/>
      <c r="XDM20" s="11"/>
      <c r="XDN20" s="11"/>
      <c r="XDO20" s="11"/>
      <c r="XDP20" s="11"/>
      <c r="XDQ20" s="11"/>
      <c r="XDR20" s="11"/>
      <c r="XDS20" s="11"/>
      <c r="XDT20" s="11"/>
      <c r="XDU20" s="11"/>
      <c r="XDV20" s="11"/>
      <c r="XDW20" s="11"/>
      <c r="XDX20" s="11"/>
      <c r="XDY20" s="11"/>
      <c r="XDZ20" s="11"/>
      <c r="XEA20" s="11"/>
      <c r="XEB20" s="11"/>
      <c r="XEC20" s="11"/>
      <c r="XED20" s="11"/>
      <c r="XEE20" s="11"/>
      <c r="XEF20" s="11"/>
      <c r="XEG20" s="11"/>
      <c r="XEH20" s="11"/>
      <c r="XEI20" s="11"/>
      <c r="XEJ20" s="11"/>
      <c r="XEK20" s="11"/>
      <c r="XEL20" s="11"/>
      <c r="XEM20" s="11"/>
      <c r="XEN20" s="11"/>
      <c r="XEO20" s="11"/>
      <c r="XEP20" s="11"/>
      <c r="XEQ20" s="11"/>
      <c r="XER20" s="11"/>
      <c r="XES20" s="11"/>
      <c r="XET20" s="11"/>
      <c r="XEU20" s="11"/>
      <c r="XEV20" s="11"/>
      <c r="XEW20" s="11"/>
      <c r="XEX20" s="11"/>
      <c r="XEY20" s="11"/>
      <c r="XEZ20" s="11"/>
      <c r="XFA20" s="11"/>
      <c r="XFB20" s="11"/>
      <c r="XFC20" s="11"/>
      <c r="XFD20" s="11"/>
    </row>
    <row r="21" spans="2:16384">
      <c r="B21" s="1" t="s">
        <v>8</v>
      </c>
      <c r="L21" s="11"/>
      <c r="M21" s="1" t="str">
        <f t="shared" ref="M21:M45" si="0">B21</f>
        <v>General Data</v>
      </c>
      <c r="N21" s="6"/>
      <c r="O21" s="11" t="s">
        <v>190</v>
      </c>
      <c r="P21" s="11" t="s">
        <v>191</v>
      </c>
      <c r="Q21" s="11" t="s">
        <v>190</v>
      </c>
      <c r="R21" s="11" t="s">
        <v>191</v>
      </c>
      <c r="S21" s="11" t="s">
        <v>189</v>
      </c>
      <c r="W21" s="11"/>
      <c r="X21" s="1" t="str">
        <f t="shared" ref="X21:X33" si="1">B21</f>
        <v>General Data</v>
      </c>
      <c r="Y21" s="50"/>
      <c r="Z21" s="100" t="s">
        <v>257</v>
      </c>
      <c r="AA21" s="100" t="s">
        <v>197</v>
      </c>
      <c r="AB21" s="100" t="s">
        <v>198</v>
      </c>
      <c r="AC21" s="100" t="s">
        <v>199</v>
      </c>
      <c r="AD21" s="100" t="s">
        <v>200</v>
      </c>
      <c r="AE21" s="100" t="s">
        <v>201</v>
      </c>
      <c r="AF21" s="100" t="s">
        <v>202</v>
      </c>
      <c r="AG21" s="100" t="s">
        <v>203</v>
      </c>
      <c r="AH21" s="100" t="s">
        <v>204</v>
      </c>
      <c r="AI21" s="100" t="s">
        <v>259</v>
      </c>
      <c r="AJ21" s="100" t="s">
        <v>205</v>
      </c>
      <c r="AK21" s="100" t="s">
        <v>206</v>
      </c>
    </row>
    <row r="22" spans="2:16384" s="2" customFormat="1">
      <c r="B22" s="2" t="s">
        <v>6</v>
      </c>
      <c r="C22" s="7"/>
      <c r="D22" s="2">
        <v>0.25</v>
      </c>
      <c r="E22" s="2">
        <v>0.5</v>
      </c>
      <c r="F22" s="2">
        <v>0.75</v>
      </c>
      <c r="G22" s="2">
        <v>0.9</v>
      </c>
      <c r="H22" s="2">
        <v>1</v>
      </c>
      <c r="I22" s="2">
        <v>1.1000000000000001</v>
      </c>
      <c r="M22" s="2" t="str">
        <f t="shared" si="0"/>
        <v>Load</v>
      </c>
      <c r="N22" s="7"/>
      <c r="O22" s="2">
        <v>0.5</v>
      </c>
      <c r="P22" s="2">
        <v>0.5</v>
      </c>
      <c r="Q22" s="2">
        <v>0.9</v>
      </c>
      <c r="R22" s="2">
        <v>0.9</v>
      </c>
      <c r="S22" s="2">
        <v>0.9</v>
      </c>
      <c r="X22" s="2" t="str">
        <f t="shared" si="1"/>
        <v>Load</v>
      </c>
      <c r="Y22" s="7"/>
      <c r="Z22" s="101">
        <v>0.81780053662605068</v>
      </c>
      <c r="AA22" s="101">
        <v>0.79883770212026628</v>
      </c>
      <c r="AB22" s="101">
        <v>0.77647318045602376</v>
      </c>
      <c r="AC22" s="101">
        <v>0.83695566819794931</v>
      </c>
      <c r="AD22" s="101">
        <v>0.80833003928965508</v>
      </c>
      <c r="AE22" s="101">
        <v>0.77654491454162822</v>
      </c>
      <c r="AF22" s="101">
        <v>0.77537888053131476</v>
      </c>
      <c r="AG22" s="101">
        <v>0.81822401631458408</v>
      </c>
      <c r="AH22" s="101">
        <v>0.8503592886289788</v>
      </c>
      <c r="AI22" s="101">
        <v>0.84211466289410686</v>
      </c>
      <c r="AJ22" s="101">
        <v>0.8122265851030156</v>
      </c>
      <c r="AK22" s="101">
        <v>0.83324822337758164</v>
      </c>
      <c r="AL22" s="102"/>
    </row>
    <row r="23" spans="2:16384">
      <c r="B23" t="s">
        <v>5</v>
      </c>
      <c r="D23" s="86">
        <v>38805</v>
      </c>
      <c r="E23" s="86">
        <v>38805</v>
      </c>
      <c r="F23" s="86">
        <v>38805</v>
      </c>
      <c r="G23" s="86">
        <v>38805</v>
      </c>
      <c r="H23" s="86">
        <v>38805</v>
      </c>
      <c r="I23" s="86">
        <v>38805</v>
      </c>
      <c r="L23" s="11"/>
      <c r="M23" s="11" t="str">
        <f t="shared" si="0"/>
        <v>DATE</v>
      </c>
      <c r="N23" s="6"/>
      <c r="O23" s="86">
        <v>38966</v>
      </c>
      <c r="P23" s="86">
        <v>38966</v>
      </c>
      <c r="Q23" s="86">
        <v>38966</v>
      </c>
      <c r="R23" s="86">
        <v>38966</v>
      </c>
      <c r="S23" s="86">
        <v>38966</v>
      </c>
      <c r="W23" s="11"/>
      <c r="X23" s="11" t="str">
        <f t="shared" si="1"/>
        <v>DATE</v>
      </c>
      <c r="Y23" s="6"/>
      <c r="Z23" s="103">
        <v>41288</v>
      </c>
      <c r="AA23" s="103">
        <v>41330</v>
      </c>
      <c r="AB23" s="103">
        <v>41339</v>
      </c>
      <c r="AC23" s="104">
        <v>0</v>
      </c>
      <c r="AD23" s="104">
        <v>0</v>
      </c>
      <c r="AE23" s="104">
        <v>41451</v>
      </c>
      <c r="AF23" s="103">
        <v>41485</v>
      </c>
      <c r="AG23" s="103">
        <v>41508</v>
      </c>
      <c r="AH23" s="103">
        <v>41533</v>
      </c>
      <c r="AI23" s="103">
        <v>41558</v>
      </c>
      <c r="AJ23" s="103">
        <v>41587</v>
      </c>
      <c r="AK23" s="103">
        <v>41638</v>
      </c>
    </row>
    <row r="24" spans="2:16384" s="12" customFormat="1">
      <c r="B24" s="12" t="s">
        <v>90</v>
      </c>
      <c r="C24" s="12" t="s">
        <v>26</v>
      </c>
      <c r="D24" s="12">
        <v>7.7</v>
      </c>
      <c r="E24" s="12">
        <v>8.1</v>
      </c>
      <c r="F24" s="12">
        <v>8.8000000000000007</v>
      </c>
      <c r="G24" s="12">
        <v>9.4</v>
      </c>
      <c r="H24" s="12">
        <v>9.9</v>
      </c>
      <c r="I24" s="12">
        <v>10.9</v>
      </c>
      <c r="M24" s="12" t="str">
        <f t="shared" si="0"/>
        <v>E/R Temperature</v>
      </c>
      <c r="N24" s="12" t="s">
        <v>26</v>
      </c>
      <c r="O24" s="12">
        <v>35</v>
      </c>
      <c r="P24" s="12">
        <v>35</v>
      </c>
      <c r="Q24" s="12">
        <v>34</v>
      </c>
      <c r="R24" s="12">
        <v>35</v>
      </c>
      <c r="S24" s="12">
        <v>35</v>
      </c>
      <c r="X24" s="12" t="str">
        <f t="shared" si="1"/>
        <v>E/R Temperature</v>
      </c>
      <c r="Y24" s="12" t="s">
        <v>26</v>
      </c>
      <c r="Z24" s="105">
        <v>31</v>
      </c>
      <c r="AA24" s="105">
        <v>24</v>
      </c>
      <c r="AB24" s="105">
        <v>31</v>
      </c>
      <c r="AC24" s="105">
        <v>26</v>
      </c>
      <c r="AD24" s="105">
        <v>41</v>
      </c>
      <c r="AE24" s="105">
        <v>34</v>
      </c>
      <c r="AF24" s="105">
        <v>37</v>
      </c>
      <c r="AG24" s="105">
        <v>41</v>
      </c>
      <c r="AH24" s="105">
        <v>37</v>
      </c>
      <c r="AI24" s="105">
        <v>38</v>
      </c>
      <c r="AJ24" s="105">
        <v>35</v>
      </c>
      <c r="AK24" s="105">
        <v>32</v>
      </c>
      <c r="AL24" s="106"/>
    </row>
    <row r="25" spans="2:16384" s="12" customFormat="1">
      <c r="B25" s="10" t="s">
        <v>91</v>
      </c>
      <c r="C25" s="12" t="s">
        <v>31</v>
      </c>
      <c r="D25" s="12">
        <v>755.4</v>
      </c>
      <c r="E25" s="12">
        <v>755.1</v>
      </c>
      <c r="F25" s="12">
        <v>754.8</v>
      </c>
      <c r="G25" s="12">
        <v>754.6</v>
      </c>
      <c r="H25" s="12">
        <v>754.3</v>
      </c>
      <c r="I25" s="12">
        <v>753.5</v>
      </c>
      <c r="M25" s="24" t="str">
        <f t="shared" si="0"/>
        <v>Ambient Pressure</v>
      </c>
      <c r="N25" s="12" t="s">
        <v>31</v>
      </c>
      <c r="O25" s="12">
        <v>753</v>
      </c>
      <c r="P25" s="12">
        <v>753</v>
      </c>
      <c r="Q25" s="12">
        <v>753</v>
      </c>
      <c r="R25" s="12">
        <v>753</v>
      </c>
      <c r="S25" s="12">
        <v>753</v>
      </c>
      <c r="X25" s="24" t="str">
        <f t="shared" si="1"/>
        <v>Ambient Pressure</v>
      </c>
      <c r="Y25" s="12" t="s">
        <v>92</v>
      </c>
      <c r="Z25" s="105">
        <v>1032</v>
      </c>
      <c r="AA25" s="105">
        <v>1030</v>
      </c>
      <c r="AB25" s="105">
        <v>1013</v>
      </c>
      <c r="AC25" s="105">
        <v>1042</v>
      </c>
      <c r="AD25" s="105">
        <v>1021</v>
      </c>
      <c r="AE25" s="107">
        <v>1024</v>
      </c>
      <c r="AF25" s="107">
        <v>1020</v>
      </c>
      <c r="AG25" s="107">
        <v>1022</v>
      </c>
      <c r="AH25" s="107">
        <v>1011</v>
      </c>
      <c r="AI25" s="107">
        <v>1021</v>
      </c>
      <c r="AJ25" s="105">
        <v>1019</v>
      </c>
      <c r="AK25" s="105">
        <v>1024</v>
      </c>
      <c r="AL25" s="106"/>
    </row>
    <row r="26" spans="2:16384" s="2" customFormat="1">
      <c r="B26" s="7" t="s">
        <v>124</v>
      </c>
      <c r="C26" s="7"/>
      <c r="D26" s="57">
        <v>0.32300000000000001</v>
      </c>
      <c r="E26" s="2">
        <v>0.30599999999999999</v>
      </c>
      <c r="F26" s="2">
        <v>0.308</v>
      </c>
      <c r="G26" s="2">
        <v>0.28899999999999998</v>
      </c>
      <c r="H26" s="2">
        <v>0.28299999999999997</v>
      </c>
      <c r="I26" s="2">
        <v>0.29399999999999998</v>
      </c>
      <c r="M26" s="7" t="str">
        <f t="shared" si="0"/>
        <v>Humidity</v>
      </c>
      <c r="N26" s="7"/>
      <c r="O26" s="57"/>
      <c r="P26" s="57"/>
      <c r="Q26" s="57"/>
      <c r="R26" s="57"/>
      <c r="S26" s="57"/>
      <c r="X26" s="7" t="str">
        <f>B26</f>
        <v>Humidity</v>
      </c>
      <c r="Y26" s="7"/>
      <c r="Z26" s="101">
        <v>0</v>
      </c>
      <c r="AA26" s="101">
        <v>0</v>
      </c>
      <c r="AB26" s="101">
        <v>0</v>
      </c>
      <c r="AC26" s="101">
        <v>0</v>
      </c>
      <c r="AD26" s="101">
        <v>0</v>
      </c>
      <c r="AE26" s="101">
        <v>0</v>
      </c>
      <c r="AF26" s="101">
        <v>0</v>
      </c>
      <c r="AG26" s="101">
        <v>0</v>
      </c>
      <c r="AH26" s="101">
        <v>0</v>
      </c>
      <c r="AI26" s="101">
        <v>0</v>
      </c>
      <c r="AJ26" s="101">
        <v>0</v>
      </c>
      <c r="AK26" s="101">
        <v>0</v>
      </c>
      <c r="AL26" s="102"/>
    </row>
    <row r="27" spans="2:16384">
      <c r="B27" t="s">
        <v>7</v>
      </c>
      <c r="C27" s="6" t="s">
        <v>14</v>
      </c>
      <c r="D27" s="11">
        <v>57.4</v>
      </c>
      <c r="E27" s="11">
        <v>72.3</v>
      </c>
      <c r="F27" s="11">
        <v>82.9</v>
      </c>
      <c r="G27" s="11">
        <v>87.9</v>
      </c>
      <c r="H27" s="11">
        <v>91</v>
      </c>
      <c r="I27" s="11">
        <v>94</v>
      </c>
      <c r="L27" s="11"/>
      <c r="M27" s="11" t="str">
        <f t="shared" si="0"/>
        <v>Engine Speed</v>
      </c>
      <c r="N27" s="6" t="s">
        <v>14</v>
      </c>
      <c r="O27" s="11">
        <v>74.89</v>
      </c>
      <c r="P27" s="11">
        <v>74.900000000000006</v>
      </c>
      <c r="Q27" s="11">
        <v>90.71</v>
      </c>
      <c r="R27" s="11">
        <v>90.7</v>
      </c>
      <c r="S27" s="11">
        <v>90.8</v>
      </c>
      <c r="W27" s="11"/>
      <c r="X27" s="11" t="str">
        <f t="shared" si="1"/>
        <v>Engine Speed</v>
      </c>
      <c r="Y27" s="6" t="s">
        <v>14</v>
      </c>
      <c r="Z27" s="105">
        <v>88.233333333333334</v>
      </c>
      <c r="AA27" s="105">
        <v>90.45</v>
      </c>
      <c r="AB27" s="110">
        <v>89.100000000000009</v>
      </c>
      <c r="AC27" s="105">
        <v>91.350000000000009</v>
      </c>
      <c r="AD27" s="105">
        <v>90.649999999999991</v>
      </c>
      <c r="AE27" s="105">
        <v>89.766666666666652</v>
      </c>
      <c r="AF27" s="101">
        <v>89.083333333333329</v>
      </c>
      <c r="AG27" s="105">
        <v>90.25</v>
      </c>
      <c r="AH27" s="105">
        <v>89.483333333333334</v>
      </c>
      <c r="AI27" s="105">
        <v>89.316666666666663</v>
      </c>
      <c r="AJ27" s="105">
        <v>89.483333333333334</v>
      </c>
      <c r="AK27" s="105">
        <v>87</v>
      </c>
    </row>
    <row r="28" spans="2:16384">
      <c r="B28" t="s">
        <v>9</v>
      </c>
      <c r="C28" s="6" t="s">
        <v>188</v>
      </c>
      <c r="D28" s="11">
        <v>99.7</v>
      </c>
      <c r="E28" s="11">
        <v>158.69999999999999</v>
      </c>
      <c r="F28" s="11">
        <v>207.8</v>
      </c>
      <c r="G28" s="11">
        <v>234.9</v>
      </c>
      <c r="H28" s="11">
        <v>251.9</v>
      </c>
      <c r="I28" s="11">
        <v>269.2</v>
      </c>
      <c r="L28" s="11"/>
      <c r="M28" s="11" t="str">
        <f t="shared" si="0"/>
        <v>Water Brake</v>
      </c>
      <c r="N28" s="6" t="s">
        <v>188</v>
      </c>
      <c r="O28" s="11"/>
      <c r="P28" s="11"/>
      <c r="Q28" s="11"/>
      <c r="R28" s="11"/>
      <c r="S28" s="11"/>
      <c r="W28" s="11"/>
      <c r="X28" s="11" t="str">
        <f t="shared" si="1"/>
        <v>Water Brake</v>
      </c>
      <c r="Y28" s="6" t="s">
        <v>188</v>
      </c>
      <c r="Z28" s="98">
        <v>0</v>
      </c>
      <c r="AA28" s="98">
        <v>0</v>
      </c>
      <c r="AB28" s="98">
        <v>0</v>
      </c>
      <c r="AC28" s="98">
        <v>0</v>
      </c>
      <c r="AD28" s="98">
        <v>0</v>
      </c>
      <c r="AE28" s="98">
        <v>0</v>
      </c>
      <c r="AF28" s="98">
        <v>0</v>
      </c>
      <c r="AG28" s="98">
        <v>0</v>
      </c>
      <c r="AH28" s="98">
        <v>0</v>
      </c>
      <c r="AI28" s="98">
        <v>0</v>
      </c>
      <c r="AJ28" s="98">
        <v>0</v>
      </c>
      <c r="AK28" s="98">
        <v>0</v>
      </c>
    </row>
    <row r="29" spans="2:16384">
      <c r="B29" t="s">
        <v>10</v>
      </c>
      <c r="C29" s="6" t="s">
        <v>13</v>
      </c>
      <c r="D29" s="11">
        <v>5720</v>
      </c>
      <c r="E29" s="11">
        <v>11471</v>
      </c>
      <c r="F29" s="11">
        <v>17214</v>
      </c>
      <c r="G29" s="11">
        <v>20654</v>
      </c>
      <c r="H29" s="11">
        <v>22918</v>
      </c>
      <c r="I29" s="11">
        <v>25308</v>
      </c>
      <c r="L29" s="11"/>
      <c r="M29" s="11" t="str">
        <f t="shared" si="0"/>
        <v>Brake Power</v>
      </c>
      <c r="N29" s="6" t="s">
        <v>13</v>
      </c>
      <c r="O29" s="11">
        <v>11084</v>
      </c>
      <c r="P29" s="11">
        <v>11837</v>
      </c>
      <c r="Q29" s="11">
        <v>20420</v>
      </c>
      <c r="R29" s="11">
        <v>21147</v>
      </c>
      <c r="S29" s="11">
        <v>20980</v>
      </c>
      <c r="W29" s="11"/>
      <c r="X29" s="11" t="str">
        <f t="shared" si="1"/>
        <v>Brake Power</v>
      </c>
      <c r="Y29" s="6" t="s">
        <v>13</v>
      </c>
      <c r="Z29" s="98">
        <v>18743.988299469082</v>
      </c>
      <c r="AA29" s="98">
        <v>18309.360132596503</v>
      </c>
      <c r="AB29" s="98">
        <v>17796.765296052065</v>
      </c>
      <c r="AC29" s="98">
        <v>19183.023915096997</v>
      </c>
      <c r="AD29" s="98">
        <v>18526.924500518893</v>
      </c>
      <c r="AE29" s="98">
        <v>17798.409441294119</v>
      </c>
      <c r="AF29" s="98">
        <v>17771.683941777734</v>
      </c>
      <c r="AG29" s="98">
        <v>18753.694453930268</v>
      </c>
      <c r="AH29" s="98">
        <v>19490.234895376194</v>
      </c>
      <c r="AI29" s="98">
        <v>19301.26807353293</v>
      </c>
      <c r="AJ29" s="98">
        <v>18616.233330561117</v>
      </c>
      <c r="AK29" s="98">
        <v>19098.049279814171</v>
      </c>
    </row>
    <row r="30" spans="2:16384">
      <c r="B30" t="s">
        <v>11</v>
      </c>
      <c r="C30" s="6" t="s">
        <v>13</v>
      </c>
      <c r="D30" s="11">
        <v>6564</v>
      </c>
      <c r="E30" s="11">
        <v>12533</v>
      </c>
      <c r="F30" s="11">
        <v>18434</v>
      </c>
      <c r="G30" s="11">
        <v>21935</v>
      </c>
      <c r="H30" s="11">
        <v>24257</v>
      </c>
      <c r="I30" s="11">
        <v>26694</v>
      </c>
      <c r="L30" s="11"/>
      <c r="M30" s="11" t="str">
        <f t="shared" si="0"/>
        <v>Indicated Power</v>
      </c>
      <c r="N30" s="6" t="s">
        <v>13</v>
      </c>
      <c r="O30" s="11"/>
      <c r="P30" s="11"/>
      <c r="Q30" s="11"/>
      <c r="R30" s="11"/>
      <c r="S30" s="11"/>
      <c r="W30" s="11"/>
      <c r="X30" s="11" t="str">
        <f t="shared" si="1"/>
        <v>Indicated Power</v>
      </c>
      <c r="Y30" s="6" t="s">
        <v>13</v>
      </c>
      <c r="Z30" s="98">
        <v>20036.750401704263</v>
      </c>
      <c r="AA30" s="98">
        <v>19634.683636024107</v>
      </c>
      <c r="AB30" s="98">
        <v>19102.00499559458</v>
      </c>
      <c r="AC30" s="98">
        <v>20521.374420801436</v>
      </c>
      <c r="AD30" s="98">
        <v>19854.933983797397</v>
      </c>
      <c r="AE30" s="98">
        <v>19114.311666911402</v>
      </c>
      <c r="AF30" s="98">
        <v>19076.952128985333</v>
      </c>
      <c r="AG30" s="98">
        <v>20075.965707527313</v>
      </c>
      <c r="AH30" s="98">
        <v>20801.08259527406</v>
      </c>
      <c r="AI30" s="98">
        <v>20609.791993893126</v>
      </c>
      <c r="AJ30" s="98">
        <v>19927.211259785083</v>
      </c>
      <c r="AK30" s="98">
        <v>20372.6688090565</v>
      </c>
    </row>
    <row r="31" spans="2:16384">
      <c r="B31" t="s">
        <v>12</v>
      </c>
      <c r="C31" s="6" t="s">
        <v>15</v>
      </c>
      <c r="D31" s="5">
        <v>0.87139999999999995</v>
      </c>
      <c r="E31" s="5">
        <v>0.9153</v>
      </c>
      <c r="F31" s="5">
        <v>0.93379999999999996</v>
      </c>
      <c r="G31" s="5">
        <v>0.94159999999999999</v>
      </c>
      <c r="H31" s="5">
        <v>0.94479999999999997</v>
      </c>
      <c r="I31" s="5">
        <v>0.94810000000000005</v>
      </c>
      <c r="L31" s="11"/>
      <c r="M31" s="11" t="str">
        <f t="shared" si="0"/>
        <v>Mechanical Efficiency</v>
      </c>
      <c r="N31" s="6" t="s">
        <v>15</v>
      </c>
      <c r="O31" s="5"/>
      <c r="P31" s="5"/>
      <c r="Q31" s="5"/>
      <c r="R31" s="5"/>
      <c r="S31" s="5"/>
      <c r="W31" s="11"/>
      <c r="X31" s="11" t="str">
        <f t="shared" si="1"/>
        <v>Mechanical Efficiency</v>
      </c>
      <c r="Y31" s="6" t="s">
        <v>15</v>
      </c>
      <c r="Z31" s="108">
        <v>0</v>
      </c>
      <c r="AA31" s="108">
        <v>0</v>
      </c>
      <c r="AB31" s="108">
        <v>0</v>
      </c>
      <c r="AC31" s="108">
        <v>0</v>
      </c>
      <c r="AD31" s="108">
        <v>0</v>
      </c>
      <c r="AE31" s="98">
        <v>0</v>
      </c>
      <c r="AF31" s="98">
        <v>0</v>
      </c>
      <c r="AG31" s="98">
        <v>0</v>
      </c>
      <c r="AH31" s="98">
        <v>0</v>
      </c>
      <c r="AI31" s="98">
        <v>0</v>
      </c>
      <c r="AJ31" s="98">
        <v>0</v>
      </c>
      <c r="AK31" s="98">
        <v>0</v>
      </c>
    </row>
    <row r="32" spans="2:16384" s="12" customFormat="1">
      <c r="B32" s="12" t="s">
        <v>193</v>
      </c>
      <c r="C32" s="55" t="s">
        <v>15</v>
      </c>
      <c r="D32" s="56">
        <v>31</v>
      </c>
      <c r="E32" s="56">
        <v>41</v>
      </c>
      <c r="F32" s="56">
        <v>50</v>
      </c>
      <c r="G32" s="56">
        <v>57</v>
      </c>
      <c r="H32" s="56">
        <v>60.5</v>
      </c>
      <c r="I32" s="56">
        <v>65.7</v>
      </c>
      <c r="M32" s="12" t="str">
        <f t="shared" si="0"/>
        <v>Governor index</v>
      </c>
      <c r="N32" s="55" t="s">
        <v>15</v>
      </c>
      <c r="O32" s="56"/>
      <c r="P32" s="56"/>
      <c r="Q32" s="56"/>
      <c r="R32" s="56"/>
      <c r="S32" s="56"/>
      <c r="X32" s="12" t="str">
        <f t="shared" si="1"/>
        <v>Governor index</v>
      </c>
      <c r="Y32" s="55" t="s">
        <v>15</v>
      </c>
      <c r="Z32" s="109">
        <v>60</v>
      </c>
      <c r="AA32" s="109">
        <v>58</v>
      </c>
      <c r="AB32" s="109">
        <v>58</v>
      </c>
      <c r="AC32" s="109">
        <v>64</v>
      </c>
      <c r="AD32" s="109">
        <v>62</v>
      </c>
      <c r="AE32" s="105">
        <v>60</v>
      </c>
      <c r="AF32" s="105">
        <v>60</v>
      </c>
      <c r="AG32" s="105">
        <v>61</v>
      </c>
      <c r="AH32" s="105">
        <v>67</v>
      </c>
      <c r="AI32" s="105">
        <v>64</v>
      </c>
      <c r="AJ32" s="105">
        <v>63</v>
      </c>
      <c r="AK32" s="110">
        <v>6.9</v>
      </c>
      <c r="AL32" s="106"/>
    </row>
    <row r="33" spans="2:38" s="12" customFormat="1">
      <c r="B33" s="12" t="s">
        <v>194</v>
      </c>
      <c r="C33" s="55" t="s">
        <v>195</v>
      </c>
      <c r="D33" s="56">
        <v>1.5</v>
      </c>
      <c r="E33" s="56">
        <v>1.6</v>
      </c>
      <c r="F33" s="56">
        <v>2</v>
      </c>
      <c r="G33" s="56">
        <v>2.2999999999999998</v>
      </c>
      <c r="H33" s="56">
        <v>1</v>
      </c>
      <c r="I33" s="56">
        <v>0.5</v>
      </c>
      <c r="M33" s="12" t="str">
        <f t="shared" si="0"/>
        <v>Pmax control</v>
      </c>
      <c r="N33" s="55" t="s">
        <v>195</v>
      </c>
      <c r="O33" s="56"/>
      <c r="P33" s="56"/>
      <c r="Q33" s="56"/>
      <c r="R33" s="56"/>
      <c r="S33" s="56"/>
      <c r="X33" s="12" t="str">
        <f t="shared" si="1"/>
        <v>Pmax control</v>
      </c>
      <c r="Y33" s="55" t="s">
        <v>195</v>
      </c>
      <c r="Z33" s="109"/>
      <c r="AA33" s="109"/>
      <c r="AB33" s="109"/>
      <c r="AC33" s="109"/>
      <c r="AD33" s="109"/>
      <c r="AE33" s="105"/>
      <c r="AF33" s="105"/>
      <c r="AG33" s="105"/>
      <c r="AH33" s="105"/>
      <c r="AI33" s="105"/>
      <c r="AJ33" s="105"/>
      <c r="AK33" s="105"/>
      <c r="AL33" s="106"/>
    </row>
    <row r="34" spans="2:38" s="11" customFormat="1">
      <c r="C34" s="6"/>
      <c r="D34" s="5"/>
      <c r="N34" s="6"/>
      <c r="O34" s="5"/>
      <c r="P34" s="5"/>
      <c r="Q34" s="5"/>
      <c r="R34" s="5"/>
      <c r="S34" s="5"/>
      <c r="Y34" s="6"/>
      <c r="Z34" s="108"/>
      <c r="AA34" s="108"/>
      <c r="AB34" s="108"/>
      <c r="AC34" s="108"/>
      <c r="AD34" s="108"/>
      <c r="AE34" s="98"/>
      <c r="AF34" s="98"/>
      <c r="AG34" s="98"/>
      <c r="AH34" s="98"/>
      <c r="AI34" s="98"/>
      <c r="AJ34" s="98"/>
      <c r="AK34" s="98"/>
      <c r="AL34" s="97"/>
    </row>
    <row r="35" spans="2:38">
      <c r="B35" s="1" t="s">
        <v>70</v>
      </c>
      <c r="D35" s="11"/>
      <c r="E35" s="11"/>
      <c r="F35" s="11"/>
      <c r="G35" s="11"/>
      <c r="H35" s="11"/>
      <c r="I35" s="11"/>
      <c r="L35" s="11"/>
      <c r="M35" s="1" t="str">
        <f t="shared" si="0"/>
        <v xml:space="preserve">System / Fuel </v>
      </c>
      <c r="N35" s="6"/>
      <c r="O35" s="11"/>
      <c r="P35" s="11"/>
      <c r="Q35" s="11"/>
      <c r="R35" s="11"/>
      <c r="S35" s="11"/>
      <c r="W35" s="11"/>
      <c r="X35" s="1" t="str">
        <f t="shared" ref="X35:X42" si="2">B35</f>
        <v xml:space="preserve">System / Fuel </v>
      </c>
      <c r="Y35" s="6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8" ht="17.25">
      <c r="B36" t="s">
        <v>54</v>
      </c>
      <c r="C36" s="6" t="s">
        <v>17</v>
      </c>
      <c r="D36" s="11">
        <v>8</v>
      </c>
      <c r="E36" s="11">
        <v>7.8</v>
      </c>
      <c r="F36" s="11">
        <v>7.5</v>
      </c>
      <c r="G36" s="11">
        <v>7.3</v>
      </c>
      <c r="H36" s="11">
        <v>7.3</v>
      </c>
      <c r="I36" s="11">
        <v>7.3</v>
      </c>
      <c r="L36" s="11"/>
      <c r="M36" s="11" t="str">
        <f t="shared" si="0"/>
        <v>Inlet  F.O. Pressure</v>
      </c>
      <c r="N36" s="6" t="s">
        <v>17</v>
      </c>
      <c r="O36" s="11">
        <v>7.5</v>
      </c>
      <c r="P36" s="11">
        <v>7.5</v>
      </c>
      <c r="Q36" s="11">
        <v>7.3</v>
      </c>
      <c r="R36" s="11">
        <v>7.3</v>
      </c>
      <c r="S36" s="11">
        <v>7.3</v>
      </c>
      <c r="W36" s="11"/>
      <c r="X36" s="11" t="str">
        <f t="shared" si="2"/>
        <v>Inlet  F.O. Pressure</v>
      </c>
      <c r="Y36" s="6" t="s">
        <v>17</v>
      </c>
      <c r="Z36" s="98">
        <v>8</v>
      </c>
      <c r="AA36" s="98">
        <v>7.1</v>
      </c>
      <c r="AB36" s="98">
        <v>8</v>
      </c>
      <c r="AC36" s="98">
        <v>8</v>
      </c>
      <c r="AD36" s="98">
        <v>8</v>
      </c>
      <c r="AE36" s="98">
        <v>8</v>
      </c>
      <c r="AF36" s="98">
        <v>7.9</v>
      </c>
      <c r="AG36" s="98">
        <v>8</v>
      </c>
      <c r="AH36" s="98">
        <v>8.1999999999999993</v>
      </c>
      <c r="AI36" s="98">
        <v>7.5</v>
      </c>
      <c r="AJ36" s="98">
        <v>8</v>
      </c>
      <c r="AK36" s="98">
        <v>8</v>
      </c>
    </row>
    <row r="37" spans="2:38">
      <c r="B37" t="s">
        <v>55</v>
      </c>
      <c r="C37" s="6" t="s">
        <v>26</v>
      </c>
      <c r="D37" s="11">
        <v>20</v>
      </c>
      <c r="E37" s="11">
        <v>20</v>
      </c>
      <c r="F37" s="11">
        <v>28</v>
      </c>
      <c r="G37" s="11">
        <v>21</v>
      </c>
      <c r="H37" s="11">
        <v>22</v>
      </c>
      <c r="I37" s="11">
        <v>24</v>
      </c>
      <c r="L37" s="11"/>
      <c r="M37" s="11" t="str">
        <f t="shared" si="0"/>
        <v>Inlet F.O. Temperature</v>
      </c>
      <c r="N37" s="6" t="s">
        <v>26</v>
      </c>
      <c r="O37" s="11">
        <v>134</v>
      </c>
      <c r="P37" s="11">
        <v>134</v>
      </c>
      <c r="Q37" s="11">
        <v>136</v>
      </c>
      <c r="R37" s="11">
        <v>136</v>
      </c>
      <c r="S37" s="11">
        <v>136</v>
      </c>
      <c r="W37" s="11"/>
      <c r="X37" s="11" t="str">
        <f t="shared" si="2"/>
        <v>Inlet F.O. Temperature</v>
      </c>
      <c r="Y37" s="6" t="s">
        <v>26</v>
      </c>
      <c r="Z37" s="98">
        <v>98</v>
      </c>
      <c r="AA37" s="98">
        <v>98</v>
      </c>
      <c r="AB37" s="98">
        <v>90</v>
      </c>
      <c r="AC37" s="98">
        <v>95</v>
      </c>
      <c r="AD37" s="98">
        <v>95</v>
      </c>
      <c r="AE37" s="98">
        <v>95</v>
      </c>
      <c r="AF37" s="98">
        <v>95</v>
      </c>
      <c r="AG37" s="98">
        <v>95</v>
      </c>
      <c r="AH37" s="98">
        <v>105</v>
      </c>
      <c r="AI37" s="98">
        <v>105</v>
      </c>
      <c r="AJ37" s="98">
        <v>100</v>
      </c>
      <c r="AK37" s="98">
        <v>100</v>
      </c>
    </row>
    <row r="38" spans="2:38" s="11" customFormat="1" ht="17.25">
      <c r="B38" s="11" t="s">
        <v>56</v>
      </c>
      <c r="C38" s="6" t="s">
        <v>17</v>
      </c>
      <c r="D38" s="11">
        <v>2.23</v>
      </c>
      <c r="E38" s="11">
        <v>2.2999999999999998</v>
      </c>
      <c r="F38" s="11">
        <v>2.37</v>
      </c>
      <c r="G38" s="11">
        <v>2.3199999999999998</v>
      </c>
      <c r="H38" s="11">
        <v>2.34</v>
      </c>
      <c r="I38" s="11">
        <v>2.27</v>
      </c>
      <c r="M38" s="11" t="str">
        <f t="shared" si="0"/>
        <v>Piston Cooling Oil Pressure</v>
      </c>
      <c r="N38" s="6" t="s">
        <v>17</v>
      </c>
      <c r="O38" s="11">
        <v>2.7</v>
      </c>
      <c r="P38" s="11">
        <v>2.7</v>
      </c>
      <c r="Q38" s="11">
        <v>2.75</v>
      </c>
      <c r="R38" s="11">
        <v>2.75</v>
      </c>
      <c r="S38" s="11">
        <v>2.75</v>
      </c>
      <c r="X38" s="11" t="str">
        <f t="shared" si="2"/>
        <v>Piston Cooling Oil Pressure</v>
      </c>
      <c r="Y38" s="6" t="s">
        <v>17</v>
      </c>
      <c r="Z38" s="98">
        <v>2.5</v>
      </c>
      <c r="AA38" s="98">
        <v>2.7</v>
      </c>
      <c r="AB38" s="98">
        <v>2.7</v>
      </c>
      <c r="AC38" s="98">
        <v>2.7</v>
      </c>
      <c r="AD38" s="98">
        <v>2.7</v>
      </c>
      <c r="AE38" s="98">
        <v>2.7</v>
      </c>
      <c r="AF38" s="98">
        <v>2.7</v>
      </c>
      <c r="AG38" s="98">
        <v>2.8</v>
      </c>
      <c r="AH38" s="98">
        <v>2.8</v>
      </c>
      <c r="AI38" s="98">
        <v>2.8</v>
      </c>
      <c r="AJ38" s="98">
        <v>2.7</v>
      </c>
      <c r="AK38" s="98">
        <v>2.8</v>
      </c>
      <c r="AL38" s="97"/>
    </row>
    <row r="39" spans="2:38" s="11" customFormat="1">
      <c r="B39" s="11" t="s">
        <v>196</v>
      </c>
      <c r="C39" s="6" t="s">
        <v>26</v>
      </c>
      <c r="D39" s="11">
        <v>41</v>
      </c>
      <c r="E39" s="11">
        <v>41</v>
      </c>
      <c r="F39" s="11">
        <v>41</v>
      </c>
      <c r="G39" s="11">
        <v>42</v>
      </c>
      <c r="H39" s="11">
        <v>42</v>
      </c>
      <c r="I39" s="11">
        <v>44</v>
      </c>
      <c r="M39" s="11" t="str">
        <f t="shared" si="0"/>
        <v>Piston Cooling Oil Inlet Temp.</v>
      </c>
      <c r="N39" s="6" t="s">
        <v>26</v>
      </c>
      <c r="O39" s="11">
        <v>45</v>
      </c>
      <c r="P39" s="11">
        <v>45</v>
      </c>
      <c r="Q39" s="11">
        <v>46</v>
      </c>
      <c r="R39" s="11">
        <v>46</v>
      </c>
      <c r="S39" s="11">
        <v>46</v>
      </c>
      <c r="X39" s="11" t="str">
        <f t="shared" si="2"/>
        <v>Piston Cooling Oil Inlet Temp.</v>
      </c>
      <c r="Y39" s="6" t="s">
        <v>26</v>
      </c>
      <c r="Z39" s="98">
        <v>46</v>
      </c>
      <c r="AA39" s="98">
        <v>44</v>
      </c>
      <c r="AB39" s="98">
        <v>44</v>
      </c>
      <c r="AC39" s="98">
        <v>46</v>
      </c>
      <c r="AD39" s="98">
        <v>46</v>
      </c>
      <c r="AE39" s="98">
        <v>46</v>
      </c>
      <c r="AF39" s="98">
        <v>45</v>
      </c>
      <c r="AG39" s="98">
        <v>46</v>
      </c>
      <c r="AH39" s="98">
        <v>46</v>
      </c>
      <c r="AI39" s="98">
        <v>46</v>
      </c>
      <c r="AJ39" s="98">
        <v>47</v>
      </c>
      <c r="AK39" s="98">
        <v>48</v>
      </c>
      <c r="AL39" s="97"/>
    </row>
    <row r="40" spans="2:38" s="11" customFormat="1">
      <c r="B40" s="11" t="s">
        <v>73</v>
      </c>
      <c r="C40" s="6"/>
      <c r="D40" s="11">
        <v>0.89810000000000001</v>
      </c>
      <c r="E40" s="11">
        <v>0.89810000000000001</v>
      </c>
      <c r="F40" s="11">
        <v>0.89810000000000001</v>
      </c>
      <c r="G40" s="11">
        <v>0.89810000000000001</v>
      </c>
      <c r="H40" s="11">
        <v>0.89810000000000001</v>
      </c>
      <c r="I40" s="11">
        <v>0.89810000000000001</v>
      </c>
      <c r="M40" s="11" t="str">
        <f t="shared" si="0"/>
        <v>Fuel Specific Gravity (@15°C)</v>
      </c>
      <c r="N40" s="6"/>
      <c r="O40" s="11">
        <v>0.97130000000000005</v>
      </c>
      <c r="P40" s="11">
        <v>0.97130000000000005</v>
      </c>
      <c r="Q40" s="11">
        <v>0.97130000000000005</v>
      </c>
      <c r="R40" s="11">
        <v>0.97130000000000005</v>
      </c>
      <c r="S40" s="11">
        <v>0.97130000000000005</v>
      </c>
      <c r="X40" s="11" t="str">
        <f t="shared" si="2"/>
        <v>Fuel Specific Gravity (@15°C)</v>
      </c>
      <c r="Y40" s="6"/>
      <c r="Z40" s="98">
        <v>0.97</v>
      </c>
      <c r="AA40" s="98">
        <v>0.97</v>
      </c>
      <c r="AB40" s="98">
        <v>0.97</v>
      </c>
      <c r="AC40" s="98">
        <v>0.97</v>
      </c>
      <c r="AD40" s="98">
        <v>0.99</v>
      </c>
      <c r="AE40" s="98">
        <v>0.99</v>
      </c>
      <c r="AF40" s="98">
        <v>0.96</v>
      </c>
      <c r="AG40" s="98">
        <v>0.96</v>
      </c>
      <c r="AH40" s="98">
        <v>0.96</v>
      </c>
      <c r="AI40" s="98">
        <v>0.96</v>
      </c>
      <c r="AJ40" s="98">
        <v>0.96</v>
      </c>
      <c r="AK40" s="98">
        <v>0.96</v>
      </c>
      <c r="AL40" s="97"/>
    </row>
    <row r="41" spans="2:38" s="11" customFormat="1">
      <c r="B41" s="11" t="s">
        <v>262</v>
      </c>
      <c r="C41" s="6" t="s">
        <v>74</v>
      </c>
      <c r="D41" s="11">
        <v>9.3000000000000007</v>
      </c>
      <c r="E41" s="11">
        <v>9.3000000000000007</v>
      </c>
      <c r="F41" s="11">
        <v>9.3000000000000007</v>
      </c>
      <c r="G41" s="11">
        <v>9.3000000000000007</v>
      </c>
      <c r="H41" s="11">
        <v>9.3000000000000007</v>
      </c>
      <c r="I41" s="11">
        <v>9.3000000000000007</v>
      </c>
      <c r="M41" s="11" t="s">
        <v>207</v>
      </c>
      <c r="N41" s="6" t="s">
        <v>74</v>
      </c>
      <c r="O41" s="11">
        <v>358</v>
      </c>
      <c r="P41" s="11">
        <v>358</v>
      </c>
      <c r="Q41" s="11">
        <v>358</v>
      </c>
      <c r="R41" s="11">
        <v>358</v>
      </c>
      <c r="S41" s="11">
        <v>358</v>
      </c>
      <c r="X41" s="11" t="s">
        <v>207</v>
      </c>
      <c r="Y41" s="6" t="s">
        <v>74</v>
      </c>
      <c r="Z41" s="98">
        <v>344.4</v>
      </c>
      <c r="AA41" s="98">
        <v>336.8</v>
      </c>
      <c r="AB41" s="98">
        <v>323.7</v>
      </c>
      <c r="AC41" s="98">
        <v>323.7</v>
      </c>
      <c r="AD41" s="98">
        <v>404.5</v>
      </c>
      <c r="AE41" s="98">
        <v>404.5</v>
      </c>
      <c r="AF41" s="98">
        <v>300</v>
      </c>
      <c r="AG41" s="98">
        <v>300.89999999999998</v>
      </c>
      <c r="AH41" s="98">
        <v>314.3</v>
      </c>
      <c r="AI41" s="98">
        <v>314</v>
      </c>
      <c r="AJ41" s="98">
        <v>314</v>
      </c>
      <c r="AK41" s="98">
        <v>293.10000000000002</v>
      </c>
      <c r="AL41" s="97"/>
    </row>
    <row r="42" spans="2:38" s="11" customFormat="1">
      <c r="B42" s="11" t="s">
        <v>71</v>
      </c>
      <c r="C42" s="6" t="s">
        <v>72</v>
      </c>
      <c r="D42" s="11">
        <v>10053</v>
      </c>
      <c r="E42" s="11">
        <v>10053</v>
      </c>
      <c r="F42" s="11">
        <v>10053</v>
      </c>
      <c r="G42" s="11">
        <v>10053</v>
      </c>
      <c r="H42" s="11">
        <v>10053</v>
      </c>
      <c r="I42" s="11">
        <v>10053</v>
      </c>
      <c r="M42" s="11" t="str">
        <f t="shared" si="0"/>
        <v>Fuel LHV</v>
      </c>
      <c r="N42" s="6" t="s">
        <v>72</v>
      </c>
      <c r="O42" s="11">
        <v>9576</v>
      </c>
      <c r="P42" s="11">
        <v>9576</v>
      </c>
      <c r="Q42" s="11">
        <v>9576</v>
      </c>
      <c r="R42" s="11">
        <v>9576</v>
      </c>
      <c r="S42" s="11">
        <v>9576</v>
      </c>
      <c r="X42" s="11" t="str">
        <f t="shared" si="2"/>
        <v>Fuel LHV</v>
      </c>
      <c r="Y42" s="6" t="s">
        <v>98</v>
      </c>
      <c r="Z42" s="98">
        <v>41190</v>
      </c>
      <c r="AA42" s="98">
        <v>41110</v>
      </c>
      <c r="AB42" s="98">
        <v>41160</v>
      </c>
      <c r="AC42" s="98">
        <v>41160</v>
      </c>
      <c r="AD42" s="98">
        <v>42730</v>
      </c>
      <c r="AE42" s="98">
        <v>42730</v>
      </c>
      <c r="AF42" s="98">
        <v>42730</v>
      </c>
      <c r="AG42" s="98">
        <v>43310</v>
      </c>
      <c r="AH42" s="98">
        <v>41320</v>
      </c>
      <c r="AI42" s="98">
        <v>41320</v>
      </c>
      <c r="AJ42" s="98">
        <v>41320</v>
      </c>
      <c r="AK42" s="111">
        <v>43410</v>
      </c>
      <c r="AL42" s="97"/>
    </row>
    <row r="43" spans="2:38">
      <c r="D43" s="11"/>
      <c r="E43" s="11"/>
      <c r="F43" s="11"/>
      <c r="G43" s="11"/>
      <c r="H43" s="11"/>
      <c r="I43" s="11"/>
      <c r="L43" s="11"/>
      <c r="M43" s="11"/>
      <c r="N43" s="6"/>
      <c r="O43" s="11"/>
      <c r="P43" s="11"/>
      <c r="Q43" s="11"/>
      <c r="R43" s="11"/>
      <c r="S43" s="11"/>
      <c r="W43" s="11"/>
      <c r="X43" s="11" t="s">
        <v>229</v>
      </c>
      <c r="Y43" s="6"/>
      <c r="Z43" s="98">
        <v>831.963456445681</v>
      </c>
      <c r="AA43" s="98">
        <v>832.19712808605505</v>
      </c>
      <c r="AB43" s="98">
        <v>832.61474621129923</v>
      </c>
      <c r="AC43" s="98">
        <v>832.61474621129923</v>
      </c>
      <c r="AD43" s="98">
        <v>850.30461776941888</v>
      </c>
      <c r="AE43" s="98">
        <v>850.30461776941888</v>
      </c>
      <c r="AF43" s="98">
        <v>823.42306754701326</v>
      </c>
      <c r="AG43" s="98">
        <v>823.39102292478674</v>
      </c>
      <c r="AH43" s="98">
        <v>822.92678683355985</v>
      </c>
      <c r="AI43" s="98">
        <v>822.93692482816937</v>
      </c>
      <c r="AJ43" s="98">
        <v>822.93692482816937</v>
      </c>
      <c r="AK43" s="98">
        <v>823.67254832289973</v>
      </c>
    </row>
    <row r="44" spans="2:38">
      <c r="B44" s="1" t="s">
        <v>18</v>
      </c>
      <c r="D44" s="11"/>
      <c r="E44" s="11"/>
      <c r="F44" s="11"/>
      <c r="G44" s="11"/>
      <c r="H44" s="11"/>
      <c r="I44" s="11"/>
      <c r="L44" s="11"/>
      <c r="M44" s="1" t="str">
        <f t="shared" si="0"/>
        <v>Cylinder</v>
      </c>
      <c r="N44" s="6"/>
      <c r="O44" s="11"/>
      <c r="P44" s="11"/>
      <c r="Q44" s="11"/>
      <c r="R44" s="11"/>
      <c r="S44" s="11"/>
      <c r="W44" s="11"/>
      <c r="X44" s="1" t="str">
        <f>B44</f>
        <v>Cylinder</v>
      </c>
      <c r="Y44" s="6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8">
      <c r="B45" t="s">
        <v>19</v>
      </c>
      <c r="C45" s="6" t="s">
        <v>20</v>
      </c>
      <c r="D45" s="11"/>
      <c r="E45" s="11"/>
      <c r="F45" s="11"/>
      <c r="G45" s="11"/>
      <c r="H45" s="11"/>
      <c r="I45" s="11"/>
      <c r="L45" s="11"/>
      <c r="M45" s="11" t="str">
        <f t="shared" si="0"/>
        <v>Pmax</v>
      </c>
      <c r="N45" s="6" t="s">
        <v>20</v>
      </c>
      <c r="O45" s="11"/>
      <c r="P45" s="11"/>
      <c r="Q45" s="11"/>
      <c r="R45" s="11"/>
      <c r="S45" s="11"/>
      <c r="W45" s="11"/>
      <c r="X45" s="11" t="str">
        <f>B45</f>
        <v>Pmax</v>
      </c>
      <c r="Y45" s="6" t="s">
        <v>20</v>
      </c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  <row r="46" spans="2:38">
      <c r="C46" s="8">
        <v>1</v>
      </c>
      <c r="D46" s="11">
        <v>74</v>
      </c>
      <c r="E46" s="11">
        <v>105</v>
      </c>
      <c r="F46" s="11">
        <v>135</v>
      </c>
      <c r="G46" s="11">
        <v>151</v>
      </c>
      <c r="H46" s="11">
        <v>151</v>
      </c>
      <c r="I46" s="11">
        <v>150.5</v>
      </c>
      <c r="L46" s="11"/>
      <c r="M46" s="11"/>
      <c r="N46" s="8">
        <v>1</v>
      </c>
      <c r="O46" s="11">
        <v>98</v>
      </c>
      <c r="P46" s="11">
        <v>100</v>
      </c>
      <c r="Q46" s="11">
        <v>140</v>
      </c>
      <c r="R46" s="11">
        <v>142</v>
      </c>
      <c r="S46" s="11">
        <v>140</v>
      </c>
      <c r="W46" s="11"/>
      <c r="X46" s="11"/>
      <c r="Y46" s="8">
        <v>1</v>
      </c>
      <c r="Z46" s="98">
        <v>136</v>
      </c>
      <c r="AA46" s="98">
        <v>137</v>
      </c>
      <c r="AB46" s="98">
        <v>135</v>
      </c>
      <c r="AC46" s="98">
        <v>139</v>
      </c>
      <c r="AD46" s="98">
        <v>134</v>
      </c>
      <c r="AE46" s="98">
        <v>136</v>
      </c>
      <c r="AF46" s="98">
        <v>131</v>
      </c>
      <c r="AG46" s="98">
        <v>133</v>
      </c>
      <c r="AH46" s="98">
        <v>136</v>
      </c>
      <c r="AI46" s="98">
        <v>143</v>
      </c>
      <c r="AJ46" s="98">
        <v>142</v>
      </c>
      <c r="AK46" s="98">
        <v>137</v>
      </c>
    </row>
    <row r="47" spans="2:38">
      <c r="C47" s="8">
        <v>2</v>
      </c>
      <c r="D47" s="11">
        <v>75</v>
      </c>
      <c r="E47" s="11">
        <v>105</v>
      </c>
      <c r="F47" s="11">
        <v>135</v>
      </c>
      <c r="G47" s="11">
        <v>149</v>
      </c>
      <c r="H47" s="11">
        <v>149</v>
      </c>
      <c r="I47" s="11">
        <v>150</v>
      </c>
      <c r="L47" s="11"/>
      <c r="M47" s="11"/>
      <c r="N47" s="8">
        <v>2</v>
      </c>
      <c r="O47" s="11">
        <v>97</v>
      </c>
      <c r="P47" s="11">
        <v>101</v>
      </c>
      <c r="Q47" s="11">
        <v>140</v>
      </c>
      <c r="R47" s="11">
        <v>142</v>
      </c>
      <c r="S47" s="11">
        <v>140</v>
      </c>
      <c r="W47" s="11"/>
      <c r="X47" s="11"/>
      <c r="Y47" s="8">
        <v>2</v>
      </c>
      <c r="Z47" s="98">
        <v>132</v>
      </c>
      <c r="AA47" s="98">
        <v>136</v>
      </c>
      <c r="AB47" s="98">
        <v>133</v>
      </c>
      <c r="AC47" s="98">
        <v>137</v>
      </c>
      <c r="AD47" s="98">
        <v>132</v>
      </c>
      <c r="AE47" s="98">
        <v>132</v>
      </c>
      <c r="AF47" s="98">
        <v>130</v>
      </c>
      <c r="AG47" s="98">
        <v>132</v>
      </c>
      <c r="AH47" s="98">
        <v>135</v>
      </c>
      <c r="AI47" s="98">
        <v>142</v>
      </c>
      <c r="AJ47" s="98">
        <v>141</v>
      </c>
      <c r="AK47" s="98">
        <v>135</v>
      </c>
    </row>
    <row r="48" spans="2:38">
      <c r="C48" s="8">
        <v>3</v>
      </c>
      <c r="D48" s="11">
        <v>75</v>
      </c>
      <c r="E48" s="11">
        <v>104</v>
      </c>
      <c r="F48" s="11">
        <v>134</v>
      </c>
      <c r="G48" s="11">
        <v>151</v>
      </c>
      <c r="H48" s="11">
        <v>149.5</v>
      </c>
      <c r="I48" s="11">
        <v>150</v>
      </c>
      <c r="L48" s="11"/>
      <c r="M48" s="11"/>
      <c r="N48" s="8">
        <v>3</v>
      </c>
      <c r="O48" s="11">
        <v>98</v>
      </c>
      <c r="P48" s="11">
        <v>100</v>
      </c>
      <c r="Q48" s="11">
        <v>141</v>
      </c>
      <c r="R48" s="11">
        <v>141</v>
      </c>
      <c r="S48" s="11">
        <v>140</v>
      </c>
      <c r="W48" s="11"/>
      <c r="X48" s="11"/>
      <c r="Y48" s="8">
        <v>3</v>
      </c>
      <c r="Z48" s="98">
        <v>133</v>
      </c>
      <c r="AA48" s="98">
        <v>136</v>
      </c>
      <c r="AB48" s="98">
        <v>133</v>
      </c>
      <c r="AC48" s="98">
        <v>137</v>
      </c>
      <c r="AD48" s="98">
        <v>132</v>
      </c>
      <c r="AE48" s="98">
        <v>130</v>
      </c>
      <c r="AF48" s="98">
        <v>130</v>
      </c>
      <c r="AG48" s="98">
        <v>131</v>
      </c>
      <c r="AH48" s="98">
        <v>133</v>
      </c>
      <c r="AI48" s="98">
        <v>141</v>
      </c>
      <c r="AJ48" s="98">
        <v>138</v>
      </c>
      <c r="AK48" s="98">
        <v>134</v>
      </c>
    </row>
    <row r="49" spans="2:37">
      <c r="C49" s="8">
        <v>4</v>
      </c>
      <c r="D49" s="11">
        <v>76</v>
      </c>
      <c r="E49" s="11">
        <v>104</v>
      </c>
      <c r="F49" s="11">
        <v>135</v>
      </c>
      <c r="G49" s="11">
        <v>149</v>
      </c>
      <c r="H49" s="11">
        <v>150.5</v>
      </c>
      <c r="I49" s="11">
        <v>150.5</v>
      </c>
      <c r="L49" s="11"/>
      <c r="M49" s="11"/>
      <c r="N49" s="8">
        <v>4</v>
      </c>
      <c r="O49" s="11">
        <v>98</v>
      </c>
      <c r="P49" s="11">
        <v>100</v>
      </c>
      <c r="Q49" s="11">
        <v>104</v>
      </c>
      <c r="R49" s="11">
        <v>140</v>
      </c>
      <c r="S49" s="11">
        <v>140</v>
      </c>
      <c r="W49" s="11"/>
      <c r="X49" s="11"/>
      <c r="Y49" s="8">
        <v>4</v>
      </c>
      <c r="Z49" s="98">
        <v>134</v>
      </c>
      <c r="AA49" s="98">
        <v>140</v>
      </c>
      <c r="AB49" s="98">
        <v>136</v>
      </c>
      <c r="AC49" s="98">
        <v>140</v>
      </c>
      <c r="AD49" s="98">
        <v>135</v>
      </c>
      <c r="AE49" s="98">
        <v>134</v>
      </c>
      <c r="AF49" s="98">
        <v>131</v>
      </c>
      <c r="AG49" s="98">
        <v>134</v>
      </c>
      <c r="AH49" s="98">
        <v>136</v>
      </c>
      <c r="AI49" s="98">
        <v>145</v>
      </c>
      <c r="AJ49" s="98">
        <v>142</v>
      </c>
      <c r="AK49" s="98">
        <v>136</v>
      </c>
    </row>
    <row r="50" spans="2:37">
      <c r="C50" s="8">
        <v>5</v>
      </c>
      <c r="D50" s="11">
        <v>76</v>
      </c>
      <c r="E50" s="11">
        <v>105</v>
      </c>
      <c r="F50" s="11">
        <v>134</v>
      </c>
      <c r="G50" s="11">
        <v>150</v>
      </c>
      <c r="H50" s="11">
        <v>150</v>
      </c>
      <c r="I50" s="11">
        <v>151</v>
      </c>
      <c r="L50" s="11"/>
      <c r="M50" s="11"/>
      <c r="N50" s="8">
        <v>5</v>
      </c>
      <c r="O50" s="11">
        <v>99</v>
      </c>
      <c r="P50" s="11">
        <v>101</v>
      </c>
      <c r="Q50" s="11">
        <v>140</v>
      </c>
      <c r="R50" s="11">
        <v>140</v>
      </c>
      <c r="S50" s="11">
        <v>140</v>
      </c>
      <c r="W50" s="11"/>
      <c r="X50" s="11"/>
      <c r="Y50" s="8">
        <v>5</v>
      </c>
      <c r="Z50" s="98">
        <v>135</v>
      </c>
      <c r="AA50" s="98">
        <v>137</v>
      </c>
      <c r="AB50" s="98">
        <v>133</v>
      </c>
      <c r="AC50" s="98">
        <v>138</v>
      </c>
      <c r="AD50" s="98">
        <v>132</v>
      </c>
      <c r="AE50" s="98">
        <v>132</v>
      </c>
      <c r="AF50" s="98">
        <v>130</v>
      </c>
      <c r="AG50" s="98">
        <v>132</v>
      </c>
      <c r="AH50" s="98">
        <v>134</v>
      </c>
      <c r="AI50" s="98">
        <v>145</v>
      </c>
      <c r="AJ50" s="98">
        <v>141</v>
      </c>
      <c r="AK50" s="98">
        <v>136</v>
      </c>
    </row>
    <row r="51" spans="2:37">
      <c r="C51" s="8">
        <v>6</v>
      </c>
      <c r="D51" s="11">
        <v>75</v>
      </c>
      <c r="E51" s="11">
        <v>104</v>
      </c>
      <c r="F51" s="11">
        <v>135</v>
      </c>
      <c r="G51" s="11">
        <v>150</v>
      </c>
      <c r="H51" s="11">
        <v>150</v>
      </c>
      <c r="I51" s="11">
        <v>150</v>
      </c>
      <c r="L51" s="11"/>
      <c r="M51" s="11"/>
      <c r="N51" s="8">
        <v>6</v>
      </c>
      <c r="O51" s="11">
        <v>99</v>
      </c>
      <c r="P51" s="11">
        <v>102</v>
      </c>
      <c r="Q51" s="11">
        <v>140</v>
      </c>
      <c r="R51" s="11">
        <v>141</v>
      </c>
      <c r="S51" s="11">
        <v>141</v>
      </c>
      <c r="W51" s="11"/>
      <c r="X51" s="11"/>
      <c r="Y51" s="8">
        <v>6</v>
      </c>
      <c r="Z51" s="98">
        <v>136</v>
      </c>
      <c r="AA51" s="98">
        <v>140</v>
      </c>
      <c r="AB51" s="98">
        <v>137</v>
      </c>
      <c r="AC51" s="98">
        <v>140</v>
      </c>
      <c r="AD51" s="98">
        <v>136</v>
      </c>
      <c r="AE51" s="98">
        <v>136</v>
      </c>
      <c r="AF51" s="98">
        <v>134</v>
      </c>
      <c r="AG51" s="98">
        <v>136</v>
      </c>
      <c r="AH51" s="98">
        <v>139</v>
      </c>
      <c r="AI51" s="98">
        <v>139</v>
      </c>
      <c r="AJ51" s="98">
        <v>145</v>
      </c>
      <c r="AK51" s="98">
        <v>140</v>
      </c>
    </row>
    <row r="52" spans="2:37">
      <c r="C52" s="8">
        <v>7</v>
      </c>
      <c r="D52" s="11"/>
      <c r="E52" s="11"/>
      <c r="F52" s="11"/>
      <c r="G52" s="11"/>
      <c r="H52" s="11"/>
      <c r="I52" s="11"/>
      <c r="L52" s="11"/>
      <c r="M52" s="11"/>
      <c r="N52" s="8">
        <v>7</v>
      </c>
      <c r="O52" s="11"/>
      <c r="P52" s="11"/>
      <c r="Q52" s="11"/>
      <c r="R52" s="11"/>
      <c r="S52" s="11"/>
      <c r="W52" s="11"/>
      <c r="X52" s="11"/>
      <c r="Y52" s="8">
        <v>7</v>
      </c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</row>
    <row r="53" spans="2:37">
      <c r="C53" s="8">
        <v>8</v>
      </c>
      <c r="D53" s="11"/>
      <c r="E53" s="11"/>
      <c r="F53" s="11"/>
      <c r="G53" s="11"/>
      <c r="H53" s="11"/>
      <c r="I53" s="11"/>
      <c r="L53" s="11"/>
      <c r="M53" s="11"/>
      <c r="N53" s="8">
        <v>8</v>
      </c>
      <c r="O53" s="11"/>
      <c r="P53" s="11"/>
      <c r="Q53" s="11"/>
      <c r="R53" s="11"/>
      <c r="S53" s="11"/>
      <c r="W53" s="11"/>
      <c r="X53" s="11"/>
      <c r="Y53" s="8">
        <v>8</v>
      </c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</row>
    <row r="54" spans="2:37">
      <c r="C54" s="8">
        <v>9</v>
      </c>
      <c r="D54" s="11"/>
      <c r="E54" s="11"/>
      <c r="F54" s="11"/>
      <c r="G54" s="11"/>
      <c r="H54" s="11"/>
      <c r="I54" s="11"/>
      <c r="L54" s="11"/>
      <c r="M54" s="11"/>
      <c r="N54" s="8">
        <v>9</v>
      </c>
      <c r="O54" s="11"/>
      <c r="P54" s="11"/>
      <c r="Q54" s="11"/>
      <c r="R54" s="11"/>
      <c r="S54" s="11"/>
      <c r="W54" s="11"/>
      <c r="X54" s="11"/>
      <c r="Y54" s="8">
        <v>9</v>
      </c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</row>
    <row r="55" spans="2:37">
      <c r="C55" s="8">
        <v>10</v>
      </c>
      <c r="D55" s="11"/>
      <c r="E55" s="11"/>
      <c r="F55" s="11"/>
      <c r="G55" s="11"/>
      <c r="H55" s="11"/>
      <c r="I55" s="11"/>
      <c r="L55" s="11"/>
      <c r="M55" s="11"/>
      <c r="N55" s="8">
        <v>10</v>
      </c>
      <c r="O55" s="11"/>
      <c r="P55" s="11"/>
      <c r="Q55" s="11"/>
      <c r="R55" s="11"/>
      <c r="S55" s="11"/>
      <c r="W55" s="11"/>
      <c r="X55" s="11"/>
      <c r="Y55" s="8">
        <v>10</v>
      </c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</row>
    <row r="56" spans="2:37">
      <c r="C56" s="8">
        <v>11</v>
      </c>
      <c r="D56" s="11"/>
      <c r="E56" s="11"/>
      <c r="F56" s="11"/>
      <c r="G56" s="11"/>
      <c r="H56" s="11"/>
      <c r="I56" s="11"/>
      <c r="L56" s="11"/>
      <c r="M56" s="11"/>
      <c r="N56" s="8">
        <v>11</v>
      </c>
      <c r="O56" s="11"/>
      <c r="P56" s="11"/>
      <c r="Q56" s="11"/>
      <c r="R56" s="11"/>
      <c r="S56" s="11"/>
      <c r="W56" s="11"/>
      <c r="X56" s="11"/>
      <c r="Y56" s="8">
        <v>11</v>
      </c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</row>
    <row r="57" spans="2:37">
      <c r="C57" s="8">
        <v>12</v>
      </c>
      <c r="D57" s="11"/>
      <c r="E57" s="11"/>
      <c r="F57" s="11"/>
      <c r="G57" s="11"/>
      <c r="H57" s="11"/>
      <c r="I57" s="11"/>
      <c r="L57" s="11"/>
      <c r="M57" s="11"/>
      <c r="N57" s="8">
        <v>12</v>
      </c>
      <c r="O57" s="11"/>
      <c r="P57" s="11"/>
      <c r="Q57" s="11"/>
      <c r="R57" s="11"/>
      <c r="S57" s="11"/>
      <c r="W57" s="11"/>
      <c r="X57" s="11"/>
      <c r="Y57" s="8">
        <v>12</v>
      </c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</row>
    <row r="58" spans="2:37">
      <c r="B58" t="s">
        <v>21</v>
      </c>
      <c r="C58" s="6" t="s">
        <v>20</v>
      </c>
      <c r="D58" s="11"/>
      <c r="E58" s="11"/>
      <c r="F58" s="11"/>
      <c r="G58" s="11"/>
      <c r="H58" s="11"/>
      <c r="I58" s="11"/>
      <c r="L58" s="11"/>
      <c r="M58" s="11" t="str">
        <f t="shared" ref="M58:M121" si="3">B58</f>
        <v>Pcomp</v>
      </c>
      <c r="N58" s="6" t="s">
        <v>20</v>
      </c>
      <c r="O58" s="11"/>
      <c r="P58" s="11"/>
      <c r="Q58" s="11"/>
      <c r="R58" s="11"/>
      <c r="S58" s="11"/>
      <c r="W58" s="11"/>
      <c r="X58" s="11" t="str">
        <f>B58</f>
        <v>Pcomp</v>
      </c>
      <c r="Y58" s="6" t="s">
        <v>20</v>
      </c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</row>
    <row r="59" spans="2:37">
      <c r="C59" s="8">
        <v>1</v>
      </c>
      <c r="D59" s="11">
        <v>48</v>
      </c>
      <c r="E59" s="11">
        <v>75</v>
      </c>
      <c r="F59" s="11">
        <v>105</v>
      </c>
      <c r="G59" s="11">
        <v>123</v>
      </c>
      <c r="H59" s="11">
        <v>136</v>
      </c>
      <c r="I59" s="11">
        <v>146</v>
      </c>
      <c r="L59" s="11"/>
      <c r="M59" s="11"/>
      <c r="N59" s="8">
        <v>1</v>
      </c>
      <c r="O59" s="11">
        <v>74</v>
      </c>
      <c r="P59" s="11">
        <v>77</v>
      </c>
      <c r="Q59" s="11">
        <v>120</v>
      </c>
      <c r="R59" s="11">
        <v>124</v>
      </c>
      <c r="S59" s="11">
        <v>124</v>
      </c>
      <c r="W59" s="11"/>
      <c r="X59" s="11"/>
      <c r="Y59" s="8">
        <v>1</v>
      </c>
      <c r="Z59" s="98">
        <v>116.5</v>
      </c>
      <c r="AA59" s="98">
        <v>119.7</v>
      </c>
      <c r="AB59" s="98">
        <v>115.8</v>
      </c>
      <c r="AC59" s="98">
        <v>126.8</v>
      </c>
      <c r="AD59" s="98">
        <v>117.3</v>
      </c>
      <c r="AE59" s="98">
        <v>119.5</v>
      </c>
      <c r="AF59" s="98">
        <v>112.6</v>
      </c>
      <c r="AG59" s="98">
        <v>116.9</v>
      </c>
      <c r="AH59" s="98">
        <v>122.8</v>
      </c>
      <c r="AI59" s="98">
        <v>118.3</v>
      </c>
      <c r="AJ59" s="98">
        <v>115.8</v>
      </c>
      <c r="AK59" s="98">
        <v>108.1</v>
      </c>
    </row>
    <row r="60" spans="2:37">
      <c r="C60" s="8">
        <v>2</v>
      </c>
      <c r="D60" s="11">
        <v>48</v>
      </c>
      <c r="E60" s="11">
        <v>75</v>
      </c>
      <c r="F60" s="11">
        <v>105</v>
      </c>
      <c r="G60" s="11">
        <v>124</v>
      </c>
      <c r="H60" s="11">
        <v>137</v>
      </c>
      <c r="I60" s="11">
        <v>146</v>
      </c>
      <c r="L60" s="11"/>
      <c r="M60" s="11"/>
      <c r="N60" s="8">
        <v>2</v>
      </c>
      <c r="O60" s="11">
        <v>74</v>
      </c>
      <c r="P60" s="11">
        <v>78</v>
      </c>
      <c r="Q60" s="11">
        <v>121</v>
      </c>
      <c r="R60" s="11">
        <v>125</v>
      </c>
      <c r="S60" s="11">
        <v>124</v>
      </c>
      <c r="W60" s="11"/>
      <c r="X60" s="11"/>
      <c r="Y60" s="8">
        <v>2</v>
      </c>
      <c r="Z60" s="98">
        <v>117.9</v>
      </c>
      <c r="AA60" s="98">
        <v>121.7</v>
      </c>
      <c r="AB60" s="98">
        <v>117.3</v>
      </c>
      <c r="AC60" s="98">
        <v>127.7</v>
      </c>
      <c r="AD60" s="98">
        <v>118.2</v>
      </c>
      <c r="AE60" s="98">
        <v>116.7</v>
      </c>
      <c r="AF60" s="98">
        <v>113.2</v>
      </c>
      <c r="AG60" s="98">
        <v>117.9</v>
      </c>
      <c r="AH60" s="98">
        <v>124.6</v>
      </c>
      <c r="AI60" s="98">
        <v>120.1</v>
      </c>
      <c r="AJ60" s="98">
        <v>116.7</v>
      </c>
      <c r="AK60" s="98">
        <v>109</v>
      </c>
    </row>
    <row r="61" spans="2:37">
      <c r="C61" s="8">
        <v>3</v>
      </c>
      <c r="D61" s="11">
        <v>48</v>
      </c>
      <c r="E61" s="11">
        <v>75</v>
      </c>
      <c r="F61" s="11">
        <v>106</v>
      </c>
      <c r="G61" s="11">
        <v>124</v>
      </c>
      <c r="H61" s="11">
        <v>137</v>
      </c>
      <c r="I61" s="11">
        <v>147</v>
      </c>
      <c r="L61" s="11"/>
      <c r="M61" s="11"/>
      <c r="N61" s="8">
        <v>3</v>
      </c>
      <c r="O61" s="11">
        <v>74</v>
      </c>
      <c r="P61" s="11">
        <v>78</v>
      </c>
      <c r="Q61" s="11">
        <v>121</v>
      </c>
      <c r="R61" s="11">
        <v>124</v>
      </c>
      <c r="S61" s="11">
        <v>124</v>
      </c>
      <c r="W61" s="11"/>
      <c r="X61" s="11"/>
      <c r="Y61" s="8">
        <v>3</v>
      </c>
      <c r="Z61" s="98">
        <v>116.1</v>
      </c>
      <c r="AA61" s="98">
        <v>120.1</v>
      </c>
      <c r="AB61" s="98">
        <v>117.1</v>
      </c>
      <c r="AC61" s="98">
        <v>127.3</v>
      </c>
      <c r="AD61" s="98">
        <v>115.6</v>
      </c>
      <c r="AE61" s="98">
        <v>114.7</v>
      </c>
      <c r="AF61" s="98">
        <v>112.8</v>
      </c>
      <c r="AG61" s="98">
        <v>117.8</v>
      </c>
      <c r="AH61" s="98">
        <v>122.1</v>
      </c>
      <c r="AI61" s="98">
        <v>119</v>
      </c>
      <c r="AJ61" s="98">
        <v>115.6</v>
      </c>
      <c r="AK61" s="98">
        <v>108.1</v>
      </c>
    </row>
    <row r="62" spans="2:37">
      <c r="C62" s="8">
        <v>4</v>
      </c>
      <c r="D62" s="11">
        <v>48</v>
      </c>
      <c r="E62" s="11">
        <v>75</v>
      </c>
      <c r="F62" s="11">
        <v>105</v>
      </c>
      <c r="G62" s="11">
        <v>123</v>
      </c>
      <c r="H62" s="11">
        <v>136</v>
      </c>
      <c r="I62" s="11">
        <v>146</v>
      </c>
      <c r="L62" s="11"/>
      <c r="M62" s="11"/>
      <c r="N62" s="8">
        <v>4</v>
      </c>
      <c r="O62" s="11">
        <v>74</v>
      </c>
      <c r="P62" s="11">
        <v>77</v>
      </c>
      <c r="Q62" s="11">
        <v>120</v>
      </c>
      <c r="R62" s="11">
        <v>124</v>
      </c>
      <c r="S62" s="11">
        <v>124</v>
      </c>
      <c r="W62" s="11"/>
      <c r="X62" s="11"/>
      <c r="Y62" s="8">
        <v>4</v>
      </c>
      <c r="Z62" s="98">
        <v>116.5</v>
      </c>
      <c r="AA62" s="98">
        <v>120.6</v>
      </c>
      <c r="AB62" s="98">
        <v>114.9</v>
      </c>
      <c r="AC62" s="98">
        <v>127.3</v>
      </c>
      <c r="AD62" s="98">
        <v>116.8</v>
      </c>
      <c r="AE62" s="98">
        <v>115.4</v>
      </c>
      <c r="AF62" s="98">
        <v>111.8</v>
      </c>
      <c r="AG62" s="98">
        <v>117.5</v>
      </c>
      <c r="AH62" s="98">
        <v>121.2</v>
      </c>
      <c r="AI62" s="98">
        <v>117.7</v>
      </c>
      <c r="AJ62" s="98">
        <v>116.3</v>
      </c>
      <c r="AK62" s="98">
        <v>108.1</v>
      </c>
    </row>
    <row r="63" spans="2:37">
      <c r="C63" s="8">
        <v>5</v>
      </c>
      <c r="D63" s="11">
        <v>48</v>
      </c>
      <c r="E63" s="11">
        <v>75</v>
      </c>
      <c r="F63" s="11">
        <v>105</v>
      </c>
      <c r="G63" s="11">
        <v>123</v>
      </c>
      <c r="H63" s="11">
        <v>135</v>
      </c>
      <c r="I63" s="11">
        <v>144</v>
      </c>
      <c r="L63" s="11"/>
      <c r="M63" s="11"/>
      <c r="N63" s="8">
        <v>5</v>
      </c>
      <c r="O63" s="11">
        <v>74</v>
      </c>
      <c r="P63" s="11">
        <v>77</v>
      </c>
      <c r="Q63" s="11">
        <v>120</v>
      </c>
      <c r="R63" s="11">
        <v>124</v>
      </c>
      <c r="S63" s="11">
        <v>123</v>
      </c>
      <c r="W63" s="11"/>
      <c r="X63" s="11"/>
      <c r="Y63" s="8">
        <v>5</v>
      </c>
      <c r="Z63" s="98">
        <v>115.8</v>
      </c>
      <c r="AA63" s="98">
        <v>120.3</v>
      </c>
      <c r="AB63" s="98">
        <v>114</v>
      </c>
      <c r="AC63" s="98">
        <v>125.6</v>
      </c>
      <c r="AD63" s="98">
        <v>116.8</v>
      </c>
      <c r="AE63" s="98">
        <v>114.2</v>
      </c>
      <c r="AF63" s="98">
        <v>112.6</v>
      </c>
      <c r="AG63" s="98">
        <v>116.6</v>
      </c>
      <c r="AH63" s="98">
        <v>121.8</v>
      </c>
      <c r="AI63" s="98">
        <v>118.6</v>
      </c>
      <c r="AJ63" s="98">
        <v>114.9</v>
      </c>
      <c r="AK63" s="98">
        <v>109.1</v>
      </c>
    </row>
    <row r="64" spans="2:37">
      <c r="C64" s="8">
        <v>6</v>
      </c>
      <c r="D64" s="11">
        <v>48</v>
      </c>
      <c r="E64" s="11">
        <v>73</v>
      </c>
      <c r="F64" s="11">
        <v>105</v>
      </c>
      <c r="G64" s="11">
        <v>122</v>
      </c>
      <c r="H64" s="11">
        <v>136</v>
      </c>
      <c r="I64" s="11">
        <v>146</v>
      </c>
      <c r="L64" s="11"/>
      <c r="M64" s="11"/>
      <c r="N64" s="8">
        <v>6</v>
      </c>
      <c r="O64" s="11">
        <v>74</v>
      </c>
      <c r="P64" s="11">
        <v>79</v>
      </c>
      <c r="Q64" s="11">
        <v>120</v>
      </c>
      <c r="R64" s="11">
        <v>124</v>
      </c>
      <c r="S64" s="11">
        <v>124</v>
      </c>
      <c r="W64" s="11"/>
      <c r="X64" s="11"/>
      <c r="Y64" s="8">
        <v>6</v>
      </c>
      <c r="Z64" s="98">
        <v>116</v>
      </c>
      <c r="AA64" s="98">
        <v>120.5</v>
      </c>
      <c r="AB64" s="98">
        <v>116.1</v>
      </c>
      <c r="AC64" s="98">
        <v>126.1</v>
      </c>
      <c r="AD64" s="98">
        <v>116.8</v>
      </c>
      <c r="AE64" s="98">
        <v>115.9</v>
      </c>
      <c r="AF64" s="98">
        <v>113.5</v>
      </c>
      <c r="AG64" s="98">
        <v>117.8</v>
      </c>
      <c r="AH64" s="98">
        <v>124.5</v>
      </c>
      <c r="AI64" s="98">
        <v>118.4</v>
      </c>
      <c r="AJ64" s="98">
        <v>116.8</v>
      </c>
      <c r="AK64" s="98">
        <v>108.5</v>
      </c>
    </row>
    <row r="65" spans="2:38">
      <c r="C65" s="8">
        <v>7</v>
      </c>
      <c r="D65" s="11"/>
      <c r="E65" s="11"/>
      <c r="F65" s="11"/>
      <c r="G65" s="11"/>
      <c r="H65" s="11"/>
      <c r="I65" s="11"/>
      <c r="L65" s="11"/>
      <c r="M65" s="11"/>
      <c r="N65" s="8">
        <v>7</v>
      </c>
      <c r="O65" s="11"/>
      <c r="P65" s="11"/>
      <c r="Q65" s="11"/>
      <c r="R65" s="11"/>
      <c r="S65" s="11"/>
      <c r="W65" s="11"/>
      <c r="X65" s="11"/>
      <c r="Y65" s="8">
        <v>7</v>
      </c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</row>
    <row r="66" spans="2:38">
      <c r="C66" s="8">
        <v>8</v>
      </c>
      <c r="D66" s="11"/>
      <c r="E66" s="11"/>
      <c r="F66" s="11"/>
      <c r="G66" s="11"/>
      <c r="H66" s="11"/>
      <c r="I66" s="11"/>
      <c r="L66" s="11"/>
      <c r="M66" s="11"/>
      <c r="N66" s="8">
        <v>8</v>
      </c>
      <c r="O66" s="11"/>
      <c r="P66" s="11"/>
      <c r="Q66" s="11"/>
      <c r="R66" s="11"/>
      <c r="S66" s="11"/>
      <c r="W66" s="11"/>
      <c r="X66" s="11"/>
      <c r="Y66" s="8">
        <v>8</v>
      </c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</row>
    <row r="67" spans="2:38">
      <c r="C67" s="8">
        <v>9</v>
      </c>
      <c r="D67" s="11"/>
      <c r="E67" s="11"/>
      <c r="F67" s="11"/>
      <c r="G67" s="11"/>
      <c r="H67" s="11"/>
      <c r="I67" s="11"/>
      <c r="L67" s="11"/>
      <c r="M67" s="11"/>
      <c r="N67" s="8">
        <v>9</v>
      </c>
      <c r="O67" s="11"/>
      <c r="P67" s="11"/>
      <c r="Q67" s="11"/>
      <c r="R67" s="11"/>
      <c r="S67" s="11"/>
      <c r="W67" s="11"/>
      <c r="X67" s="11"/>
      <c r="Y67" s="8">
        <v>9</v>
      </c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</row>
    <row r="68" spans="2:38">
      <c r="C68" s="8">
        <v>10</v>
      </c>
      <c r="D68" s="11"/>
      <c r="E68" s="11"/>
      <c r="F68" s="11"/>
      <c r="G68" s="11"/>
      <c r="H68" s="11"/>
      <c r="I68" s="11"/>
      <c r="L68" s="11"/>
      <c r="M68" s="11"/>
      <c r="N68" s="8">
        <v>10</v>
      </c>
      <c r="O68" s="11"/>
      <c r="P68" s="11"/>
      <c r="Q68" s="11"/>
      <c r="R68" s="11"/>
      <c r="S68" s="11"/>
      <c r="W68" s="11"/>
      <c r="X68" s="11"/>
      <c r="Y68" s="8">
        <v>10</v>
      </c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</row>
    <row r="69" spans="2:38">
      <c r="C69" s="8">
        <v>11</v>
      </c>
      <c r="D69" s="11"/>
      <c r="E69" s="11"/>
      <c r="F69" s="11"/>
      <c r="G69" s="11"/>
      <c r="H69" s="11"/>
      <c r="I69" s="11"/>
      <c r="L69" s="11"/>
      <c r="M69" s="11"/>
      <c r="N69" s="8">
        <v>11</v>
      </c>
      <c r="O69" s="11"/>
      <c r="P69" s="11"/>
      <c r="Q69" s="11"/>
      <c r="R69" s="11"/>
      <c r="S69" s="11"/>
      <c r="W69" s="11"/>
      <c r="X69" s="11"/>
      <c r="Y69" s="8">
        <v>11</v>
      </c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</row>
    <row r="70" spans="2:38">
      <c r="C70" s="8">
        <v>12</v>
      </c>
      <c r="D70" s="11"/>
      <c r="E70" s="11"/>
      <c r="F70" s="11"/>
      <c r="G70" s="11"/>
      <c r="H70" s="11"/>
      <c r="I70" s="11"/>
      <c r="L70" s="11"/>
      <c r="M70" s="11"/>
      <c r="N70" s="8">
        <v>12</v>
      </c>
      <c r="O70" s="11"/>
      <c r="P70" s="11"/>
      <c r="Q70" s="11"/>
      <c r="R70" s="11"/>
      <c r="S70" s="11"/>
      <c r="W70" s="11"/>
      <c r="X70" s="11"/>
      <c r="Y70" s="8">
        <v>12</v>
      </c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</row>
    <row r="71" spans="2:38">
      <c r="B71" t="s">
        <v>22</v>
      </c>
      <c r="C71" s="6" t="s">
        <v>20</v>
      </c>
      <c r="D71" s="11"/>
      <c r="E71" s="11"/>
      <c r="F71" s="11"/>
      <c r="G71" s="11"/>
      <c r="H71" s="11"/>
      <c r="I71" s="11"/>
      <c r="L71" s="11"/>
      <c r="M71" s="11" t="str">
        <f t="shared" si="3"/>
        <v>IMEP</v>
      </c>
      <c r="N71" s="6" t="s">
        <v>20</v>
      </c>
      <c r="O71" s="11"/>
      <c r="P71" s="11"/>
      <c r="Q71" s="11"/>
      <c r="R71" s="11"/>
      <c r="S71" s="11"/>
      <c r="W71" s="11"/>
      <c r="X71" s="11" t="str">
        <f t="shared" ref="X71:X113" si="4">B71</f>
        <v>IMEP</v>
      </c>
      <c r="Y71" s="6" t="s">
        <v>20</v>
      </c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</row>
    <row r="72" spans="2:38" s="11" customFormat="1">
      <c r="C72" s="8">
        <v>1</v>
      </c>
      <c r="D72" s="11">
        <v>7.96</v>
      </c>
      <c r="E72" s="11">
        <v>11.97</v>
      </c>
      <c r="F72" s="11">
        <v>15.36</v>
      </c>
      <c r="G72" s="11">
        <v>17.18</v>
      </c>
      <c r="H72" s="11">
        <v>18.3</v>
      </c>
      <c r="I72" s="11">
        <v>19.54</v>
      </c>
      <c r="N72" s="8">
        <v>1</v>
      </c>
      <c r="Y72" s="8">
        <v>1</v>
      </c>
      <c r="Z72" s="98">
        <v>15.8</v>
      </c>
      <c r="AA72" s="98">
        <v>14.8</v>
      </c>
      <c r="AB72" s="98">
        <v>14.9</v>
      </c>
      <c r="AC72" s="98">
        <v>15.5</v>
      </c>
      <c r="AD72" s="98">
        <v>14.3</v>
      </c>
      <c r="AE72" s="98">
        <v>15.8</v>
      </c>
      <c r="AF72" s="98">
        <v>14.8</v>
      </c>
      <c r="AG72" s="98">
        <v>15.3</v>
      </c>
      <c r="AH72" s="98">
        <v>16.100000000000001</v>
      </c>
      <c r="AI72" s="98">
        <v>15.8</v>
      </c>
      <c r="AJ72" s="98">
        <v>15.3</v>
      </c>
      <c r="AK72" s="98">
        <v>16</v>
      </c>
      <c r="AL72" s="97"/>
    </row>
    <row r="73" spans="2:38" s="11" customFormat="1">
      <c r="C73" s="8">
        <v>2</v>
      </c>
      <c r="D73" s="11">
        <v>7.87</v>
      </c>
      <c r="E73" s="11">
        <v>11.89</v>
      </c>
      <c r="F73" s="11">
        <v>15.22</v>
      </c>
      <c r="G73" s="11">
        <v>17.05</v>
      </c>
      <c r="H73" s="11">
        <v>18.260000000000002</v>
      </c>
      <c r="I73" s="11">
        <v>19.45</v>
      </c>
      <c r="N73" s="8">
        <v>2</v>
      </c>
      <c r="Y73" s="8">
        <v>2</v>
      </c>
      <c r="Z73" s="98">
        <v>15.6</v>
      </c>
      <c r="AA73" s="98">
        <v>14.8</v>
      </c>
      <c r="AB73" s="98">
        <v>15</v>
      </c>
      <c r="AC73" s="98">
        <v>15.2</v>
      </c>
      <c r="AD73" s="98">
        <v>14.9</v>
      </c>
      <c r="AE73" s="98">
        <v>14.5</v>
      </c>
      <c r="AF73" s="98">
        <v>14.7</v>
      </c>
      <c r="AG73" s="98">
        <v>15</v>
      </c>
      <c r="AH73" s="98">
        <v>15.8</v>
      </c>
      <c r="AI73" s="98">
        <v>15.8</v>
      </c>
      <c r="AJ73" s="98">
        <v>15.5</v>
      </c>
      <c r="AK73" s="98">
        <v>16.100000000000001</v>
      </c>
      <c r="AL73" s="97"/>
    </row>
    <row r="74" spans="2:38" s="11" customFormat="1">
      <c r="C74" s="8">
        <v>3</v>
      </c>
      <c r="D74" s="11">
        <v>7.79</v>
      </c>
      <c r="E74" s="11">
        <v>11.8</v>
      </c>
      <c r="F74" s="11">
        <v>15.07</v>
      </c>
      <c r="G74" s="11">
        <v>16.829999999999998</v>
      </c>
      <c r="H74" s="11">
        <v>18.11</v>
      </c>
      <c r="I74" s="11">
        <v>19.350000000000001</v>
      </c>
      <c r="N74" s="8">
        <v>3</v>
      </c>
      <c r="Y74" s="8">
        <v>3</v>
      </c>
      <c r="Z74" s="98">
        <v>15.1</v>
      </c>
      <c r="AA74" s="98">
        <v>14.3</v>
      </c>
      <c r="AB74" s="98">
        <v>14.4</v>
      </c>
      <c r="AC74" s="98">
        <v>15.2</v>
      </c>
      <c r="AD74" s="98">
        <v>14.6</v>
      </c>
      <c r="AE74" s="98">
        <v>13.6</v>
      </c>
      <c r="AF74" s="98">
        <v>14.3</v>
      </c>
      <c r="AG74" s="98">
        <v>14.9</v>
      </c>
      <c r="AH74" s="98">
        <v>15.4</v>
      </c>
      <c r="AI74" s="98">
        <v>15.6</v>
      </c>
      <c r="AJ74" s="98">
        <v>14.8</v>
      </c>
      <c r="AK74" s="98">
        <v>15.7</v>
      </c>
      <c r="AL74" s="97"/>
    </row>
    <row r="75" spans="2:38" s="11" customFormat="1">
      <c r="C75" s="8">
        <v>4</v>
      </c>
      <c r="D75" s="11">
        <v>7.68</v>
      </c>
      <c r="E75" s="11">
        <v>11.67</v>
      </c>
      <c r="F75" s="11">
        <v>15.14</v>
      </c>
      <c r="G75" s="11">
        <v>17.239999999999998</v>
      </c>
      <c r="H75" s="11">
        <v>18.39</v>
      </c>
      <c r="I75" s="11">
        <v>19.600000000000001</v>
      </c>
      <c r="N75" s="8">
        <v>4</v>
      </c>
      <c r="Y75" s="8">
        <v>4</v>
      </c>
      <c r="Z75" s="98">
        <v>15.5</v>
      </c>
      <c r="AA75" s="98">
        <v>15.3</v>
      </c>
      <c r="AB75" s="98">
        <v>14.7</v>
      </c>
      <c r="AC75" s="98">
        <v>15.6</v>
      </c>
      <c r="AD75" s="98">
        <v>15.4</v>
      </c>
      <c r="AE75" s="98">
        <v>14.6</v>
      </c>
      <c r="AF75" s="98">
        <v>14.7</v>
      </c>
      <c r="AG75" s="98">
        <v>15.5</v>
      </c>
      <c r="AH75" s="98">
        <v>15.8</v>
      </c>
      <c r="AI75" s="98">
        <v>16</v>
      </c>
      <c r="AJ75" s="98">
        <v>15.5</v>
      </c>
      <c r="AK75" s="98">
        <v>16.2</v>
      </c>
      <c r="AL75" s="97"/>
    </row>
    <row r="76" spans="2:38" s="11" customFormat="1">
      <c r="C76" s="8">
        <v>5</v>
      </c>
      <c r="D76" s="11">
        <v>7.81</v>
      </c>
      <c r="E76" s="11">
        <v>11.75</v>
      </c>
      <c r="F76" s="11">
        <v>15.01</v>
      </c>
      <c r="G76" s="11">
        <v>16.88</v>
      </c>
      <c r="H76" s="11">
        <v>18.079999999999998</v>
      </c>
      <c r="I76" s="11">
        <v>19.14</v>
      </c>
      <c r="N76" s="8">
        <v>5</v>
      </c>
      <c r="Y76" s="8">
        <v>5</v>
      </c>
      <c r="Z76" s="98">
        <v>15.5</v>
      </c>
      <c r="AA76" s="98">
        <v>14.7</v>
      </c>
      <c r="AB76" s="118">
        <v>14.3</v>
      </c>
      <c r="AC76" s="98">
        <v>15.3</v>
      </c>
      <c r="AD76" s="98">
        <v>15.3</v>
      </c>
      <c r="AE76" s="98">
        <v>14.1</v>
      </c>
      <c r="AF76" s="98">
        <v>14.7</v>
      </c>
      <c r="AG76" s="98">
        <v>15.2</v>
      </c>
      <c r="AH76" s="98">
        <v>16.100000000000001</v>
      </c>
      <c r="AI76" s="98">
        <v>15.8</v>
      </c>
      <c r="AJ76" s="98">
        <v>15.1</v>
      </c>
      <c r="AK76" s="98">
        <v>16.100000000000001</v>
      </c>
      <c r="AL76" s="97"/>
    </row>
    <row r="77" spans="2:38" s="11" customFormat="1">
      <c r="C77" s="8">
        <v>6</v>
      </c>
      <c r="D77" s="11">
        <v>7.72</v>
      </c>
      <c r="E77" s="11">
        <v>11.91</v>
      </c>
      <c r="F77" s="11">
        <v>15.27</v>
      </c>
      <c r="G77" s="11">
        <v>17.02</v>
      </c>
      <c r="H77" s="11">
        <v>18.03</v>
      </c>
      <c r="I77" s="11">
        <v>19.22</v>
      </c>
      <c r="N77" s="8">
        <v>6</v>
      </c>
      <c r="Y77" s="8">
        <v>6</v>
      </c>
      <c r="Z77" s="98">
        <v>15.5</v>
      </c>
      <c r="AA77" s="98">
        <v>15</v>
      </c>
      <c r="AB77" s="98">
        <v>14.5</v>
      </c>
      <c r="AC77" s="98">
        <v>15.2</v>
      </c>
      <c r="AD77" s="98">
        <v>15.2</v>
      </c>
      <c r="AE77" s="98">
        <v>14.6</v>
      </c>
      <c r="AF77" s="98">
        <v>14.5</v>
      </c>
      <c r="AG77" s="98">
        <v>15.2</v>
      </c>
      <c r="AH77" s="98">
        <v>16</v>
      </c>
      <c r="AI77" s="98">
        <v>15.5</v>
      </c>
      <c r="AJ77" s="98">
        <v>15</v>
      </c>
      <c r="AK77" s="98">
        <v>15.8</v>
      </c>
      <c r="AL77" s="97"/>
    </row>
    <row r="78" spans="2:38" s="11" customFormat="1">
      <c r="C78" s="8">
        <v>7</v>
      </c>
      <c r="N78" s="8">
        <v>7</v>
      </c>
      <c r="Y78" s="8">
        <v>7</v>
      </c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7"/>
    </row>
    <row r="79" spans="2:38" s="11" customFormat="1">
      <c r="C79" s="8">
        <v>8</v>
      </c>
      <c r="N79" s="8">
        <v>8</v>
      </c>
      <c r="Y79" s="8">
        <v>8</v>
      </c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7"/>
    </row>
    <row r="80" spans="2:38" s="11" customFormat="1">
      <c r="C80" s="8">
        <v>9</v>
      </c>
      <c r="N80" s="8">
        <v>9</v>
      </c>
      <c r="Y80" s="8">
        <v>9</v>
      </c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7"/>
    </row>
    <row r="81" spans="2:38" s="11" customFormat="1">
      <c r="C81" s="8">
        <v>10</v>
      </c>
      <c r="N81" s="8">
        <v>10</v>
      </c>
      <c r="Y81" s="8">
        <v>10</v>
      </c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7"/>
    </row>
    <row r="82" spans="2:38" s="11" customFormat="1">
      <c r="C82" s="8">
        <v>11</v>
      </c>
      <c r="N82" s="8">
        <v>11</v>
      </c>
      <c r="Y82" s="8">
        <v>11</v>
      </c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7"/>
    </row>
    <row r="83" spans="2:38" s="11" customFormat="1">
      <c r="C83" s="8">
        <v>12</v>
      </c>
      <c r="N83" s="8">
        <v>12</v>
      </c>
      <c r="Y83" s="8">
        <v>12</v>
      </c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7"/>
    </row>
    <row r="84" spans="2:38">
      <c r="B84" t="s">
        <v>23</v>
      </c>
      <c r="C84" s="6" t="s">
        <v>15</v>
      </c>
      <c r="D84" s="11"/>
      <c r="E84" s="11"/>
      <c r="F84" s="11"/>
      <c r="G84" s="11"/>
      <c r="H84" s="11"/>
      <c r="I84" s="11"/>
      <c r="L84" s="11"/>
      <c r="M84" s="11" t="str">
        <f t="shared" si="3"/>
        <v>Fuel Pump Index</v>
      </c>
      <c r="N84" s="6" t="s">
        <v>15</v>
      </c>
      <c r="O84" s="11"/>
      <c r="P84" s="11"/>
      <c r="Q84" s="11"/>
      <c r="R84" s="11"/>
      <c r="S84" s="11"/>
      <c r="W84" s="11"/>
      <c r="X84" s="11" t="str">
        <f t="shared" si="4"/>
        <v>Fuel Pump Index</v>
      </c>
      <c r="Y84" s="6" t="s">
        <v>15</v>
      </c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</row>
    <row r="85" spans="2:38" s="11" customFormat="1">
      <c r="C85" s="8">
        <v>1</v>
      </c>
      <c r="D85" s="11">
        <v>42</v>
      </c>
      <c r="E85" s="11">
        <v>57</v>
      </c>
      <c r="F85" s="11">
        <v>70</v>
      </c>
      <c r="G85" s="11">
        <v>79</v>
      </c>
      <c r="H85" s="11">
        <v>85</v>
      </c>
      <c r="I85" s="11">
        <v>91</v>
      </c>
      <c r="N85" s="8">
        <v>1</v>
      </c>
      <c r="O85" s="11">
        <v>62</v>
      </c>
      <c r="P85" s="53">
        <v>65</v>
      </c>
      <c r="Q85" s="11">
        <v>85</v>
      </c>
      <c r="R85" s="11">
        <v>88</v>
      </c>
      <c r="S85" s="11">
        <v>86</v>
      </c>
      <c r="Y85" s="8">
        <v>1</v>
      </c>
      <c r="Z85" s="98">
        <v>85</v>
      </c>
      <c r="AA85" s="98">
        <v>83</v>
      </c>
      <c r="AB85" s="98">
        <v>80</v>
      </c>
      <c r="AC85" s="98">
        <v>88</v>
      </c>
      <c r="AD85" s="98">
        <v>88</v>
      </c>
      <c r="AE85" s="98">
        <v>85</v>
      </c>
      <c r="AF85" s="98">
        <v>83</v>
      </c>
      <c r="AG85" s="98">
        <v>87</v>
      </c>
      <c r="AH85" s="98">
        <v>90</v>
      </c>
      <c r="AI85" s="98">
        <v>89</v>
      </c>
      <c r="AJ85" s="98">
        <v>87</v>
      </c>
      <c r="AK85" s="98">
        <v>82</v>
      </c>
      <c r="AL85" s="97"/>
    </row>
    <row r="86" spans="2:38" s="11" customFormat="1">
      <c r="C86" s="8">
        <v>2</v>
      </c>
      <c r="D86" s="11">
        <v>42</v>
      </c>
      <c r="E86" s="11">
        <v>57</v>
      </c>
      <c r="F86" s="11">
        <v>70</v>
      </c>
      <c r="G86" s="11">
        <v>79</v>
      </c>
      <c r="H86" s="11">
        <v>85</v>
      </c>
      <c r="I86" s="11">
        <v>91</v>
      </c>
      <c r="N86" s="8">
        <v>2</v>
      </c>
      <c r="O86" s="11">
        <v>62</v>
      </c>
      <c r="P86" s="53">
        <v>65</v>
      </c>
      <c r="Q86" s="11">
        <v>85</v>
      </c>
      <c r="R86" s="11">
        <v>88</v>
      </c>
      <c r="S86" s="11">
        <v>86</v>
      </c>
      <c r="Y86" s="8">
        <v>2</v>
      </c>
      <c r="Z86" s="98">
        <v>82</v>
      </c>
      <c r="AA86" s="98">
        <v>80</v>
      </c>
      <c r="AB86" s="98">
        <v>77</v>
      </c>
      <c r="AC86" s="98">
        <v>85</v>
      </c>
      <c r="AD86" s="98">
        <v>86</v>
      </c>
      <c r="AE86" s="98">
        <v>83</v>
      </c>
      <c r="AF86" s="98">
        <v>81</v>
      </c>
      <c r="AG86" s="98">
        <v>84</v>
      </c>
      <c r="AH86" s="98">
        <v>88</v>
      </c>
      <c r="AI86" s="98">
        <v>89</v>
      </c>
      <c r="AJ86" s="98">
        <v>84</v>
      </c>
      <c r="AK86" s="98">
        <v>80</v>
      </c>
      <c r="AL86" s="97"/>
    </row>
    <row r="87" spans="2:38" s="11" customFormat="1">
      <c r="C87" s="8">
        <v>3</v>
      </c>
      <c r="D87" s="11">
        <v>41</v>
      </c>
      <c r="E87" s="11">
        <v>56</v>
      </c>
      <c r="F87" s="11">
        <v>70</v>
      </c>
      <c r="G87" s="11">
        <v>78</v>
      </c>
      <c r="H87" s="11">
        <v>84</v>
      </c>
      <c r="I87" s="11">
        <v>91</v>
      </c>
      <c r="N87" s="8">
        <v>3</v>
      </c>
      <c r="O87" s="11">
        <v>62</v>
      </c>
      <c r="P87" s="53">
        <v>64</v>
      </c>
      <c r="Q87" s="11">
        <v>84</v>
      </c>
      <c r="R87" s="11">
        <v>87</v>
      </c>
      <c r="S87" s="11">
        <v>85</v>
      </c>
      <c r="Y87" s="8">
        <v>3</v>
      </c>
      <c r="Z87" s="98">
        <v>82</v>
      </c>
      <c r="AA87" s="98">
        <v>80</v>
      </c>
      <c r="AB87" s="98">
        <v>80</v>
      </c>
      <c r="AC87" s="98">
        <v>84</v>
      </c>
      <c r="AD87" s="98">
        <v>84</v>
      </c>
      <c r="AE87" s="98">
        <v>82</v>
      </c>
      <c r="AF87" s="98">
        <v>81</v>
      </c>
      <c r="AG87" s="98">
        <v>84</v>
      </c>
      <c r="AH87" s="98">
        <v>89</v>
      </c>
      <c r="AI87" s="98">
        <v>88</v>
      </c>
      <c r="AJ87" s="98">
        <v>85</v>
      </c>
      <c r="AK87" s="98">
        <v>80</v>
      </c>
      <c r="AL87" s="97"/>
    </row>
    <row r="88" spans="2:38" s="11" customFormat="1">
      <c r="C88" s="8">
        <v>4</v>
      </c>
      <c r="D88" s="11">
        <v>42</v>
      </c>
      <c r="E88" s="11">
        <v>57</v>
      </c>
      <c r="F88" s="11">
        <v>70</v>
      </c>
      <c r="G88" s="11">
        <v>79</v>
      </c>
      <c r="H88" s="11">
        <v>85</v>
      </c>
      <c r="I88" s="11">
        <v>91</v>
      </c>
      <c r="N88" s="8">
        <v>4</v>
      </c>
      <c r="O88" s="11">
        <v>63</v>
      </c>
      <c r="P88" s="53">
        <v>64</v>
      </c>
      <c r="Q88" s="11">
        <v>85</v>
      </c>
      <c r="R88" s="11">
        <v>88</v>
      </c>
      <c r="S88" s="11">
        <v>86</v>
      </c>
      <c r="Y88" s="8">
        <v>4</v>
      </c>
      <c r="Z88" s="98">
        <v>84</v>
      </c>
      <c r="AA88" s="98">
        <v>82</v>
      </c>
      <c r="AB88" s="98">
        <v>77</v>
      </c>
      <c r="AC88" s="98">
        <v>88</v>
      </c>
      <c r="AD88" s="98">
        <v>86</v>
      </c>
      <c r="AE88" s="98">
        <v>84</v>
      </c>
      <c r="AF88" s="98">
        <v>81</v>
      </c>
      <c r="AG88" s="98">
        <v>86</v>
      </c>
      <c r="AH88" s="98">
        <v>88</v>
      </c>
      <c r="AI88" s="98">
        <v>88</v>
      </c>
      <c r="AJ88" s="98">
        <v>85</v>
      </c>
      <c r="AK88" s="98">
        <v>81</v>
      </c>
      <c r="AL88" s="97"/>
    </row>
    <row r="89" spans="2:38" s="11" customFormat="1">
      <c r="C89" s="8">
        <v>5</v>
      </c>
      <c r="D89" s="11">
        <v>41</v>
      </c>
      <c r="E89" s="11">
        <v>56</v>
      </c>
      <c r="F89" s="11">
        <v>69</v>
      </c>
      <c r="G89" s="11">
        <v>78</v>
      </c>
      <c r="H89" s="11">
        <v>84</v>
      </c>
      <c r="I89" s="11">
        <v>90</v>
      </c>
      <c r="N89" s="8">
        <v>5</v>
      </c>
      <c r="O89" s="11">
        <v>62</v>
      </c>
      <c r="P89" s="53">
        <v>64</v>
      </c>
      <c r="Q89" s="11">
        <v>84</v>
      </c>
      <c r="R89" s="11">
        <v>87</v>
      </c>
      <c r="S89" s="11">
        <v>85</v>
      </c>
      <c r="Y89" s="8">
        <v>5</v>
      </c>
      <c r="Z89" s="98">
        <v>83</v>
      </c>
      <c r="AA89" s="98">
        <v>81</v>
      </c>
      <c r="AB89" s="98">
        <v>77</v>
      </c>
      <c r="AC89" s="98">
        <v>86</v>
      </c>
      <c r="AD89" s="98">
        <v>84</v>
      </c>
      <c r="AE89" s="98">
        <v>83</v>
      </c>
      <c r="AF89" s="98">
        <v>81</v>
      </c>
      <c r="AG89" s="98">
        <v>85</v>
      </c>
      <c r="AH89" s="98">
        <v>89</v>
      </c>
      <c r="AI89" s="98">
        <v>88</v>
      </c>
      <c r="AJ89" s="98">
        <v>84</v>
      </c>
      <c r="AK89" s="98">
        <v>81</v>
      </c>
      <c r="AL89" s="97"/>
    </row>
    <row r="90" spans="2:38" s="11" customFormat="1">
      <c r="C90" s="8">
        <v>6</v>
      </c>
      <c r="D90" s="11">
        <v>41</v>
      </c>
      <c r="E90" s="11">
        <v>56</v>
      </c>
      <c r="F90" s="11">
        <v>69</v>
      </c>
      <c r="G90" s="11">
        <v>78</v>
      </c>
      <c r="H90" s="11">
        <v>84</v>
      </c>
      <c r="I90" s="11">
        <v>90</v>
      </c>
      <c r="N90" s="8">
        <v>6</v>
      </c>
      <c r="O90" s="11">
        <v>62</v>
      </c>
      <c r="P90" s="53">
        <v>65</v>
      </c>
      <c r="Q90" s="11">
        <v>84</v>
      </c>
      <c r="R90" s="11">
        <v>87</v>
      </c>
      <c r="S90" s="11">
        <v>85</v>
      </c>
      <c r="Y90" s="8">
        <v>6</v>
      </c>
      <c r="Z90" s="98">
        <v>83</v>
      </c>
      <c r="AA90" s="98">
        <v>80</v>
      </c>
      <c r="AB90" s="98">
        <v>76</v>
      </c>
      <c r="AC90" s="98">
        <v>85</v>
      </c>
      <c r="AD90" s="98">
        <v>84</v>
      </c>
      <c r="AE90" s="98">
        <v>80</v>
      </c>
      <c r="AF90" s="98">
        <v>80</v>
      </c>
      <c r="AG90" s="98">
        <v>84</v>
      </c>
      <c r="AH90" s="98">
        <v>87</v>
      </c>
      <c r="AI90" s="98">
        <v>87</v>
      </c>
      <c r="AJ90" s="98">
        <v>84</v>
      </c>
      <c r="AK90" s="98">
        <v>80</v>
      </c>
      <c r="AL90" s="97"/>
    </row>
    <row r="91" spans="2:38" s="11" customFormat="1">
      <c r="C91" s="8">
        <v>7</v>
      </c>
      <c r="N91" s="8">
        <v>7</v>
      </c>
      <c r="Y91" s="8">
        <v>7</v>
      </c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7"/>
    </row>
    <row r="92" spans="2:38" s="11" customFormat="1">
      <c r="C92" s="8">
        <v>8</v>
      </c>
      <c r="N92" s="8">
        <v>8</v>
      </c>
      <c r="Y92" s="8">
        <v>8</v>
      </c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7"/>
    </row>
    <row r="93" spans="2:38" s="11" customFormat="1">
      <c r="C93" s="8">
        <v>9</v>
      </c>
      <c r="N93" s="8">
        <v>9</v>
      </c>
      <c r="Y93" s="8">
        <v>9</v>
      </c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7"/>
    </row>
    <row r="94" spans="2:38" s="11" customFormat="1">
      <c r="C94" s="8">
        <v>10</v>
      </c>
      <c r="N94" s="8">
        <v>10</v>
      </c>
      <c r="Y94" s="8">
        <v>10</v>
      </c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7"/>
    </row>
    <row r="95" spans="2:38" s="11" customFormat="1">
      <c r="C95" s="8">
        <v>11</v>
      </c>
      <c r="N95" s="8">
        <v>11</v>
      </c>
      <c r="Y95" s="8">
        <v>11</v>
      </c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7"/>
    </row>
    <row r="96" spans="2:38" s="11" customFormat="1">
      <c r="C96" s="8">
        <v>12</v>
      </c>
      <c r="N96" s="8">
        <v>12</v>
      </c>
      <c r="Y96" s="8">
        <v>12</v>
      </c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7"/>
    </row>
    <row r="97" spans="2:38">
      <c r="B97" t="s">
        <v>24</v>
      </c>
      <c r="C97" s="6" t="s">
        <v>15</v>
      </c>
      <c r="D97" s="11"/>
      <c r="E97" s="11"/>
      <c r="F97" s="11"/>
      <c r="G97" s="11"/>
      <c r="H97" s="11"/>
      <c r="I97" s="11"/>
      <c r="L97" s="11"/>
      <c r="M97" s="11" t="str">
        <f t="shared" si="3"/>
        <v>VIT index</v>
      </c>
      <c r="N97" s="6" t="s">
        <v>15</v>
      </c>
      <c r="O97" s="11"/>
      <c r="P97" s="11"/>
      <c r="Q97" s="11"/>
      <c r="R97" s="11"/>
      <c r="S97" s="11"/>
      <c r="W97" s="11"/>
      <c r="X97" s="11" t="str">
        <f t="shared" si="4"/>
        <v>VIT index</v>
      </c>
      <c r="Y97" s="6" t="s">
        <v>15</v>
      </c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</row>
    <row r="98" spans="2:38" s="11" customFormat="1">
      <c r="C98" s="8">
        <v>1</v>
      </c>
      <c r="D98" s="11">
        <v>2.1</v>
      </c>
      <c r="E98" s="11">
        <v>2.5</v>
      </c>
      <c r="F98" s="11">
        <v>3.2</v>
      </c>
      <c r="G98" s="11">
        <v>3.8</v>
      </c>
      <c r="H98" s="11">
        <v>1.4</v>
      </c>
      <c r="I98" s="11">
        <v>0.2</v>
      </c>
      <c r="N98" s="8">
        <v>1</v>
      </c>
      <c r="O98" s="11">
        <v>2</v>
      </c>
      <c r="P98" s="11">
        <v>2.2000000000000002</v>
      </c>
      <c r="Q98" s="11">
        <v>3.5</v>
      </c>
      <c r="R98" s="11">
        <v>2.8</v>
      </c>
      <c r="S98" s="11">
        <v>3.2</v>
      </c>
      <c r="Y98" s="8">
        <v>1</v>
      </c>
      <c r="Z98" s="98">
        <v>3.8</v>
      </c>
      <c r="AA98" s="98">
        <v>3.3</v>
      </c>
      <c r="AB98" s="98">
        <v>3.3</v>
      </c>
      <c r="AC98" s="98">
        <v>2.4</v>
      </c>
      <c r="AD98" s="98">
        <v>3.4</v>
      </c>
      <c r="AE98" s="98">
        <v>3.4</v>
      </c>
      <c r="AF98" s="98">
        <v>3.4</v>
      </c>
      <c r="AG98" s="98">
        <v>3.3</v>
      </c>
      <c r="AH98" s="98">
        <v>2.7</v>
      </c>
      <c r="AI98" s="98">
        <v>6</v>
      </c>
      <c r="AJ98" s="98">
        <v>6.3</v>
      </c>
      <c r="AK98" s="98">
        <v>6.2</v>
      </c>
      <c r="AL98" s="97"/>
    </row>
    <row r="99" spans="2:38" s="11" customFormat="1">
      <c r="C99" s="8">
        <v>2</v>
      </c>
      <c r="D99" s="11">
        <v>1.9</v>
      </c>
      <c r="E99" s="11">
        <v>2.2999999999999998</v>
      </c>
      <c r="F99" s="11">
        <v>3</v>
      </c>
      <c r="G99" s="11">
        <v>3.7</v>
      </c>
      <c r="H99" s="11">
        <v>1.2</v>
      </c>
      <c r="I99" s="11">
        <v>0.1</v>
      </c>
      <c r="N99" s="8">
        <v>2</v>
      </c>
      <c r="O99" s="11">
        <v>2</v>
      </c>
      <c r="P99" s="11">
        <v>2.1</v>
      </c>
      <c r="Q99" s="11">
        <v>3.5</v>
      </c>
      <c r="R99" s="11">
        <v>2.8</v>
      </c>
      <c r="S99" s="11">
        <v>3.1</v>
      </c>
      <c r="Y99" s="8">
        <v>2</v>
      </c>
      <c r="Z99" s="98">
        <v>3.5</v>
      </c>
      <c r="AA99" s="98">
        <v>3.3</v>
      </c>
      <c r="AB99" s="98">
        <v>3.4</v>
      </c>
      <c r="AC99" s="98">
        <v>2.5</v>
      </c>
      <c r="AD99" s="98">
        <v>3.3</v>
      </c>
      <c r="AE99" s="98">
        <v>3.4</v>
      </c>
      <c r="AF99" s="98">
        <v>3.4</v>
      </c>
      <c r="AG99" s="98">
        <v>3.4</v>
      </c>
      <c r="AH99" s="98">
        <v>2.6</v>
      </c>
      <c r="AI99" s="98">
        <v>5.6</v>
      </c>
      <c r="AJ99" s="98">
        <v>6.4</v>
      </c>
      <c r="AK99" s="98">
        <v>6.3</v>
      </c>
      <c r="AL99" s="97"/>
    </row>
    <row r="100" spans="2:38" s="11" customFormat="1">
      <c r="C100" s="8">
        <v>3</v>
      </c>
      <c r="D100" s="11">
        <v>1.9</v>
      </c>
      <c r="E100" s="11">
        <v>2.4</v>
      </c>
      <c r="F100" s="11">
        <v>3.1</v>
      </c>
      <c r="G100" s="11">
        <v>3.7</v>
      </c>
      <c r="H100" s="11">
        <v>1.2</v>
      </c>
      <c r="I100" s="11">
        <v>0.1</v>
      </c>
      <c r="N100" s="8">
        <v>3</v>
      </c>
      <c r="O100" s="11">
        <v>2</v>
      </c>
      <c r="P100" s="11">
        <v>2.1</v>
      </c>
      <c r="Q100" s="11">
        <v>3.4</v>
      </c>
      <c r="R100" s="11">
        <v>2.7</v>
      </c>
      <c r="S100" s="11">
        <v>3</v>
      </c>
      <c r="Y100" s="8">
        <v>3</v>
      </c>
      <c r="Z100" s="98">
        <v>3.5</v>
      </c>
      <c r="AA100" s="98">
        <v>3.1</v>
      </c>
      <c r="AB100" s="98">
        <v>3.2</v>
      </c>
      <c r="AC100" s="98">
        <v>2.2999999999999998</v>
      </c>
      <c r="AD100" s="98">
        <v>3.1</v>
      </c>
      <c r="AE100" s="98">
        <v>3.3</v>
      </c>
      <c r="AF100" s="98">
        <v>3.1</v>
      </c>
      <c r="AG100" s="98">
        <v>3.2</v>
      </c>
      <c r="AH100" s="98">
        <v>2.5</v>
      </c>
      <c r="AI100" s="98">
        <v>5.9</v>
      </c>
      <c r="AJ100" s="98">
        <v>6.2</v>
      </c>
      <c r="AK100" s="98">
        <v>5.9</v>
      </c>
      <c r="AL100" s="97"/>
    </row>
    <row r="101" spans="2:38" s="11" customFormat="1">
      <c r="C101" s="8">
        <v>4</v>
      </c>
      <c r="D101" s="11">
        <v>1.9</v>
      </c>
      <c r="E101" s="11">
        <v>2.2999999999999998</v>
      </c>
      <c r="F101" s="11">
        <v>3</v>
      </c>
      <c r="G101" s="11">
        <v>3.7</v>
      </c>
      <c r="H101" s="11">
        <v>1.3</v>
      </c>
      <c r="I101" s="11">
        <v>0.2</v>
      </c>
      <c r="N101" s="8">
        <v>4</v>
      </c>
      <c r="O101" s="11">
        <v>2</v>
      </c>
      <c r="P101" s="11">
        <v>2.2000000000000002</v>
      </c>
      <c r="Q101" s="11">
        <v>3.4</v>
      </c>
      <c r="R101" s="11">
        <v>2.7</v>
      </c>
      <c r="S101" s="11">
        <v>3</v>
      </c>
      <c r="Y101" s="8">
        <v>4</v>
      </c>
      <c r="Z101" s="98">
        <v>3.4</v>
      </c>
      <c r="AA101" s="98">
        <v>3.3</v>
      </c>
      <c r="AB101" s="98">
        <v>3.3</v>
      </c>
      <c r="AC101" s="98">
        <v>2.5</v>
      </c>
      <c r="AD101" s="98">
        <v>3.4</v>
      </c>
      <c r="AE101" s="98">
        <v>3.4</v>
      </c>
      <c r="AF101" s="98">
        <v>3.3</v>
      </c>
      <c r="AG101" s="98">
        <v>3.4</v>
      </c>
      <c r="AH101" s="98">
        <v>2.7</v>
      </c>
      <c r="AI101" s="98">
        <v>6.1</v>
      </c>
      <c r="AJ101" s="98">
        <v>6.2</v>
      </c>
      <c r="AK101" s="98">
        <v>6.1</v>
      </c>
      <c r="AL101" s="97"/>
    </row>
    <row r="102" spans="2:38" s="11" customFormat="1">
      <c r="C102" s="8">
        <v>5</v>
      </c>
      <c r="D102" s="11">
        <v>1.4</v>
      </c>
      <c r="E102" s="11">
        <v>1.8</v>
      </c>
      <c r="F102" s="11">
        <v>2.5</v>
      </c>
      <c r="G102" s="11">
        <v>3.2</v>
      </c>
      <c r="H102" s="11">
        <v>0.8</v>
      </c>
      <c r="I102" s="11">
        <v>0</v>
      </c>
      <c r="N102" s="8">
        <v>5</v>
      </c>
      <c r="O102" s="11">
        <v>1.6</v>
      </c>
      <c r="P102" s="11">
        <v>1.7</v>
      </c>
      <c r="Q102" s="11">
        <v>2.9</v>
      </c>
      <c r="R102" s="11">
        <v>2.2000000000000002</v>
      </c>
      <c r="S102" s="11">
        <v>2.5</v>
      </c>
      <c r="Y102" s="8">
        <v>5</v>
      </c>
      <c r="Z102" s="98">
        <v>2.8</v>
      </c>
      <c r="AA102" s="98">
        <v>2.6</v>
      </c>
      <c r="AB102" s="98">
        <v>2.7</v>
      </c>
      <c r="AC102" s="98">
        <v>2.1</v>
      </c>
      <c r="AD102" s="98">
        <v>2.7</v>
      </c>
      <c r="AE102" s="98">
        <v>2.7</v>
      </c>
      <c r="AF102" s="98">
        <v>3.6</v>
      </c>
      <c r="AG102" s="98">
        <v>2.7</v>
      </c>
      <c r="AH102" s="98">
        <v>2</v>
      </c>
      <c r="AI102" s="98">
        <v>5.3</v>
      </c>
      <c r="AJ102" s="98">
        <v>5.7</v>
      </c>
      <c r="AK102" s="98">
        <v>5.6</v>
      </c>
      <c r="AL102" s="97"/>
    </row>
    <row r="103" spans="2:38" s="11" customFormat="1">
      <c r="C103" s="8">
        <v>6</v>
      </c>
      <c r="D103" s="11">
        <v>1.7</v>
      </c>
      <c r="E103" s="11">
        <v>2.1</v>
      </c>
      <c r="F103" s="11">
        <v>2.8</v>
      </c>
      <c r="G103" s="11">
        <v>3.5</v>
      </c>
      <c r="H103" s="11">
        <v>0.9</v>
      </c>
      <c r="I103" s="11">
        <v>0</v>
      </c>
      <c r="N103" s="8">
        <v>6</v>
      </c>
      <c r="O103" s="11">
        <v>1.7</v>
      </c>
      <c r="P103" s="11">
        <v>1.9</v>
      </c>
      <c r="Q103" s="11">
        <v>3.2</v>
      </c>
      <c r="R103" s="11">
        <v>2.5</v>
      </c>
      <c r="S103" s="11">
        <v>2.8</v>
      </c>
      <c r="Y103" s="8">
        <v>6</v>
      </c>
      <c r="Z103" s="98">
        <v>3.5</v>
      </c>
      <c r="AA103" s="98">
        <v>3.4</v>
      </c>
      <c r="AB103" s="98">
        <v>3.4</v>
      </c>
      <c r="AC103" s="98">
        <v>2.6</v>
      </c>
      <c r="AD103" s="98">
        <v>3.3</v>
      </c>
      <c r="AE103" s="98">
        <v>3.4</v>
      </c>
      <c r="AF103" s="98">
        <v>3.4</v>
      </c>
      <c r="AG103" s="98">
        <v>3.4</v>
      </c>
      <c r="AH103" s="98">
        <v>2.7</v>
      </c>
      <c r="AI103" s="98">
        <v>5.9</v>
      </c>
      <c r="AJ103" s="98">
        <v>6.3</v>
      </c>
      <c r="AK103" s="98">
        <v>6.2</v>
      </c>
      <c r="AL103" s="97"/>
    </row>
    <row r="104" spans="2:38" s="11" customFormat="1">
      <c r="C104" s="8">
        <v>7</v>
      </c>
      <c r="N104" s="8">
        <v>7</v>
      </c>
      <c r="Y104" s="8">
        <v>7</v>
      </c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7"/>
    </row>
    <row r="105" spans="2:38" s="11" customFormat="1">
      <c r="C105" s="8">
        <v>8</v>
      </c>
      <c r="N105" s="8">
        <v>8</v>
      </c>
      <c r="Y105" s="8">
        <v>8</v>
      </c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7"/>
    </row>
    <row r="106" spans="2:38" s="11" customFormat="1">
      <c r="C106" s="8">
        <v>9</v>
      </c>
      <c r="N106" s="8">
        <v>9</v>
      </c>
      <c r="Y106" s="8">
        <v>9</v>
      </c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7"/>
    </row>
    <row r="107" spans="2:38" s="11" customFormat="1">
      <c r="C107" s="8">
        <v>10</v>
      </c>
      <c r="N107" s="8">
        <v>10</v>
      </c>
      <c r="Y107" s="8">
        <v>10</v>
      </c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7"/>
    </row>
    <row r="108" spans="2:38" s="11" customFormat="1">
      <c r="C108" s="8">
        <v>11</v>
      </c>
      <c r="N108" s="8">
        <v>11</v>
      </c>
      <c r="Y108" s="8">
        <v>11</v>
      </c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7"/>
    </row>
    <row r="109" spans="2:38" s="11" customFormat="1">
      <c r="C109" s="8">
        <v>12</v>
      </c>
      <c r="N109" s="8">
        <v>12</v>
      </c>
      <c r="Y109" s="8">
        <v>12</v>
      </c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7"/>
    </row>
    <row r="110" spans="2:38">
      <c r="B110" t="s">
        <v>25</v>
      </c>
      <c r="C110" s="6" t="s">
        <v>26</v>
      </c>
      <c r="D110" s="11">
        <v>239.5</v>
      </c>
      <c r="E110" s="11">
        <v>247.2</v>
      </c>
      <c r="F110" s="11">
        <v>269.7</v>
      </c>
      <c r="G110" s="11">
        <v>282.3</v>
      </c>
      <c r="H110" s="11">
        <v>298.5</v>
      </c>
      <c r="I110" s="11">
        <v>322.3</v>
      </c>
      <c r="L110" s="11"/>
      <c r="M110" s="11" t="str">
        <f t="shared" si="3"/>
        <v>Exhaust Gas Outlet</v>
      </c>
      <c r="N110" s="6" t="s">
        <v>26</v>
      </c>
      <c r="O110" s="11">
        <v>300.8</v>
      </c>
      <c r="P110" s="11">
        <v>300.7</v>
      </c>
      <c r="Q110" s="11">
        <v>319</v>
      </c>
      <c r="R110" s="11">
        <v>326.7</v>
      </c>
      <c r="S110" s="11">
        <v>325</v>
      </c>
      <c r="W110" s="11"/>
      <c r="X110" s="11" t="str">
        <f t="shared" si="4"/>
        <v>Exhaust Gas Outlet</v>
      </c>
      <c r="Y110" s="6" t="s">
        <v>26</v>
      </c>
      <c r="Z110" s="98">
        <v>314.16666666666669</v>
      </c>
      <c r="AA110" s="98">
        <v>302.5</v>
      </c>
      <c r="AB110" s="98">
        <v>310.83333333333331</v>
      </c>
      <c r="AC110" s="98">
        <v>306.66666666666669</v>
      </c>
      <c r="AD110" s="98">
        <v>338.33333333333331</v>
      </c>
      <c r="AE110" s="98">
        <v>320</v>
      </c>
      <c r="AF110" s="98">
        <v>310</v>
      </c>
      <c r="AG110" s="98">
        <v>320.83333333333331</v>
      </c>
      <c r="AH110" s="98">
        <v>348.83333333333331</v>
      </c>
      <c r="AI110" s="98">
        <v>344.83333333333331</v>
      </c>
      <c r="AJ110" s="98">
        <v>333</v>
      </c>
      <c r="AK110" s="98">
        <v>323.33333333333331</v>
      </c>
    </row>
    <row r="111" spans="2:38">
      <c r="B111" t="s">
        <v>27</v>
      </c>
      <c r="C111" s="6" t="s">
        <v>26</v>
      </c>
      <c r="D111" s="11">
        <v>70.7</v>
      </c>
      <c r="E111" s="11">
        <v>74.7</v>
      </c>
      <c r="F111" s="11">
        <v>74.8</v>
      </c>
      <c r="G111" s="11">
        <v>75.7</v>
      </c>
      <c r="H111" s="11">
        <v>76.5</v>
      </c>
      <c r="I111" s="11">
        <v>77.8</v>
      </c>
      <c r="L111" s="11"/>
      <c r="M111" s="11" t="str">
        <f t="shared" si="3"/>
        <v>Cooling Water Outlet</v>
      </c>
      <c r="N111" s="6" t="s">
        <v>26</v>
      </c>
      <c r="O111" s="11">
        <v>81.5</v>
      </c>
      <c r="P111" s="11">
        <v>81.3</v>
      </c>
      <c r="Q111" s="11">
        <v>78.5</v>
      </c>
      <c r="R111" s="11">
        <v>79</v>
      </c>
      <c r="S111" s="11">
        <v>79</v>
      </c>
      <c r="W111" s="11"/>
      <c r="X111" s="11" t="str">
        <f t="shared" si="4"/>
        <v>Cooling Water Outlet</v>
      </c>
      <c r="Y111" s="6" t="s">
        <v>26</v>
      </c>
      <c r="Z111" s="98">
        <v>80.666666666666671</v>
      </c>
      <c r="AA111" s="98">
        <v>81</v>
      </c>
      <c r="AB111" s="98">
        <v>81</v>
      </c>
      <c r="AC111" s="98">
        <v>81</v>
      </c>
      <c r="AD111" s="98">
        <v>80.333333333333329</v>
      </c>
      <c r="AE111" s="98">
        <v>80.166666666666671</v>
      </c>
      <c r="AF111" s="98">
        <v>80.166666666666671</v>
      </c>
      <c r="AG111" s="98">
        <v>80</v>
      </c>
      <c r="AH111" s="98">
        <v>79.833333333333329</v>
      </c>
      <c r="AI111" s="98">
        <v>79.5</v>
      </c>
      <c r="AJ111" s="98">
        <v>80.833333333333329</v>
      </c>
      <c r="AK111" s="98">
        <v>80.833333333333329</v>
      </c>
    </row>
    <row r="112" spans="2:38">
      <c r="B112" t="s">
        <v>28</v>
      </c>
      <c r="C112" s="6" t="s">
        <v>26</v>
      </c>
      <c r="D112" s="11">
        <v>35</v>
      </c>
      <c r="E112" s="11">
        <v>37</v>
      </c>
      <c r="F112" s="11">
        <v>39</v>
      </c>
      <c r="G112" s="11">
        <v>40</v>
      </c>
      <c r="H112" s="11">
        <v>42</v>
      </c>
      <c r="I112" s="11">
        <v>44</v>
      </c>
      <c r="L112" s="11"/>
      <c r="M112" s="11" t="str">
        <f t="shared" si="3"/>
        <v>CAM Lub Oil Outlet</v>
      </c>
      <c r="N112" s="6" t="s">
        <v>26</v>
      </c>
      <c r="O112" s="11">
        <v>52</v>
      </c>
      <c r="P112" s="11">
        <v>51</v>
      </c>
      <c r="Q112" s="11">
        <v>52</v>
      </c>
      <c r="R112" s="11">
        <v>51</v>
      </c>
      <c r="S112" s="11">
        <v>52</v>
      </c>
      <c r="W112" s="11"/>
      <c r="X112" s="11" t="str">
        <f t="shared" si="4"/>
        <v>CAM Lub Oil Outlet</v>
      </c>
      <c r="Y112" s="6" t="s">
        <v>26</v>
      </c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</row>
    <row r="113" spans="2:38">
      <c r="B113" t="s">
        <v>29</v>
      </c>
      <c r="C113" s="6" t="s">
        <v>26</v>
      </c>
      <c r="D113" s="11">
        <v>42.8</v>
      </c>
      <c r="E113" s="11">
        <v>45</v>
      </c>
      <c r="F113" s="11">
        <v>46</v>
      </c>
      <c r="G113" s="11">
        <v>47</v>
      </c>
      <c r="H113" s="11">
        <v>48</v>
      </c>
      <c r="I113" s="11">
        <v>50.8</v>
      </c>
      <c r="L113" s="11"/>
      <c r="M113" s="11" t="str">
        <f t="shared" si="3"/>
        <v>Piston Cooling Oil Outlet</v>
      </c>
      <c r="N113" s="6" t="s">
        <v>26</v>
      </c>
      <c r="O113" s="11">
        <v>49.2</v>
      </c>
      <c r="P113" s="11">
        <v>49.2</v>
      </c>
      <c r="Q113" s="11">
        <v>51.2</v>
      </c>
      <c r="R113" s="11">
        <v>50.7</v>
      </c>
      <c r="S113" s="11">
        <v>51</v>
      </c>
      <c r="W113" s="11"/>
      <c r="X113" s="11" t="str">
        <f t="shared" si="4"/>
        <v>Piston Cooling Oil Outlet</v>
      </c>
      <c r="Y113" s="6" t="s">
        <v>26</v>
      </c>
      <c r="Z113" s="98">
        <v>50.833333333333336</v>
      </c>
      <c r="AA113" s="98">
        <v>50.666666666666664</v>
      </c>
      <c r="AB113" s="98">
        <v>50.833333333333336</v>
      </c>
      <c r="AC113" s="98">
        <v>50.5</v>
      </c>
      <c r="AD113" s="98">
        <v>51.833333333333336</v>
      </c>
      <c r="AE113" s="98">
        <v>51.166666666666664</v>
      </c>
      <c r="AF113" s="98">
        <v>51</v>
      </c>
      <c r="AG113" s="98">
        <v>51</v>
      </c>
      <c r="AH113" s="98">
        <v>52.833333333333336</v>
      </c>
      <c r="AI113" s="98">
        <v>53.666666666666664</v>
      </c>
      <c r="AJ113" s="98">
        <v>53.5</v>
      </c>
      <c r="AK113" s="98">
        <v>52.5</v>
      </c>
    </row>
    <row r="114" spans="2:38">
      <c r="D114" s="11"/>
      <c r="E114" s="11"/>
      <c r="F114" s="11"/>
      <c r="G114" s="11"/>
      <c r="H114" s="11"/>
      <c r="I114" s="11"/>
      <c r="L114" s="11"/>
      <c r="M114" s="11"/>
      <c r="N114" s="6"/>
      <c r="O114" s="11"/>
      <c r="P114" s="11"/>
      <c r="Q114" s="11"/>
      <c r="R114" s="11"/>
      <c r="S114" s="11"/>
      <c r="W114" s="11"/>
      <c r="X114" s="11"/>
      <c r="Y114" s="6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</row>
    <row r="115" spans="2:38">
      <c r="B115" s="1" t="s">
        <v>30</v>
      </c>
      <c r="D115" s="11"/>
      <c r="E115" s="11"/>
      <c r="F115" s="11"/>
      <c r="G115" s="11"/>
      <c r="H115" s="11"/>
      <c r="I115" s="11"/>
      <c r="L115" s="11"/>
      <c r="M115" s="1" t="str">
        <f t="shared" si="3"/>
        <v>Air Cooler</v>
      </c>
      <c r="N115" s="6"/>
      <c r="O115" s="11"/>
      <c r="P115" s="11"/>
      <c r="Q115" s="11"/>
      <c r="R115" s="11"/>
      <c r="S115" s="11"/>
      <c r="W115" s="11"/>
      <c r="X115" s="1" t="str">
        <f>B115</f>
        <v>Air Cooler</v>
      </c>
      <c r="Y115" s="6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</row>
    <row r="116" spans="2:38">
      <c r="B116" t="s">
        <v>49</v>
      </c>
      <c r="C116" s="6" t="s">
        <v>46</v>
      </c>
      <c r="D116" s="11"/>
      <c r="E116" s="11"/>
      <c r="F116" s="11"/>
      <c r="G116" s="11"/>
      <c r="H116" s="11"/>
      <c r="I116" s="11"/>
      <c r="L116" s="11"/>
      <c r="M116" s="11" t="str">
        <f t="shared" si="3"/>
        <v>AC Pressure Drop</v>
      </c>
      <c r="N116" s="6" t="s">
        <v>46</v>
      </c>
      <c r="O116" s="11"/>
      <c r="P116" s="11"/>
      <c r="Q116" s="11"/>
      <c r="R116" s="11"/>
      <c r="S116" s="11"/>
      <c r="W116" s="11"/>
      <c r="X116" s="11" t="str">
        <f>B116</f>
        <v>AC Pressure Drop</v>
      </c>
      <c r="Y116" s="6" t="s">
        <v>46</v>
      </c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</row>
    <row r="117" spans="2:38" s="11" customFormat="1">
      <c r="C117" s="8">
        <v>1</v>
      </c>
      <c r="D117" s="11">
        <v>63</v>
      </c>
      <c r="E117" s="11">
        <v>113</v>
      </c>
      <c r="F117" s="11">
        <v>155</v>
      </c>
      <c r="G117" s="11">
        <v>180</v>
      </c>
      <c r="H117" s="11">
        <v>195</v>
      </c>
      <c r="I117" s="11">
        <v>200</v>
      </c>
      <c r="N117" s="8">
        <v>1</v>
      </c>
      <c r="O117" s="11">
        <v>115</v>
      </c>
      <c r="P117" s="11">
        <v>120</v>
      </c>
      <c r="Q117" s="11">
        <v>185</v>
      </c>
      <c r="R117" s="11">
        <v>190</v>
      </c>
      <c r="S117" s="11">
        <v>190</v>
      </c>
      <c r="Y117" s="8">
        <v>1</v>
      </c>
      <c r="Z117" s="98">
        <v>200</v>
      </c>
      <c r="AA117" s="98">
        <v>190</v>
      </c>
      <c r="AB117" s="98">
        <v>190</v>
      </c>
      <c r="AC117" s="98">
        <v>210</v>
      </c>
      <c r="AD117" s="98">
        <v>170</v>
      </c>
      <c r="AE117" s="98">
        <v>190</v>
      </c>
      <c r="AF117" s="98">
        <v>160</v>
      </c>
      <c r="AG117" s="98">
        <v>185</v>
      </c>
      <c r="AH117" s="98">
        <v>190</v>
      </c>
      <c r="AI117" s="98">
        <v>190</v>
      </c>
      <c r="AJ117" s="98">
        <v>165</v>
      </c>
      <c r="AK117" s="98">
        <v>170</v>
      </c>
      <c r="AL117" s="97"/>
    </row>
    <row r="118" spans="2:38" s="11" customFormat="1">
      <c r="C118" s="8">
        <v>2</v>
      </c>
      <c r="D118" s="11">
        <v>60</v>
      </c>
      <c r="E118" s="11">
        <v>115</v>
      </c>
      <c r="F118" s="11">
        <v>165</v>
      </c>
      <c r="G118" s="11">
        <v>185</v>
      </c>
      <c r="H118" s="11">
        <v>200</v>
      </c>
      <c r="I118" s="11">
        <v>210</v>
      </c>
      <c r="N118" s="8">
        <v>2</v>
      </c>
      <c r="O118" s="11">
        <v>115</v>
      </c>
      <c r="P118" s="11">
        <v>125</v>
      </c>
      <c r="Q118" s="11">
        <v>185</v>
      </c>
      <c r="R118" s="11">
        <v>195</v>
      </c>
      <c r="S118" s="11">
        <v>190</v>
      </c>
      <c r="Y118" s="8">
        <v>2</v>
      </c>
      <c r="Z118" s="98">
        <v>200</v>
      </c>
      <c r="AA118" s="98">
        <v>190</v>
      </c>
      <c r="AB118" s="98">
        <v>190</v>
      </c>
      <c r="AC118" s="98">
        <v>220</v>
      </c>
      <c r="AD118" s="98">
        <v>170</v>
      </c>
      <c r="AE118" s="98">
        <v>190</v>
      </c>
      <c r="AF118" s="98">
        <v>180</v>
      </c>
      <c r="AG118" s="98">
        <v>185</v>
      </c>
      <c r="AH118" s="98">
        <v>190</v>
      </c>
      <c r="AI118" s="98">
        <v>190</v>
      </c>
      <c r="AJ118" s="98">
        <v>175</v>
      </c>
      <c r="AK118" s="98">
        <v>180</v>
      </c>
      <c r="AL118" s="97"/>
    </row>
    <row r="119" spans="2:38" s="11" customFormat="1">
      <c r="C119" s="8">
        <v>3</v>
      </c>
      <c r="N119" s="8">
        <v>3</v>
      </c>
      <c r="Y119" s="8">
        <v>3</v>
      </c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7"/>
    </row>
    <row r="120" spans="2:38" s="11" customFormat="1">
      <c r="C120" s="8">
        <v>4</v>
      </c>
      <c r="N120" s="8">
        <v>4</v>
      </c>
      <c r="Y120" s="8">
        <v>4</v>
      </c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7"/>
    </row>
    <row r="121" spans="2:38">
      <c r="B121" t="s">
        <v>51</v>
      </c>
      <c r="C121" s="6" t="s">
        <v>26</v>
      </c>
      <c r="D121" s="11"/>
      <c r="E121" s="11"/>
      <c r="F121" s="11"/>
      <c r="G121" s="11"/>
      <c r="H121" s="11"/>
      <c r="I121" s="11"/>
      <c r="L121" s="11"/>
      <c r="M121" s="11" t="str">
        <f t="shared" si="3"/>
        <v>Air Inlet Temperature</v>
      </c>
      <c r="N121" s="6" t="s">
        <v>26</v>
      </c>
      <c r="O121" s="11"/>
      <c r="P121" s="11"/>
      <c r="Q121" s="11"/>
      <c r="R121" s="11"/>
      <c r="S121" s="11"/>
      <c r="W121" s="11"/>
      <c r="X121" s="11" t="str">
        <f>B121</f>
        <v>Air Inlet Temperature</v>
      </c>
      <c r="Y121" s="6" t="s">
        <v>26</v>
      </c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</row>
    <row r="122" spans="2:38" s="11" customFormat="1">
      <c r="C122" s="8">
        <v>1</v>
      </c>
      <c r="D122" s="11">
        <v>22</v>
      </c>
      <c r="E122" s="11">
        <v>80</v>
      </c>
      <c r="F122" s="11">
        <v>125</v>
      </c>
      <c r="G122" s="11">
        <v>150</v>
      </c>
      <c r="H122" s="11">
        <v>170</v>
      </c>
      <c r="I122" s="11">
        <v>183</v>
      </c>
      <c r="N122" s="8">
        <v>1</v>
      </c>
      <c r="O122" s="11">
        <v>105</v>
      </c>
      <c r="P122" s="11">
        <v>115</v>
      </c>
      <c r="Q122" s="11">
        <v>175</v>
      </c>
      <c r="R122" s="11">
        <v>185</v>
      </c>
      <c r="S122" s="11">
        <v>180</v>
      </c>
      <c r="Y122" s="8">
        <v>1</v>
      </c>
      <c r="Z122" s="98">
        <v>160</v>
      </c>
      <c r="AA122" s="98">
        <v>155</v>
      </c>
      <c r="AB122" s="98">
        <v>154</v>
      </c>
      <c r="AC122" s="98">
        <v>160</v>
      </c>
      <c r="AD122" s="98">
        <v>160</v>
      </c>
      <c r="AE122" s="98">
        <v>170</v>
      </c>
      <c r="AF122" s="98">
        <v>170</v>
      </c>
      <c r="AG122" s="98">
        <v>175</v>
      </c>
      <c r="AH122" s="98">
        <v>160</v>
      </c>
      <c r="AI122" s="98">
        <v>175</v>
      </c>
      <c r="AJ122" s="98">
        <v>167</v>
      </c>
      <c r="AK122" s="98">
        <v>150</v>
      </c>
      <c r="AL122" s="97"/>
    </row>
    <row r="123" spans="2:38" s="11" customFormat="1">
      <c r="C123" s="8">
        <v>2</v>
      </c>
      <c r="D123" s="11">
        <v>24</v>
      </c>
      <c r="E123" s="11">
        <v>85</v>
      </c>
      <c r="F123" s="11">
        <v>130</v>
      </c>
      <c r="G123" s="11">
        <v>155</v>
      </c>
      <c r="H123" s="11">
        <v>170</v>
      </c>
      <c r="I123" s="11">
        <v>187</v>
      </c>
      <c r="N123" s="8">
        <v>2</v>
      </c>
      <c r="O123" s="11">
        <v>115</v>
      </c>
      <c r="P123" s="11">
        <v>120</v>
      </c>
      <c r="Q123" s="11">
        <v>185</v>
      </c>
      <c r="R123" s="11">
        <v>189</v>
      </c>
      <c r="S123" s="11">
        <v>187</v>
      </c>
      <c r="Y123" s="8">
        <v>2</v>
      </c>
      <c r="Z123" s="98">
        <v>165</v>
      </c>
      <c r="AA123" s="98">
        <v>160</v>
      </c>
      <c r="AB123" s="98">
        <v>156</v>
      </c>
      <c r="AC123" s="98">
        <v>165</v>
      </c>
      <c r="AD123" s="98">
        <v>170</v>
      </c>
      <c r="AE123" s="98">
        <v>175</v>
      </c>
      <c r="AF123" s="98">
        <v>170</v>
      </c>
      <c r="AG123" s="98">
        <v>180</v>
      </c>
      <c r="AH123" s="98">
        <v>165</v>
      </c>
      <c r="AI123" s="98">
        <v>180</v>
      </c>
      <c r="AJ123" s="98">
        <v>173</v>
      </c>
      <c r="AK123" s="98">
        <v>155</v>
      </c>
      <c r="AL123" s="97"/>
    </row>
    <row r="124" spans="2:38" s="11" customFormat="1">
      <c r="C124" s="8">
        <v>3</v>
      </c>
      <c r="N124" s="8">
        <v>3</v>
      </c>
      <c r="Y124" s="8">
        <v>3</v>
      </c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7"/>
    </row>
    <row r="125" spans="2:38" s="11" customFormat="1">
      <c r="C125" s="8">
        <v>4</v>
      </c>
      <c r="N125" s="8">
        <v>4</v>
      </c>
      <c r="Y125" s="8">
        <v>4</v>
      </c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7"/>
    </row>
    <row r="126" spans="2:38">
      <c r="B126" t="s">
        <v>50</v>
      </c>
      <c r="C126" s="6" t="s">
        <v>26</v>
      </c>
      <c r="D126" s="11"/>
      <c r="E126" s="11"/>
      <c r="F126" s="11"/>
      <c r="G126" s="11"/>
      <c r="H126" s="11"/>
      <c r="I126" s="11"/>
      <c r="L126" s="11"/>
      <c r="M126" s="11" t="str">
        <f t="shared" ref="M126:M153" si="5">B126</f>
        <v>Air Outlet Temperature</v>
      </c>
      <c r="N126" s="6" t="s">
        <v>26</v>
      </c>
      <c r="O126" s="11"/>
      <c r="P126" s="11"/>
      <c r="Q126" s="11"/>
      <c r="R126" s="11"/>
      <c r="S126" s="11"/>
      <c r="W126" s="11"/>
      <c r="X126" s="11" t="str">
        <f>B126</f>
        <v>Air Outlet Temperature</v>
      </c>
      <c r="Y126" s="6" t="s">
        <v>26</v>
      </c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</row>
    <row r="127" spans="2:38" s="11" customFormat="1">
      <c r="C127" s="8">
        <v>1</v>
      </c>
      <c r="D127" s="11">
        <v>21</v>
      </c>
      <c r="E127" s="11">
        <v>22</v>
      </c>
      <c r="F127" s="11">
        <v>24</v>
      </c>
      <c r="G127" s="11">
        <v>25</v>
      </c>
      <c r="H127" s="11">
        <v>28</v>
      </c>
      <c r="I127" s="11">
        <v>32</v>
      </c>
      <c r="N127" s="8">
        <v>1</v>
      </c>
      <c r="O127" s="11">
        <v>34</v>
      </c>
      <c r="P127" s="11">
        <v>35</v>
      </c>
      <c r="Q127" s="11">
        <v>40</v>
      </c>
      <c r="R127" s="11">
        <v>41</v>
      </c>
      <c r="S127" s="11">
        <v>40</v>
      </c>
      <c r="Y127" s="8">
        <v>1</v>
      </c>
      <c r="Z127" s="98">
        <v>38</v>
      </c>
      <c r="AA127" s="98">
        <v>38</v>
      </c>
      <c r="AB127" s="98">
        <v>36</v>
      </c>
      <c r="AC127" s="98">
        <v>38</v>
      </c>
      <c r="AD127" s="98">
        <v>42</v>
      </c>
      <c r="AE127" s="98">
        <v>37</v>
      </c>
      <c r="AF127" s="98">
        <v>38</v>
      </c>
      <c r="AG127" s="98">
        <v>40</v>
      </c>
      <c r="AH127" s="98">
        <v>40</v>
      </c>
      <c r="AI127" s="98">
        <v>38</v>
      </c>
      <c r="AJ127" s="98">
        <v>38</v>
      </c>
      <c r="AK127" s="98">
        <v>36</v>
      </c>
      <c r="AL127" s="97"/>
    </row>
    <row r="128" spans="2:38" s="11" customFormat="1">
      <c r="C128" s="8">
        <v>2</v>
      </c>
      <c r="D128" s="11">
        <v>21</v>
      </c>
      <c r="E128" s="11">
        <v>23</v>
      </c>
      <c r="F128" s="11">
        <v>26</v>
      </c>
      <c r="G128" s="11">
        <v>28</v>
      </c>
      <c r="H128" s="11">
        <v>31</v>
      </c>
      <c r="I128" s="11">
        <v>35</v>
      </c>
      <c r="N128" s="8">
        <v>2</v>
      </c>
      <c r="O128" s="11">
        <v>39</v>
      </c>
      <c r="P128" s="11">
        <v>38</v>
      </c>
      <c r="Q128" s="11">
        <v>44</v>
      </c>
      <c r="R128" s="11">
        <v>45</v>
      </c>
      <c r="S128" s="11">
        <v>44</v>
      </c>
      <c r="Y128" s="8">
        <v>2</v>
      </c>
      <c r="Z128" s="98">
        <v>43</v>
      </c>
      <c r="AA128" s="98">
        <v>40</v>
      </c>
      <c r="AB128" s="98">
        <v>42</v>
      </c>
      <c r="AC128" s="98">
        <v>42</v>
      </c>
      <c r="AD128" s="98">
        <v>45</v>
      </c>
      <c r="AE128" s="98">
        <v>41</v>
      </c>
      <c r="AF128" s="98">
        <v>42</v>
      </c>
      <c r="AG128" s="98">
        <v>44</v>
      </c>
      <c r="AH128" s="98">
        <v>44</v>
      </c>
      <c r="AI128" s="98">
        <v>42</v>
      </c>
      <c r="AJ128" s="98">
        <v>42</v>
      </c>
      <c r="AK128" s="98">
        <v>42</v>
      </c>
      <c r="AL128" s="97"/>
    </row>
    <row r="129" spans="2:38" s="11" customFormat="1">
      <c r="C129" s="8">
        <v>3</v>
      </c>
      <c r="N129" s="8">
        <v>3</v>
      </c>
      <c r="Y129" s="8">
        <v>3</v>
      </c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7"/>
    </row>
    <row r="130" spans="2:38" s="11" customFormat="1">
      <c r="C130" s="8">
        <v>4</v>
      </c>
      <c r="N130" s="8">
        <v>4</v>
      </c>
      <c r="Y130" s="8">
        <v>4</v>
      </c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7"/>
    </row>
    <row r="131" spans="2:38">
      <c r="B131" t="s">
        <v>52</v>
      </c>
      <c r="C131" s="6" t="s">
        <v>26</v>
      </c>
      <c r="D131" s="11"/>
      <c r="E131" s="11"/>
      <c r="F131" s="11"/>
      <c r="G131" s="11"/>
      <c r="H131" s="11"/>
      <c r="I131" s="11"/>
      <c r="L131" s="11"/>
      <c r="M131" s="11" t="str">
        <f t="shared" si="5"/>
        <v>Sea Water In Temperature</v>
      </c>
      <c r="N131" s="6" t="s">
        <v>26</v>
      </c>
      <c r="O131" s="11"/>
      <c r="P131" s="11"/>
      <c r="Q131" s="11"/>
      <c r="R131" s="11"/>
      <c r="S131" s="11"/>
      <c r="W131" s="11"/>
      <c r="X131" s="11" t="str">
        <f>B131</f>
        <v>Sea Water In Temperature</v>
      </c>
      <c r="Y131" s="6" t="s">
        <v>26</v>
      </c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</row>
    <row r="132" spans="2:38" s="11" customFormat="1">
      <c r="C132" s="8">
        <v>1</v>
      </c>
      <c r="D132" s="11">
        <v>24</v>
      </c>
      <c r="E132" s="11">
        <v>25</v>
      </c>
      <c r="F132" s="11">
        <v>25</v>
      </c>
      <c r="G132" s="11">
        <v>26</v>
      </c>
      <c r="H132" s="11">
        <v>27</v>
      </c>
      <c r="I132" s="11">
        <v>29</v>
      </c>
      <c r="N132" s="8">
        <v>1</v>
      </c>
      <c r="O132" s="11">
        <v>36</v>
      </c>
      <c r="P132" s="11">
        <v>36</v>
      </c>
      <c r="Q132" s="11">
        <v>36</v>
      </c>
      <c r="R132" s="11">
        <v>36</v>
      </c>
      <c r="S132" s="11">
        <v>36</v>
      </c>
      <c r="Y132" s="8">
        <v>1</v>
      </c>
      <c r="Z132" s="98">
        <v>36</v>
      </c>
      <c r="AA132" s="98">
        <v>34</v>
      </c>
      <c r="AB132" s="98">
        <v>35</v>
      </c>
      <c r="AC132" s="98">
        <v>34</v>
      </c>
      <c r="AD132" s="98">
        <v>37</v>
      </c>
      <c r="AE132" s="98">
        <v>34</v>
      </c>
      <c r="AF132" s="98">
        <v>36</v>
      </c>
      <c r="AG132" s="98">
        <v>34</v>
      </c>
      <c r="AH132" s="98">
        <v>35</v>
      </c>
      <c r="AI132" s="98">
        <v>35</v>
      </c>
      <c r="AJ132" s="98">
        <v>35</v>
      </c>
      <c r="AK132" s="98">
        <v>35</v>
      </c>
      <c r="AL132" s="97"/>
    </row>
    <row r="133" spans="2:38" s="11" customFormat="1">
      <c r="C133" s="8">
        <v>2</v>
      </c>
      <c r="D133" s="11">
        <v>24</v>
      </c>
      <c r="E133" s="11">
        <v>25</v>
      </c>
      <c r="F133" s="11">
        <v>25</v>
      </c>
      <c r="G133" s="11">
        <v>26</v>
      </c>
      <c r="H133" s="11">
        <v>27</v>
      </c>
      <c r="I133" s="11">
        <v>29</v>
      </c>
      <c r="N133" s="8">
        <v>2</v>
      </c>
      <c r="O133" s="11">
        <v>36</v>
      </c>
      <c r="P133" s="11">
        <v>36</v>
      </c>
      <c r="Q133" s="11">
        <v>36</v>
      </c>
      <c r="R133" s="11">
        <v>36</v>
      </c>
      <c r="S133" s="11">
        <v>36</v>
      </c>
      <c r="Y133" s="8">
        <v>2</v>
      </c>
      <c r="Z133" s="98">
        <v>36</v>
      </c>
      <c r="AA133" s="98">
        <v>34</v>
      </c>
      <c r="AB133" s="98">
        <v>35</v>
      </c>
      <c r="AC133" s="98">
        <v>34</v>
      </c>
      <c r="AD133" s="98">
        <v>37</v>
      </c>
      <c r="AE133" s="98">
        <v>34</v>
      </c>
      <c r="AF133" s="98">
        <v>36</v>
      </c>
      <c r="AG133" s="98">
        <v>34</v>
      </c>
      <c r="AH133" s="98">
        <v>35</v>
      </c>
      <c r="AI133" s="98">
        <v>35</v>
      </c>
      <c r="AJ133" s="98">
        <v>35</v>
      </c>
      <c r="AK133" s="98">
        <v>35</v>
      </c>
      <c r="AL133" s="97"/>
    </row>
    <row r="134" spans="2:38" s="11" customFormat="1">
      <c r="C134" s="8">
        <v>3</v>
      </c>
      <c r="N134" s="8">
        <v>3</v>
      </c>
      <c r="Y134" s="8">
        <v>3</v>
      </c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97"/>
    </row>
    <row r="135" spans="2:38" s="11" customFormat="1">
      <c r="C135" s="8">
        <v>4</v>
      </c>
      <c r="N135" s="8">
        <v>4</v>
      </c>
      <c r="Y135" s="8">
        <v>4</v>
      </c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7"/>
    </row>
    <row r="136" spans="2:38">
      <c r="B136" t="s">
        <v>53</v>
      </c>
      <c r="C136" s="6" t="s">
        <v>26</v>
      </c>
      <c r="D136" s="11"/>
      <c r="E136" s="11"/>
      <c r="F136" s="11"/>
      <c r="G136" s="11"/>
      <c r="H136" s="11"/>
      <c r="I136" s="11"/>
      <c r="L136" s="11"/>
      <c r="M136" s="11" t="str">
        <f t="shared" si="5"/>
        <v>Sea Water Out Temperature</v>
      </c>
      <c r="N136" s="6" t="s">
        <v>26</v>
      </c>
      <c r="O136" s="11"/>
      <c r="P136" s="11"/>
      <c r="Q136" s="11"/>
      <c r="R136" s="11"/>
      <c r="S136" s="11"/>
      <c r="W136" s="11"/>
      <c r="X136" s="11" t="str">
        <f>B136</f>
        <v>Sea Water Out Temperature</v>
      </c>
      <c r="Y136" s="6" t="s">
        <v>26</v>
      </c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</row>
    <row r="137" spans="2:38">
      <c r="C137" s="8">
        <v>1</v>
      </c>
      <c r="D137" s="11">
        <v>25</v>
      </c>
      <c r="E137" s="11">
        <v>30</v>
      </c>
      <c r="F137" s="11">
        <v>33</v>
      </c>
      <c r="G137" s="11">
        <v>38</v>
      </c>
      <c r="H137" s="11">
        <v>42</v>
      </c>
      <c r="I137" s="11">
        <v>46</v>
      </c>
      <c r="L137" s="11"/>
      <c r="M137" s="11"/>
      <c r="N137" s="8">
        <v>1</v>
      </c>
      <c r="O137" s="11">
        <v>43</v>
      </c>
      <c r="P137" s="11">
        <v>44</v>
      </c>
      <c r="Q137" s="11">
        <v>56</v>
      </c>
      <c r="R137" s="11">
        <v>57</v>
      </c>
      <c r="S137" s="11">
        <v>57</v>
      </c>
      <c r="W137" s="11"/>
      <c r="X137" s="11"/>
      <c r="Y137" s="8">
        <v>1</v>
      </c>
      <c r="Z137" s="98">
        <v>56</v>
      </c>
      <c r="AA137" s="98">
        <v>51</v>
      </c>
      <c r="AB137" s="98">
        <v>51</v>
      </c>
      <c r="AC137" s="98">
        <v>52</v>
      </c>
      <c r="AD137" s="98">
        <v>58</v>
      </c>
      <c r="AE137" s="98">
        <v>52</v>
      </c>
      <c r="AF137" s="98">
        <v>54</v>
      </c>
      <c r="AG137" s="98">
        <v>60</v>
      </c>
      <c r="AH137" s="98">
        <v>60</v>
      </c>
      <c r="AI137" s="98">
        <v>58</v>
      </c>
      <c r="AJ137" s="98">
        <v>57</v>
      </c>
      <c r="AK137" s="98">
        <v>52</v>
      </c>
    </row>
    <row r="138" spans="2:38">
      <c r="C138" s="8">
        <v>2</v>
      </c>
      <c r="D138" s="11">
        <v>24</v>
      </c>
      <c r="E138" s="11">
        <v>29</v>
      </c>
      <c r="F138" s="11">
        <v>34</v>
      </c>
      <c r="G138" s="11">
        <v>36</v>
      </c>
      <c r="H138" s="11">
        <v>40</v>
      </c>
      <c r="I138" s="11">
        <v>46</v>
      </c>
      <c r="L138" s="11"/>
      <c r="M138" s="11"/>
      <c r="N138" s="8">
        <v>2</v>
      </c>
      <c r="O138" s="11">
        <v>42</v>
      </c>
      <c r="P138" s="11">
        <v>44</v>
      </c>
      <c r="Q138" s="11">
        <v>55</v>
      </c>
      <c r="R138" s="11">
        <v>56</v>
      </c>
      <c r="S138" s="11">
        <v>56</v>
      </c>
      <c r="W138" s="11"/>
      <c r="X138" s="11"/>
      <c r="Y138" s="8">
        <v>2</v>
      </c>
      <c r="Z138" s="98">
        <v>56</v>
      </c>
      <c r="AA138" s="98">
        <v>50</v>
      </c>
      <c r="AB138" s="98">
        <v>50</v>
      </c>
      <c r="AC138" s="98">
        <v>52</v>
      </c>
      <c r="AD138" s="98">
        <v>57</v>
      </c>
      <c r="AE138" s="98">
        <v>51</v>
      </c>
      <c r="AF138" s="98">
        <v>53</v>
      </c>
      <c r="AG138" s="98">
        <v>59</v>
      </c>
      <c r="AH138" s="98">
        <v>60</v>
      </c>
      <c r="AI138" s="98">
        <v>56</v>
      </c>
      <c r="AJ138" s="98">
        <v>56</v>
      </c>
      <c r="AK138" s="98">
        <v>52</v>
      </c>
    </row>
    <row r="139" spans="2:38">
      <c r="C139" s="8">
        <v>3</v>
      </c>
      <c r="D139" s="11"/>
      <c r="E139" s="11"/>
      <c r="F139" s="11"/>
      <c r="G139" s="11"/>
      <c r="H139" s="11"/>
      <c r="I139" s="11"/>
      <c r="L139" s="11"/>
      <c r="M139" s="11"/>
      <c r="N139" s="8">
        <v>3</v>
      </c>
      <c r="O139" s="11"/>
      <c r="P139" s="11"/>
      <c r="Q139" s="11"/>
      <c r="R139" s="11"/>
      <c r="S139" s="11"/>
      <c r="W139" s="11"/>
      <c r="X139" s="11"/>
      <c r="Y139" s="8">
        <v>3</v>
      </c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</row>
    <row r="140" spans="2:38">
      <c r="C140" s="8">
        <v>4</v>
      </c>
      <c r="D140" s="11"/>
      <c r="E140" s="11"/>
      <c r="F140" s="11"/>
      <c r="G140" s="11"/>
      <c r="H140" s="11"/>
      <c r="I140" s="11"/>
      <c r="L140" s="11"/>
      <c r="M140" s="11"/>
      <c r="N140" s="8">
        <v>4</v>
      </c>
      <c r="O140" s="11"/>
      <c r="P140" s="11"/>
      <c r="Q140" s="11"/>
      <c r="R140" s="11"/>
      <c r="S140" s="11"/>
      <c r="W140" s="11"/>
      <c r="X140" s="11"/>
      <c r="Y140" s="8">
        <v>4</v>
      </c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</row>
    <row r="141" spans="2:38">
      <c r="D141" s="11"/>
      <c r="E141" s="11"/>
      <c r="F141" s="11"/>
      <c r="G141" s="11"/>
      <c r="H141" s="11"/>
      <c r="I141" s="11"/>
      <c r="L141" s="11"/>
      <c r="M141" s="11"/>
      <c r="N141" s="6"/>
      <c r="O141" s="11"/>
      <c r="P141" s="11"/>
      <c r="Q141" s="11"/>
      <c r="R141" s="11"/>
      <c r="S141" s="11"/>
      <c r="W141" s="11"/>
      <c r="X141" s="11"/>
      <c r="Y141" s="6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</row>
    <row r="142" spans="2:38">
      <c r="B142" s="1" t="s">
        <v>32</v>
      </c>
      <c r="D142" s="11"/>
      <c r="E142" s="11"/>
      <c r="F142" s="11"/>
      <c r="G142" s="11"/>
      <c r="H142" s="11"/>
      <c r="I142" s="11"/>
      <c r="L142" s="11"/>
      <c r="M142" s="1" t="str">
        <f t="shared" si="5"/>
        <v>Scavenge - Exhaust</v>
      </c>
      <c r="N142" s="6"/>
      <c r="O142" s="11"/>
      <c r="P142" s="11"/>
      <c r="Q142" s="11"/>
      <c r="R142" s="11"/>
      <c r="S142" s="11"/>
      <c r="W142" s="11"/>
      <c r="X142" s="1" t="str">
        <f>B142</f>
        <v>Scavenge - Exhaust</v>
      </c>
      <c r="Y142" s="6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</row>
    <row r="143" spans="2:38">
      <c r="B143" t="s">
        <v>33</v>
      </c>
      <c r="C143" s="6" t="s">
        <v>20</v>
      </c>
      <c r="D143" s="11">
        <v>0.39</v>
      </c>
      <c r="E143" s="11">
        <v>1.1000000000000001</v>
      </c>
      <c r="F143" s="11">
        <v>1.93</v>
      </c>
      <c r="G143" s="11">
        <v>2.37</v>
      </c>
      <c r="H143" s="11">
        <v>2.74</v>
      </c>
      <c r="I143" s="11">
        <v>3.01</v>
      </c>
      <c r="L143" s="11"/>
      <c r="M143" s="11" t="str">
        <f t="shared" si="5"/>
        <v xml:space="preserve">Scavenge Pressure </v>
      </c>
      <c r="N143" s="6" t="s">
        <v>216</v>
      </c>
      <c r="O143" s="11">
        <v>1.1499999999999999</v>
      </c>
      <c r="P143" s="11">
        <v>1.25</v>
      </c>
      <c r="Q143" s="11">
        <v>2.4500000000000002</v>
      </c>
      <c r="R143" s="11">
        <v>2.5499999999999998</v>
      </c>
      <c r="S143" s="11">
        <v>2.5</v>
      </c>
      <c r="W143" s="11"/>
      <c r="X143" s="11" t="str">
        <f>B143</f>
        <v xml:space="preserve">Scavenge Pressure </v>
      </c>
      <c r="Y143" s="6" t="s">
        <v>20</v>
      </c>
      <c r="Z143" s="98">
        <v>2.2999999999999998</v>
      </c>
      <c r="AA143" s="111">
        <v>2.4</v>
      </c>
      <c r="AB143" s="98">
        <v>2.5</v>
      </c>
      <c r="AC143" s="98">
        <v>2.5</v>
      </c>
      <c r="AD143" s="98">
        <v>2.2999999999999998</v>
      </c>
      <c r="AE143" s="98">
        <v>2.5</v>
      </c>
      <c r="AF143" s="98">
        <v>2.2000000000000002</v>
      </c>
      <c r="AG143" s="98">
        <v>2.5</v>
      </c>
      <c r="AH143" s="98">
        <v>2.7</v>
      </c>
      <c r="AI143" s="98">
        <v>2.6</v>
      </c>
      <c r="AJ143" s="98">
        <v>2.2000000000000002</v>
      </c>
      <c r="AK143" s="98">
        <v>2.1</v>
      </c>
    </row>
    <row r="144" spans="2:38">
      <c r="B144" s="11" t="s">
        <v>34</v>
      </c>
      <c r="C144" s="6" t="s">
        <v>26</v>
      </c>
      <c r="D144" s="11">
        <v>30</v>
      </c>
      <c r="E144" s="11">
        <v>28</v>
      </c>
      <c r="F144" s="11">
        <v>28</v>
      </c>
      <c r="G144" s="11">
        <v>30</v>
      </c>
      <c r="H144" s="11">
        <v>32</v>
      </c>
      <c r="I144" s="11">
        <v>36</v>
      </c>
      <c r="L144" s="11"/>
      <c r="M144" s="11" t="str">
        <f t="shared" si="5"/>
        <v xml:space="preserve">Scavenge Temperature </v>
      </c>
      <c r="N144" s="6" t="s">
        <v>26</v>
      </c>
      <c r="O144" s="11">
        <v>38</v>
      </c>
      <c r="P144" s="11">
        <v>39</v>
      </c>
      <c r="Q144" s="11">
        <v>43</v>
      </c>
      <c r="R144" s="11">
        <v>44</v>
      </c>
      <c r="S144" s="11">
        <v>42</v>
      </c>
      <c r="W144" s="11"/>
      <c r="X144" s="11" t="str">
        <f>B144</f>
        <v xml:space="preserve">Scavenge Temperature </v>
      </c>
      <c r="Y144" s="6" t="s">
        <v>26</v>
      </c>
      <c r="Z144" s="98">
        <v>43</v>
      </c>
      <c r="AA144" s="98">
        <v>41</v>
      </c>
      <c r="AB144" s="98">
        <v>41</v>
      </c>
      <c r="AC144" s="98">
        <v>42</v>
      </c>
      <c r="AD144" s="98">
        <v>45</v>
      </c>
      <c r="AE144" s="98">
        <v>41</v>
      </c>
      <c r="AF144" s="98">
        <v>41</v>
      </c>
      <c r="AG144" s="98">
        <v>44</v>
      </c>
      <c r="AH144" s="98">
        <v>44</v>
      </c>
      <c r="AI144" s="98">
        <v>43</v>
      </c>
      <c r="AJ144" s="98">
        <v>42</v>
      </c>
      <c r="AK144" s="98">
        <v>40</v>
      </c>
    </row>
    <row r="145" spans="2:37">
      <c r="B145" s="11" t="s">
        <v>35</v>
      </c>
      <c r="C145" s="6" t="s">
        <v>20</v>
      </c>
      <c r="D145" s="11">
        <v>0.31</v>
      </c>
      <c r="E145" s="11">
        <v>0.94</v>
      </c>
      <c r="F145" s="11">
        <v>1.73</v>
      </c>
      <c r="G145" s="11">
        <v>2.16</v>
      </c>
      <c r="H145" s="11">
        <v>2.48</v>
      </c>
      <c r="I145" s="11">
        <v>2.79</v>
      </c>
      <c r="L145" s="11"/>
      <c r="M145" s="11" t="str">
        <f t="shared" si="5"/>
        <v xml:space="preserve">Exhaust Pressure </v>
      </c>
      <c r="N145" s="6" t="s">
        <v>216</v>
      </c>
      <c r="O145" s="11"/>
      <c r="P145" s="11"/>
      <c r="Q145" s="11"/>
      <c r="R145" s="11"/>
      <c r="S145" s="11"/>
      <c r="W145" s="11"/>
      <c r="X145" s="11" t="str">
        <f>B145</f>
        <v xml:space="preserve">Exhaust Pressure </v>
      </c>
      <c r="Y145" s="6" t="s">
        <v>20</v>
      </c>
      <c r="Z145" s="98">
        <v>2.2000000000000002</v>
      </c>
      <c r="AA145" s="111">
        <v>2.5</v>
      </c>
      <c r="AB145" s="98">
        <v>2.5</v>
      </c>
      <c r="AC145" s="98">
        <v>2.1</v>
      </c>
      <c r="AD145" s="98">
        <v>2.2000000000000002</v>
      </c>
      <c r="AE145" s="98">
        <v>0</v>
      </c>
      <c r="AF145" s="98">
        <v>2</v>
      </c>
      <c r="AG145" s="98">
        <v>0</v>
      </c>
      <c r="AH145" s="98">
        <v>0</v>
      </c>
      <c r="AI145" s="98">
        <v>2.2999999999999998</v>
      </c>
      <c r="AJ145" s="98">
        <v>1.8</v>
      </c>
      <c r="AK145" s="98">
        <v>1.6</v>
      </c>
    </row>
    <row r="146" spans="2:37">
      <c r="D146" s="11"/>
      <c r="E146" s="11"/>
      <c r="F146" s="11"/>
      <c r="G146" s="11"/>
      <c r="H146" s="11"/>
      <c r="I146" s="11"/>
      <c r="L146" s="11"/>
      <c r="M146" s="11"/>
      <c r="N146" s="6"/>
      <c r="O146" s="11"/>
      <c r="P146" s="11"/>
      <c r="Q146" s="11"/>
      <c r="R146" s="11"/>
      <c r="S146" s="11"/>
      <c r="W146" s="11"/>
      <c r="X146" s="11"/>
      <c r="Y146" s="6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</row>
    <row r="147" spans="2:37">
      <c r="B147" s="1" t="s">
        <v>36</v>
      </c>
      <c r="D147" s="11"/>
      <c r="E147" s="11"/>
      <c r="F147" s="11"/>
      <c r="G147" s="11"/>
      <c r="H147" s="11"/>
      <c r="I147" s="11"/>
      <c r="L147" s="11"/>
      <c r="M147" s="1" t="str">
        <f t="shared" si="5"/>
        <v>Specific Fuel Consumption</v>
      </c>
      <c r="N147" s="6"/>
      <c r="O147" s="11"/>
      <c r="P147" s="11"/>
      <c r="Q147" s="11"/>
      <c r="R147" s="11"/>
      <c r="S147" s="11"/>
      <c r="W147" s="11"/>
      <c r="X147" s="1" t="str">
        <f>B147</f>
        <v>Specific Fuel Consumption</v>
      </c>
      <c r="Y147" s="6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</row>
    <row r="148" spans="2:37">
      <c r="B148" t="s">
        <v>37</v>
      </c>
      <c r="C148" s="6" t="s">
        <v>38</v>
      </c>
      <c r="D148" s="11">
        <v>783.9</v>
      </c>
      <c r="E148" s="11">
        <v>1479.42</v>
      </c>
      <c r="F148" s="11">
        <v>2180.6999999999998</v>
      </c>
      <c r="G148" s="11">
        <v>2595.2399999999998</v>
      </c>
      <c r="H148" s="11">
        <v>2925</v>
      </c>
      <c r="I148" s="11">
        <v>3278.94</v>
      </c>
      <c r="L148" s="11"/>
      <c r="M148" s="11" t="str">
        <f t="shared" si="5"/>
        <v>Fuel Consumption</v>
      </c>
      <c r="N148" s="6" t="s">
        <v>38</v>
      </c>
      <c r="O148" s="11"/>
      <c r="P148" s="11"/>
      <c r="Q148" s="11"/>
      <c r="R148" s="11"/>
      <c r="S148" s="11"/>
      <c r="W148" s="11"/>
      <c r="X148" s="11" t="str">
        <f>B148</f>
        <v>Fuel Consumption</v>
      </c>
      <c r="Y148" s="6" t="s">
        <v>38</v>
      </c>
      <c r="Z148" s="98">
        <v>2893.7979554390563</v>
      </c>
      <c r="AA148" s="98">
        <v>2674.015832241153</v>
      </c>
      <c r="AB148" s="98">
        <v>2641.4167234600259</v>
      </c>
      <c r="AC148" s="98">
        <v>3166.1436762778503</v>
      </c>
      <c r="AD148" s="98">
        <v>3141.3713958060284</v>
      </c>
      <c r="AE148" s="98">
        <v>2747.5278178243771</v>
      </c>
      <c r="AF148" s="98">
        <v>2714.0911861074701</v>
      </c>
      <c r="AG148" s="98">
        <v>3140.7209043250323</v>
      </c>
      <c r="AH148" s="98">
        <v>3156.8205013106158</v>
      </c>
      <c r="AI148" s="98">
        <v>3056.7899344692005</v>
      </c>
      <c r="AJ148" s="98">
        <v>3017.2436697247704</v>
      </c>
      <c r="AK148" s="98">
        <v>2749.5266055045868</v>
      </c>
    </row>
    <row r="149" spans="2:37">
      <c r="B149" t="s">
        <v>39</v>
      </c>
      <c r="C149" s="6" t="s">
        <v>40</v>
      </c>
      <c r="D149" s="11">
        <v>137.05000000000001</v>
      </c>
      <c r="E149" s="11">
        <v>128.97</v>
      </c>
      <c r="F149" s="11">
        <v>126.68</v>
      </c>
      <c r="G149" s="11">
        <v>125.65</v>
      </c>
      <c r="H149" s="11">
        <v>127.63</v>
      </c>
      <c r="I149" s="11">
        <v>129.56</v>
      </c>
      <c r="L149" s="11"/>
      <c r="M149" s="11" t="str">
        <f t="shared" si="5"/>
        <v>bsfc</v>
      </c>
      <c r="N149" s="6" t="s">
        <v>40</v>
      </c>
      <c r="O149" s="11"/>
      <c r="P149" s="11"/>
      <c r="Q149" s="11"/>
      <c r="R149" s="11"/>
      <c r="S149" s="11">
        <v>130.49</v>
      </c>
      <c r="W149" s="11"/>
      <c r="X149" s="11" t="str">
        <f>B149</f>
        <v>bsfc</v>
      </c>
      <c r="Y149" s="6" t="s">
        <v>40</v>
      </c>
      <c r="Z149" s="98">
        <v>154.38539062260418</v>
      </c>
      <c r="AA149" s="98">
        <v>146.04638353694031</v>
      </c>
      <c r="AB149" s="98">
        <v>148.42116977549753</v>
      </c>
      <c r="AC149" s="98">
        <v>165.04924824631544</v>
      </c>
      <c r="AD149" s="98">
        <v>169.55708950603466</v>
      </c>
      <c r="AE149" s="98">
        <v>154.36928939559246</v>
      </c>
      <c r="AF149" s="98">
        <v>152.71997830926844</v>
      </c>
      <c r="AG149" s="98">
        <v>167.47211660296736</v>
      </c>
      <c r="AH149" s="98">
        <v>161.96934096774436</v>
      </c>
      <c r="AI149" s="98">
        <v>158.37249256492407</v>
      </c>
      <c r="AJ149" s="98">
        <v>162.07594824091231</v>
      </c>
      <c r="AK149" s="98">
        <v>143.96897637135748</v>
      </c>
    </row>
    <row r="150" spans="2:37">
      <c r="B150" t="s">
        <v>41</v>
      </c>
      <c r="C150" s="6" t="s">
        <v>40</v>
      </c>
      <c r="D150" s="11">
        <v>135.47999999999999</v>
      </c>
      <c r="E150" s="11">
        <v>127.37</v>
      </c>
      <c r="F150" s="11">
        <v>125.11</v>
      </c>
      <c r="G150" s="11">
        <v>124.01</v>
      </c>
      <c r="H150" s="11">
        <v>125.84</v>
      </c>
      <c r="I150" s="11">
        <v>127.58</v>
      </c>
      <c r="L150" s="11"/>
      <c r="M150" s="11" t="str">
        <f t="shared" si="5"/>
        <v>bsfc corrected</v>
      </c>
      <c r="N150" s="6" t="s">
        <v>40</v>
      </c>
      <c r="O150" s="11"/>
      <c r="P150" s="11"/>
      <c r="Q150" s="11"/>
      <c r="R150" s="11"/>
      <c r="S150" s="11">
        <v>129.88999999999999</v>
      </c>
      <c r="W150" s="11"/>
      <c r="X150" s="11" t="str">
        <f>B150</f>
        <v>bsfc corrected</v>
      </c>
      <c r="Y150" s="6" t="s">
        <v>40</v>
      </c>
      <c r="Z150" s="98">
        <v>148.90145034174881</v>
      </c>
      <c r="AA150" s="98">
        <v>140.58507568322796</v>
      </c>
      <c r="AB150" s="98">
        <v>143.04482515651949</v>
      </c>
      <c r="AC150" s="98">
        <v>159.07057526443776</v>
      </c>
      <c r="AD150" s="98">
        <v>169.64840505286864</v>
      </c>
      <c r="AE150" s="98">
        <v>154.45242550105758</v>
      </c>
      <c r="AF150" s="98">
        <v>152.80222617264243</v>
      </c>
      <c r="AG150" s="98">
        <v>169.836733324151</v>
      </c>
      <c r="AH150" s="98">
        <v>156.70904462470315</v>
      </c>
      <c r="AI150" s="98">
        <v>153.22901146843989</v>
      </c>
      <c r="AJ150" s="98">
        <v>156.81218960157577</v>
      </c>
      <c r="AK150" s="98">
        <v>146.3388499374957</v>
      </c>
    </row>
    <row r="151" spans="2:37">
      <c r="D151" s="11"/>
      <c r="E151" s="11"/>
      <c r="F151" s="11"/>
      <c r="G151" s="11"/>
      <c r="H151" s="11"/>
      <c r="I151" s="11"/>
      <c r="L151" s="11"/>
      <c r="M151" s="11"/>
      <c r="N151" s="6"/>
      <c r="O151" s="11"/>
      <c r="P151" s="11"/>
      <c r="Q151" s="11"/>
      <c r="R151" s="11"/>
      <c r="S151" s="11"/>
      <c r="W151" s="11"/>
      <c r="X151" s="11"/>
      <c r="Y151" s="6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</row>
    <row r="152" spans="2:37">
      <c r="B152" s="1" t="s">
        <v>42</v>
      </c>
      <c r="D152" s="11"/>
      <c r="E152" s="11"/>
      <c r="F152" s="11"/>
      <c r="G152" s="11"/>
      <c r="H152" s="11"/>
      <c r="I152" s="11"/>
      <c r="L152" s="11"/>
      <c r="M152" s="1" t="str">
        <f t="shared" si="5"/>
        <v>Turbocharger</v>
      </c>
      <c r="N152" s="6"/>
      <c r="O152" s="11"/>
      <c r="P152" s="11"/>
      <c r="Q152" s="11"/>
      <c r="R152" s="11"/>
      <c r="S152" s="11"/>
      <c r="W152" s="11"/>
      <c r="X152" s="1" t="str">
        <f>B152</f>
        <v>Turbocharger</v>
      </c>
      <c r="Y152" s="6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</row>
    <row r="153" spans="2:37">
      <c r="B153" t="s">
        <v>43</v>
      </c>
      <c r="C153" s="6" t="s">
        <v>14</v>
      </c>
      <c r="D153" s="11"/>
      <c r="E153" s="11"/>
      <c r="F153" s="11"/>
      <c r="G153" s="11"/>
      <c r="H153" s="11"/>
      <c r="I153" s="11"/>
      <c r="L153" s="11"/>
      <c r="M153" s="11" t="str">
        <f t="shared" si="5"/>
        <v xml:space="preserve">Speed </v>
      </c>
      <c r="N153" s="6" t="s">
        <v>14</v>
      </c>
      <c r="O153" s="11"/>
      <c r="P153" s="11"/>
      <c r="Q153" s="11"/>
      <c r="R153" s="11"/>
      <c r="S153" s="11"/>
      <c r="W153" s="11"/>
      <c r="X153" s="11" t="str">
        <f>B153</f>
        <v xml:space="preserve">Speed </v>
      </c>
      <c r="Y153" s="6" t="s">
        <v>14</v>
      </c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</row>
    <row r="154" spans="2:37">
      <c r="C154" s="8">
        <v>1</v>
      </c>
      <c r="D154" s="11">
        <v>5397</v>
      </c>
      <c r="E154" s="11">
        <v>9119</v>
      </c>
      <c r="F154" s="11">
        <v>11289</v>
      </c>
      <c r="G154" s="11">
        <v>12241</v>
      </c>
      <c r="H154" s="11">
        <v>12885</v>
      </c>
      <c r="I154" s="11">
        <v>13504</v>
      </c>
      <c r="L154" s="11"/>
      <c r="M154" s="11"/>
      <c r="N154" s="8">
        <v>1</v>
      </c>
      <c r="O154" s="11">
        <v>9529</v>
      </c>
      <c r="P154" s="11">
        <v>9870</v>
      </c>
      <c r="Q154" s="11">
        <v>12630</v>
      </c>
      <c r="R154" s="11">
        <v>12860</v>
      </c>
      <c r="S154" s="11">
        <v>12920</v>
      </c>
      <c r="W154" s="11"/>
      <c r="X154" s="11"/>
      <c r="Y154" s="8">
        <v>1</v>
      </c>
      <c r="Z154" s="98">
        <v>12250</v>
      </c>
      <c r="AA154" s="98">
        <v>12281</v>
      </c>
      <c r="AB154" s="98">
        <v>12360</v>
      </c>
      <c r="AC154" s="98">
        <v>12500</v>
      </c>
      <c r="AD154" s="98">
        <v>12610</v>
      </c>
      <c r="AE154" s="98">
        <v>12350</v>
      </c>
      <c r="AF154" s="98">
        <v>12251</v>
      </c>
      <c r="AG154" s="98">
        <v>12608</v>
      </c>
      <c r="AH154" s="98">
        <v>12830</v>
      </c>
      <c r="AI154" s="98">
        <v>12500</v>
      </c>
      <c r="AJ154" s="98">
        <v>12350</v>
      </c>
      <c r="AK154" s="98">
        <v>11840</v>
      </c>
    </row>
    <row r="155" spans="2:37">
      <c r="C155" s="8">
        <v>2</v>
      </c>
      <c r="D155" s="11">
        <v>5401</v>
      </c>
      <c r="E155" s="11">
        <v>9105</v>
      </c>
      <c r="F155" s="11">
        <v>11248</v>
      </c>
      <c r="G155" s="11">
        <v>12192</v>
      </c>
      <c r="H155" s="11">
        <v>12836</v>
      </c>
      <c r="I155" s="11">
        <v>13432</v>
      </c>
      <c r="L155" s="11"/>
      <c r="M155" s="11"/>
      <c r="N155" s="8">
        <v>2</v>
      </c>
      <c r="O155" s="11">
        <v>9570</v>
      </c>
      <c r="P155" s="11">
        <v>9925</v>
      </c>
      <c r="Q155" s="11">
        <v>12660</v>
      </c>
      <c r="R155" s="11">
        <v>12900</v>
      </c>
      <c r="S155" s="11">
        <v>13000</v>
      </c>
      <c r="W155" s="11"/>
      <c r="X155" s="11"/>
      <c r="Y155" s="8">
        <v>2</v>
      </c>
      <c r="Z155" s="98">
        <v>12300</v>
      </c>
      <c r="AA155" s="98">
        <v>12331</v>
      </c>
      <c r="AB155" s="98">
        <v>12450</v>
      </c>
      <c r="AC155" s="98">
        <v>12500</v>
      </c>
      <c r="AD155" s="98">
        <v>12670</v>
      </c>
      <c r="AE155" s="98">
        <v>12400</v>
      </c>
      <c r="AF155" s="98">
        <v>12307</v>
      </c>
      <c r="AG155" s="98">
        <v>12652</v>
      </c>
      <c r="AH155" s="98">
        <v>12895</v>
      </c>
      <c r="AI155" s="98">
        <v>12530</v>
      </c>
      <c r="AJ155" s="98">
        <v>12381</v>
      </c>
      <c r="AK155" s="98">
        <v>11880</v>
      </c>
    </row>
    <row r="156" spans="2:37">
      <c r="C156" s="8">
        <v>3</v>
      </c>
      <c r="D156" s="11"/>
      <c r="E156" s="11"/>
      <c r="F156" s="11"/>
      <c r="G156" s="11"/>
      <c r="H156" s="11"/>
      <c r="I156" s="11"/>
      <c r="L156" s="11"/>
      <c r="M156" s="11"/>
      <c r="N156" s="8">
        <v>3</v>
      </c>
      <c r="O156" s="11"/>
      <c r="P156" s="11"/>
      <c r="Q156" s="11"/>
      <c r="R156" s="11"/>
      <c r="S156" s="11"/>
      <c r="W156" s="11"/>
      <c r="X156" s="11"/>
      <c r="Y156" s="8">
        <v>3</v>
      </c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</row>
    <row r="157" spans="2:37">
      <c r="C157" s="8">
        <v>4</v>
      </c>
      <c r="D157" s="11"/>
      <c r="E157" s="11"/>
      <c r="F157" s="11"/>
      <c r="G157" s="11"/>
      <c r="H157" s="11"/>
      <c r="I157" s="11"/>
      <c r="L157" s="11"/>
      <c r="M157" s="11"/>
      <c r="N157" s="8">
        <v>4</v>
      </c>
      <c r="O157" s="11"/>
      <c r="P157" s="11"/>
      <c r="Q157" s="11"/>
      <c r="R157" s="11"/>
      <c r="S157" s="11"/>
      <c r="W157" s="11"/>
      <c r="X157" s="11"/>
      <c r="Y157" s="8">
        <v>4</v>
      </c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</row>
    <row r="158" spans="2:37">
      <c r="B158" t="s">
        <v>44</v>
      </c>
      <c r="C158" s="6" t="s">
        <v>26</v>
      </c>
      <c r="D158" s="11"/>
      <c r="E158" s="11"/>
      <c r="F158" s="11"/>
      <c r="G158" s="11"/>
      <c r="H158" s="11"/>
      <c r="I158" s="11"/>
      <c r="L158" s="11"/>
      <c r="M158" s="11" t="str">
        <f t="shared" ref="M158:M178" si="6">B158</f>
        <v>Blower Inlet Temperature</v>
      </c>
      <c r="N158" s="6" t="s">
        <v>26</v>
      </c>
      <c r="O158" s="11"/>
      <c r="P158" s="11"/>
      <c r="Q158" s="11"/>
      <c r="R158" s="11"/>
      <c r="S158" s="11"/>
      <c r="W158" s="11"/>
      <c r="X158" s="11" t="str">
        <f>B158</f>
        <v>Blower Inlet Temperature</v>
      </c>
      <c r="Y158" s="6" t="s">
        <v>26</v>
      </c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</row>
    <row r="159" spans="2:37">
      <c r="C159" s="8">
        <v>1</v>
      </c>
      <c r="D159" s="11">
        <v>13</v>
      </c>
      <c r="E159" s="11">
        <v>15</v>
      </c>
      <c r="F159" s="11">
        <v>15</v>
      </c>
      <c r="G159" s="11">
        <v>15</v>
      </c>
      <c r="H159" s="11">
        <v>18</v>
      </c>
      <c r="I159" s="11">
        <v>19</v>
      </c>
      <c r="L159" s="11"/>
      <c r="M159" s="11"/>
      <c r="N159" s="8">
        <v>1</v>
      </c>
      <c r="O159" s="11">
        <v>36</v>
      </c>
      <c r="P159" s="11">
        <v>35</v>
      </c>
      <c r="Q159" s="11">
        <v>34.5</v>
      </c>
      <c r="R159" s="11">
        <v>35</v>
      </c>
      <c r="S159" s="11">
        <v>35</v>
      </c>
      <c r="W159" s="11"/>
      <c r="X159" s="11"/>
      <c r="Y159" s="8">
        <v>1</v>
      </c>
      <c r="Z159" s="98">
        <v>31</v>
      </c>
      <c r="AA159" s="98">
        <v>24</v>
      </c>
      <c r="AB159" s="98">
        <v>31</v>
      </c>
      <c r="AC159" s="98">
        <v>26</v>
      </c>
      <c r="AD159" s="98">
        <v>41</v>
      </c>
      <c r="AE159" s="98">
        <v>34</v>
      </c>
      <c r="AF159" s="98">
        <v>37</v>
      </c>
      <c r="AG159" s="98">
        <v>41</v>
      </c>
      <c r="AH159" s="98">
        <v>37</v>
      </c>
      <c r="AI159" s="98">
        <v>38</v>
      </c>
      <c r="AJ159" s="98">
        <v>35</v>
      </c>
      <c r="AK159" s="98">
        <v>32</v>
      </c>
    </row>
    <row r="160" spans="2:37">
      <c r="C160" s="8">
        <v>2</v>
      </c>
      <c r="D160" s="11">
        <v>14</v>
      </c>
      <c r="E160" s="11">
        <v>16</v>
      </c>
      <c r="F160" s="11">
        <v>16</v>
      </c>
      <c r="G160" s="11">
        <v>17</v>
      </c>
      <c r="H160" s="11">
        <v>17</v>
      </c>
      <c r="I160" s="11">
        <v>17</v>
      </c>
      <c r="L160" s="11"/>
      <c r="M160" s="11"/>
      <c r="N160" s="8">
        <v>2</v>
      </c>
      <c r="O160" s="11">
        <v>39</v>
      </c>
      <c r="P160" s="11">
        <v>38</v>
      </c>
      <c r="Q160" s="11">
        <v>39</v>
      </c>
      <c r="R160" s="11">
        <v>39</v>
      </c>
      <c r="S160" s="11">
        <v>39</v>
      </c>
      <c r="W160" s="11"/>
      <c r="X160" s="11"/>
      <c r="Y160" s="8">
        <v>2</v>
      </c>
      <c r="Z160" s="98">
        <v>31</v>
      </c>
      <c r="AA160" s="98">
        <v>24</v>
      </c>
      <c r="AB160" s="98">
        <v>31</v>
      </c>
      <c r="AC160" s="98">
        <v>26</v>
      </c>
      <c r="AD160" s="98">
        <v>41</v>
      </c>
      <c r="AE160" s="98">
        <v>34</v>
      </c>
      <c r="AF160" s="98">
        <v>37</v>
      </c>
      <c r="AG160" s="98">
        <v>41</v>
      </c>
      <c r="AH160" s="98">
        <v>37</v>
      </c>
      <c r="AI160" s="98">
        <v>38</v>
      </c>
      <c r="AJ160" s="98">
        <v>35</v>
      </c>
      <c r="AK160" s="98">
        <v>32</v>
      </c>
    </row>
    <row r="161" spans="2:37">
      <c r="C161" s="8">
        <v>3</v>
      </c>
      <c r="D161" s="11"/>
      <c r="E161" s="11"/>
      <c r="F161" s="11"/>
      <c r="G161" s="11"/>
      <c r="H161" s="11"/>
      <c r="I161" s="11"/>
      <c r="L161" s="11"/>
      <c r="M161" s="11"/>
      <c r="N161" s="8">
        <v>3</v>
      </c>
      <c r="O161" s="11"/>
      <c r="P161" s="11"/>
      <c r="Q161" s="11"/>
      <c r="R161" s="11"/>
      <c r="S161" s="11"/>
      <c r="W161" s="11"/>
      <c r="X161" s="11"/>
      <c r="Y161" s="8">
        <v>3</v>
      </c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</row>
    <row r="162" spans="2:37">
      <c r="C162" s="8">
        <v>4</v>
      </c>
      <c r="D162" s="11"/>
      <c r="E162" s="11"/>
      <c r="F162" s="11"/>
      <c r="G162" s="11"/>
      <c r="H162" s="11"/>
      <c r="I162" s="11"/>
      <c r="L162" s="11"/>
      <c r="M162" s="11"/>
      <c r="N162" s="8">
        <v>4</v>
      </c>
      <c r="O162" s="11"/>
      <c r="P162" s="11"/>
      <c r="Q162" s="11"/>
      <c r="R162" s="11"/>
      <c r="S162" s="11"/>
      <c r="W162" s="11"/>
      <c r="X162" s="11"/>
      <c r="Y162" s="8">
        <v>4</v>
      </c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</row>
    <row r="163" spans="2:37">
      <c r="B163" t="s">
        <v>45</v>
      </c>
      <c r="C163" s="6" t="s">
        <v>46</v>
      </c>
      <c r="D163" s="11"/>
      <c r="E163" s="11"/>
      <c r="F163" s="11"/>
      <c r="G163" s="11"/>
      <c r="H163" s="11"/>
      <c r="I163" s="11"/>
      <c r="L163" s="11"/>
      <c r="M163" s="11" t="str">
        <f t="shared" si="6"/>
        <v>Air Filter Pressure Drop</v>
      </c>
      <c r="N163" s="6" t="s">
        <v>46</v>
      </c>
      <c r="O163" s="11"/>
      <c r="P163" s="11"/>
      <c r="Q163" s="11"/>
      <c r="R163" s="11"/>
      <c r="S163" s="11"/>
      <c r="W163" s="11"/>
      <c r="X163" s="11" t="str">
        <f>B163</f>
        <v>Air Filter Pressure Drop</v>
      </c>
      <c r="Y163" s="6" t="s">
        <v>46</v>
      </c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</row>
    <row r="164" spans="2:37">
      <c r="C164" s="8">
        <v>1</v>
      </c>
      <c r="D164" s="11">
        <v>3</v>
      </c>
      <c r="E164" s="11">
        <v>12</v>
      </c>
      <c r="F164" s="11">
        <v>22</v>
      </c>
      <c r="G164" s="11">
        <v>28</v>
      </c>
      <c r="H164" s="11">
        <v>33</v>
      </c>
      <c r="I164" s="11">
        <v>37</v>
      </c>
      <c r="L164" s="11"/>
      <c r="M164" s="11"/>
      <c r="N164" s="8">
        <v>1</v>
      </c>
      <c r="O164" s="11">
        <v>20</v>
      </c>
      <c r="P164" s="11">
        <v>20</v>
      </c>
      <c r="Q164" s="11">
        <v>40</v>
      </c>
      <c r="R164" s="11">
        <v>45</v>
      </c>
      <c r="S164" s="11">
        <v>40</v>
      </c>
      <c r="W164" s="11"/>
      <c r="X164" s="11"/>
      <c r="Y164" s="8">
        <v>1</v>
      </c>
      <c r="Z164" s="98">
        <v>55</v>
      </c>
      <c r="AA164" s="98">
        <v>25</v>
      </c>
      <c r="AB164" s="98">
        <v>24</v>
      </c>
      <c r="AC164" s="98">
        <v>40</v>
      </c>
      <c r="AD164" s="98">
        <v>40</v>
      </c>
      <c r="AE164" s="98">
        <v>45</v>
      </c>
      <c r="AF164" s="98">
        <v>27</v>
      </c>
      <c r="AG164" s="98">
        <v>37</v>
      </c>
      <c r="AH164" s="98">
        <v>25</v>
      </c>
      <c r="AI164" s="98">
        <v>5</v>
      </c>
      <c r="AJ164" s="98">
        <v>30</v>
      </c>
      <c r="AK164" s="98">
        <v>35</v>
      </c>
    </row>
    <row r="165" spans="2:37">
      <c r="C165" s="8">
        <v>2</v>
      </c>
      <c r="D165" s="11">
        <v>4</v>
      </c>
      <c r="E165" s="11">
        <v>12</v>
      </c>
      <c r="F165" s="11">
        <v>23</v>
      </c>
      <c r="G165" s="11">
        <v>28</v>
      </c>
      <c r="H165" s="11">
        <v>33</v>
      </c>
      <c r="I165" s="11">
        <v>37</v>
      </c>
      <c r="L165" s="11"/>
      <c r="M165" s="11"/>
      <c r="N165" s="8">
        <v>2</v>
      </c>
      <c r="O165" s="11">
        <v>19</v>
      </c>
      <c r="P165" s="11">
        <v>20</v>
      </c>
      <c r="Q165" s="11">
        <v>40</v>
      </c>
      <c r="R165" s="11">
        <v>40</v>
      </c>
      <c r="S165" s="11">
        <v>40</v>
      </c>
      <c r="W165" s="11"/>
      <c r="X165" s="11"/>
      <c r="Y165" s="8">
        <v>2</v>
      </c>
      <c r="Z165" s="98">
        <v>45</v>
      </c>
      <c r="AA165" s="98">
        <v>26</v>
      </c>
      <c r="AB165" s="98">
        <v>30</v>
      </c>
      <c r="AC165" s="98">
        <v>40</v>
      </c>
      <c r="AD165" s="98">
        <v>40</v>
      </c>
      <c r="AE165" s="98">
        <v>45</v>
      </c>
      <c r="AF165" s="98">
        <v>30</v>
      </c>
      <c r="AG165" s="98">
        <v>38</v>
      </c>
      <c r="AH165" s="98">
        <v>25</v>
      </c>
      <c r="AI165" s="98">
        <v>10</v>
      </c>
      <c r="AJ165" s="98">
        <v>40</v>
      </c>
      <c r="AK165" s="98">
        <v>35</v>
      </c>
    </row>
    <row r="166" spans="2:37">
      <c r="C166" s="8">
        <v>3</v>
      </c>
      <c r="D166" s="11"/>
      <c r="E166" s="11"/>
      <c r="F166" s="11"/>
      <c r="G166" s="11"/>
      <c r="H166" s="11"/>
      <c r="I166" s="11"/>
      <c r="L166" s="11"/>
      <c r="M166" s="11"/>
      <c r="N166" s="8">
        <v>3</v>
      </c>
      <c r="O166" s="11"/>
      <c r="P166" s="11"/>
      <c r="Q166" s="11"/>
      <c r="R166" s="11"/>
      <c r="S166" s="11"/>
      <c r="W166" s="11"/>
      <c r="X166" s="11"/>
      <c r="Y166" s="8">
        <v>3</v>
      </c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</row>
    <row r="167" spans="2:37">
      <c r="C167" s="8">
        <v>4</v>
      </c>
      <c r="D167" s="11"/>
      <c r="E167" s="11"/>
      <c r="F167" s="11"/>
      <c r="G167" s="11"/>
      <c r="H167" s="11"/>
      <c r="I167" s="11"/>
      <c r="L167" s="11"/>
      <c r="M167" s="11"/>
      <c r="N167" s="8">
        <v>4</v>
      </c>
      <c r="O167" s="11"/>
      <c r="P167" s="11"/>
      <c r="Q167" s="11"/>
      <c r="R167" s="11"/>
      <c r="S167" s="11"/>
      <c r="W167" s="11"/>
      <c r="X167" s="11"/>
      <c r="Y167" s="8">
        <v>4</v>
      </c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</row>
    <row r="168" spans="2:37">
      <c r="B168" t="s">
        <v>47</v>
      </c>
      <c r="C168" s="6" t="s">
        <v>26</v>
      </c>
      <c r="D168" s="11"/>
      <c r="E168" s="11"/>
      <c r="F168" s="11"/>
      <c r="G168" s="11"/>
      <c r="H168" s="11"/>
      <c r="I168" s="11"/>
      <c r="L168" s="11"/>
      <c r="M168" s="11" t="str">
        <f t="shared" si="6"/>
        <v>Temperature Before Turbine</v>
      </c>
      <c r="N168" s="6" t="s">
        <v>26</v>
      </c>
      <c r="O168" s="11"/>
      <c r="P168" s="11"/>
      <c r="Q168" s="11"/>
      <c r="R168" s="11"/>
      <c r="S168" s="11"/>
      <c r="W168" s="11"/>
      <c r="X168" s="11" t="str">
        <f>B168</f>
        <v>Temperature Before Turbine</v>
      </c>
      <c r="Y168" s="6" t="s">
        <v>26</v>
      </c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</row>
    <row r="169" spans="2:37">
      <c r="C169" s="8">
        <v>1</v>
      </c>
      <c r="D169" s="11">
        <v>257</v>
      </c>
      <c r="E169" s="11">
        <v>309</v>
      </c>
      <c r="F169" s="11">
        <v>330</v>
      </c>
      <c r="G169" s="11">
        <v>349</v>
      </c>
      <c r="H169" s="11">
        <v>369</v>
      </c>
      <c r="I169" s="11">
        <v>397</v>
      </c>
      <c r="L169" s="11"/>
      <c r="M169" s="11"/>
      <c r="N169" s="8">
        <v>1</v>
      </c>
      <c r="O169" s="11">
        <v>350</v>
      </c>
      <c r="P169" s="11">
        <v>355</v>
      </c>
      <c r="Q169" s="11">
        <v>385</v>
      </c>
      <c r="R169" s="11">
        <v>390</v>
      </c>
      <c r="S169" s="11">
        <v>390</v>
      </c>
      <c r="W169" s="11"/>
      <c r="X169" s="11"/>
      <c r="Y169" s="8">
        <v>1</v>
      </c>
      <c r="Z169" s="98">
        <v>360</v>
      </c>
      <c r="AA169" s="98">
        <v>350</v>
      </c>
      <c r="AB169" s="98">
        <v>360</v>
      </c>
      <c r="AC169" s="98">
        <v>360</v>
      </c>
      <c r="AD169" s="98">
        <v>380</v>
      </c>
      <c r="AE169" s="98">
        <v>365</v>
      </c>
      <c r="AF169" s="98">
        <v>370</v>
      </c>
      <c r="AG169" s="98">
        <v>385</v>
      </c>
      <c r="AH169" s="98">
        <v>387</v>
      </c>
      <c r="AI169" s="98">
        <v>385</v>
      </c>
      <c r="AJ169" s="98">
        <v>375</v>
      </c>
      <c r="AK169" s="98">
        <v>370</v>
      </c>
    </row>
    <row r="170" spans="2:37">
      <c r="C170" s="8">
        <v>2</v>
      </c>
      <c r="D170" s="11">
        <v>250</v>
      </c>
      <c r="E170" s="11">
        <v>310</v>
      </c>
      <c r="F170" s="11">
        <v>330</v>
      </c>
      <c r="G170" s="11">
        <v>352</v>
      </c>
      <c r="H170" s="11">
        <v>370</v>
      </c>
      <c r="I170" s="11">
        <v>397</v>
      </c>
      <c r="L170" s="11"/>
      <c r="M170" s="11"/>
      <c r="N170" s="8">
        <v>2</v>
      </c>
      <c r="O170" s="11">
        <v>350</v>
      </c>
      <c r="P170" s="11">
        <v>365</v>
      </c>
      <c r="Q170" s="11">
        <v>399</v>
      </c>
      <c r="R170" s="11">
        <v>400</v>
      </c>
      <c r="S170" s="11">
        <v>403</v>
      </c>
      <c r="W170" s="11"/>
      <c r="X170" s="11"/>
      <c r="Y170" s="8">
        <v>2</v>
      </c>
      <c r="Z170" s="98">
        <v>380</v>
      </c>
      <c r="AA170" s="98">
        <v>365</v>
      </c>
      <c r="AB170" s="98">
        <v>375</v>
      </c>
      <c r="AC170" s="98">
        <v>370</v>
      </c>
      <c r="AD170" s="98">
        <v>400</v>
      </c>
      <c r="AE170" s="98">
        <v>380</v>
      </c>
      <c r="AF170" s="98">
        <v>380</v>
      </c>
      <c r="AG170" s="98">
        <v>390</v>
      </c>
      <c r="AH170" s="98">
        <v>395</v>
      </c>
      <c r="AI170" s="98">
        <v>385</v>
      </c>
      <c r="AJ170" s="98">
        <v>378</v>
      </c>
      <c r="AK170" s="98">
        <v>380</v>
      </c>
    </row>
    <row r="171" spans="2:37">
      <c r="C171" s="8">
        <v>3</v>
      </c>
      <c r="D171" s="11"/>
      <c r="E171" s="11"/>
      <c r="F171" s="11"/>
      <c r="G171" s="11"/>
      <c r="H171" s="11"/>
      <c r="I171" s="11"/>
      <c r="L171" s="11"/>
      <c r="M171" s="11"/>
      <c r="N171" s="8">
        <v>3</v>
      </c>
      <c r="O171" s="11"/>
      <c r="P171" s="11"/>
      <c r="Q171" s="11"/>
      <c r="R171" s="11"/>
      <c r="S171" s="11"/>
      <c r="W171" s="11"/>
      <c r="X171" s="11"/>
      <c r="Y171" s="8">
        <v>3</v>
      </c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</row>
    <row r="172" spans="2:37">
      <c r="C172" s="8">
        <v>4</v>
      </c>
      <c r="D172" s="11"/>
      <c r="E172" s="11"/>
      <c r="F172" s="11"/>
      <c r="G172" s="11"/>
      <c r="H172" s="11"/>
      <c r="I172" s="11"/>
      <c r="L172" s="11"/>
      <c r="M172" s="11"/>
      <c r="N172" s="8">
        <v>4</v>
      </c>
      <c r="O172" s="11"/>
      <c r="P172" s="11"/>
      <c r="Q172" s="11"/>
      <c r="R172" s="11"/>
      <c r="S172" s="11"/>
      <c r="W172" s="11"/>
      <c r="X172" s="11"/>
      <c r="Y172" s="8">
        <v>4</v>
      </c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</row>
    <row r="173" spans="2:37">
      <c r="B173" s="11" t="s">
        <v>48</v>
      </c>
      <c r="C173" s="6" t="s">
        <v>26</v>
      </c>
      <c r="D173" s="11"/>
      <c r="E173" s="11"/>
      <c r="F173" s="11"/>
      <c r="G173" s="11"/>
      <c r="H173" s="11"/>
      <c r="I173" s="11"/>
      <c r="L173" s="11"/>
      <c r="M173" s="11" t="str">
        <f t="shared" si="6"/>
        <v>Temperature After Turbine</v>
      </c>
      <c r="N173" s="6" t="s">
        <v>26</v>
      </c>
      <c r="O173" s="11"/>
      <c r="P173" s="11"/>
      <c r="Q173" s="11"/>
      <c r="R173" s="11"/>
      <c r="S173" s="11"/>
      <c r="W173" s="11"/>
      <c r="X173" s="11" t="str">
        <f>B173</f>
        <v>Temperature After Turbine</v>
      </c>
      <c r="Y173" s="6" t="s">
        <v>26</v>
      </c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</row>
    <row r="174" spans="2:37">
      <c r="C174" s="8">
        <v>1</v>
      </c>
      <c r="D174" s="11">
        <v>217</v>
      </c>
      <c r="E174" s="11">
        <v>214</v>
      </c>
      <c r="F174" s="11">
        <v>196</v>
      </c>
      <c r="G174" s="11">
        <v>196</v>
      </c>
      <c r="H174" s="11">
        <v>203</v>
      </c>
      <c r="I174" s="11">
        <v>220</v>
      </c>
      <c r="L174" s="11"/>
      <c r="M174" s="11"/>
      <c r="N174" s="8">
        <v>1</v>
      </c>
      <c r="O174" s="11">
        <v>250</v>
      </c>
      <c r="P174" s="11">
        <v>245</v>
      </c>
      <c r="Q174" s="11">
        <v>230</v>
      </c>
      <c r="R174" s="11">
        <v>230</v>
      </c>
      <c r="S174" s="11">
        <v>230</v>
      </c>
      <c r="W174" s="11"/>
      <c r="X174" s="11"/>
      <c r="Y174" s="8">
        <v>1</v>
      </c>
      <c r="Z174" s="98">
        <v>230</v>
      </c>
      <c r="AA174" s="98">
        <v>220</v>
      </c>
      <c r="AB174" s="98">
        <v>225</v>
      </c>
      <c r="AC174" s="98">
        <v>220</v>
      </c>
      <c r="AD174" s="98">
        <v>240</v>
      </c>
      <c r="AE174" s="98">
        <v>230</v>
      </c>
      <c r="AF174" s="98">
        <v>230</v>
      </c>
      <c r="AG174" s="98">
        <v>240</v>
      </c>
      <c r="AH174" s="98">
        <v>235</v>
      </c>
      <c r="AI174" s="98">
        <v>235</v>
      </c>
      <c r="AJ174" s="98">
        <v>225</v>
      </c>
      <c r="AK174" s="98">
        <v>240</v>
      </c>
    </row>
    <row r="175" spans="2:37">
      <c r="C175" s="8">
        <v>2</v>
      </c>
      <c r="D175" s="11">
        <v>218</v>
      </c>
      <c r="E175" s="11">
        <v>220</v>
      </c>
      <c r="F175" s="11">
        <v>200</v>
      </c>
      <c r="G175" s="11">
        <v>201</v>
      </c>
      <c r="H175" s="11">
        <v>207</v>
      </c>
      <c r="I175" s="11">
        <v>224</v>
      </c>
      <c r="L175" s="11"/>
      <c r="M175" s="11"/>
      <c r="N175" s="8">
        <v>2</v>
      </c>
      <c r="O175" s="11">
        <v>260</v>
      </c>
      <c r="P175" s="11">
        <v>255</v>
      </c>
      <c r="Q175" s="11">
        <v>230</v>
      </c>
      <c r="R175" s="11">
        <v>235</v>
      </c>
      <c r="S175" s="11">
        <v>235</v>
      </c>
      <c r="W175" s="11"/>
      <c r="X175" s="11"/>
      <c r="Y175" s="8">
        <v>2</v>
      </c>
      <c r="Z175" s="98">
        <v>230</v>
      </c>
      <c r="AA175" s="98">
        <v>220</v>
      </c>
      <c r="AB175" s="98">
        <v>225</v>
      </c>
      <c r="AC175" s="98">
        <v>220</v>
      </c>
      <c r="AD175" s="98">
        <v>250</v>
      </c>
      <c r="AE175" s="98">
        <v>240</v>
      </c>
      <c r="AF175" s="98">
        <v>240</v>
      </c>
      <c r="AG175" s="98">
        <v>250</v>
      </c>
      <c r="AH175" s="98">
        <v>245</v>
      </c>
      <c r="AI175" s="98">
        <v>235</v>
      </c>
      <c r="AJ175" s="98">
        <v>235</v>
      </c>
      <c r="AK175" s="98">
        <v>250</v>
      </c>
    </row>
    <row r="176" spans="2:37">
      <c r="C176" s="8">
        <v>3</v>
      </c>
      <c r="D176" s="11"/>
      <c r="E176" s="11"/>
      <c r="F176" s="11"/>
      <c r="G176" s="11"/>
      <c r="H176" s="11"/>
      <c r="I176" s="11"/>
      <c r="L176" s="11"/>
      <c r="M176" s="11"/>
      <c r="N176" s="8">
        <v>3</v>
      </c>
      <c r="O176" s="11"/>
      <c r="P176" s="11"/>
      <c r="Q176" s="11"/>
      <c r="R176" s="11"/>
      <c r="S176" s="11"/>
      <c r="W176" s="11"/>
      <c r="X176" s="11"/>
      <c r="Y176" s="8">
        <v>3</v>
      </c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</row>
    <row r="177" spans="2:38">
      <c r="C177" s="8">
        <v>4</v>
      </c>
      <c r="D177" s="11"/>
      <c r="E177" s="11"/>
      <c r="F177" s="11"/>
      <c r="G177" s="11"/>
      <c r="H177" s="11"/>
      <c r="I177" s="11"/>
      <c r="L177" s="11"/>
      <c r="M177" s="11"/>
      <c r="N177" s="8">
        <v>4</v>
      </c>
      <c r="O177" s="11"/>
      <c r="P177" s="11"/>
      <c r="Q177" s="11"/>
      <c r="R177" s="11"/>
      <c r="S177" s="11"/>
      <c r="W177" s="11"/>
      <c r="X177" s="11"/>
      <c r="Y177" s="8">
        <v>4</v>
      </c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</row>
    <row r="178" spans="2:38">
      <c r="B178" s="11" t="s">
        <v>121</v>
      </c>
      <c r="C178" s="6" t="s">
        <v>46</v>
      </c>
      <c r="D178" s="11"/>
      <c r="E178" s="11"/>
      <c r="F178" s="11"/>
      <c r="G178" s="11"/>
      <c r="H178" s="11"/>
      <c r="I178" s="11"/>
      <c r="L178" s="11"/>
      <c r="M178" s="11" t="str">
        <f t="shared" si="6"/>
        <v>Pressure After Turbine</v>
      </c>
      <c r="N178" s="6" t="s">
        <v>46</v>
      </c>
      <c r="O178" s="11"/>
      <c r="P178" s="11"/>
      <c r="Q178" s="11"/>
      <c r="R178" s="11"/>
      <c r="S178" s="11"/>
      <c r="W178" s="11"/>
      <c r="X178" s="11" t="str">
        <f>B178</f>
        <v>Pressure After Turbine</v>
      </c>
      <c r="Y178" s="6" t="s">
        <v>46</v>
      </c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</row>
    <row r="179" spans="2:38">
      <c r="C179" s="8">
        <v>1</v>
      </c>
      <c r="D179" s="11">
        <v>20</v>
      </c>
      <c r="E179" s="11">
        <v>50</v>
      </c>
      <c r="F179" s="11">
        <v>100</v>
      </c>
      <c r="G179" s="11">
        <v>160</v>
      </c>
      <c r="H179" s="11">
        <v>190</v>
      </c>
      <c r="I179" s="11">
        <v>210</v>
      </c>
      <c r="L179" s="11"/>
      <c r="M179" s="11"/>
      <c r="N179" s="8">
        <v>1</v>
      </c>
      <c r="O179" s="11">
        <v>65</v>
      </c>
      <c r="P179" s="11">
        <v>70</v>
      </c>
      <c r="Q179" s="11">
        <v>180</v>
      </c>
      <c r="R179" s="11">
        <v>190</v>
      </c>
      <c r="S179" s="11">
        <v>190</v>
      </c>
      <c r="W179" s="11"/>
      <c r="X179" s="11"/>
      <c r="Y179" s="8">
        <v>1</v>
      </c>
      <c r="Z179" s="98">
        <v>0</v>
      </c>
      <c r="AA179" s="98">
        <v>0</v>
      </c>
      <c r="AB179" s="98">
        <v>0</v>
      </c>
      <c r="AC179" s="98">
        <v>0</v>
      </c>
      <c r="AD179" s="98">
        <v>0</v>
      </c>
      <c r="AE179" s="98">
        <v>0</v>
      </c>
      <c r="AF179" s="98">
        <v>0</v>
      </c>
      <c r="AG179" s="98">
        <v>0</v>
      </c>
      <c r="AH179" s="98">
        <v>0</v>
      </c>
      <c r="AI179" s="98">
        <v>0</v>
      </c>
      <c r="AJ179" s="98">
        <v>0</v>
      </c>
      <c r="AK179" s="98">
        <v>0</v>
      </c>
    </row>
    <row r="180" spans="2:38">
      <c r="C180" s="8">
        <v>2</v>
      </c>
      <c r="D180" s="11">
        <v>20</v>
      </c>
      <c r="E180" s="11">
        <v>50</v>
      </c>
      <c r="F180" s="11">
        <v>120</v>
      </c>
      <c r="G180" s="11">
        <v>160</v>
      </c>
      <c r="H180" s="11">
        <v>190</v>
      </c>
      <c r="I180" s="11">
        <v>220</v>
      </c>
      <c r="L180" s="11"/>
      <c r="M180" s="11"/>
      <c r="N180" s="8">
        <v>2</v>
      </c>
      <c r="O180" s="11">
        <v>65</v>
      </c>
      <c r="P180" s="11">
        <v>70</v>
      </c>
      <c r="Q180" s="11">
        <v>180</v>
      </c>
      <c r="R180" s="11">
        <v>195</v>
      </c>
      <c r="S180" s="11">
        <v>190</v>
      </c>
      <c r="W180" s="11"/>
      <c r="X180" s="11"/>
      <c r="Y180" s="8">
        <v>2</v>
      </c>
      <c r="Z180" s="98">
        <v>0</v>
      </c>
      <c r="AA180" s="98">
        <v>0</v>
      </c>
      <c r="AB180" s="98">
        <v>0</v>
      </c>
      <c r="AC180" s="98">
        <v>0</v>
      </c>
      <c r="AD180" s="98">
        <v>0</v>
      </c>
      <c r="AE180" s="98">
        <v>0</v>
      </c>
      <c r="AF180" s="98">
        <v>0</v>
      </c>
      <c r="AG180" s="98">
        <v>0</v>
      </c>
      <c r="AH180" s="98">
        <v>0</v>
      </c>
      <c r="AI180" s="98">
        <v>0</v>
      </c>
      <c r="AJ180" s="98">
        <v>0</v>
      </c>
      <c r="AK180" s="98">
        <v>0</v>
      </c>
    </row>
    <row r="181" spans="2:38">
      <c r="C181" s="8">
        <v>3</v>
      </c>
      <c r="D181" s="11"/>
      <c r="E181" s="11"/>
      <c r="F181" s="11"/>
      <c r="G181" s="11"/>
      <c r="H181" s="11"/>
      <c r="I181" s="11"/>
      <c r="L181" s="11"/>
      <c r="M181" s="11"/>
      <c r="N181" s="8">
        <v>3</v>
      </c>
      <c r="O181" s="11"/>
      <c r="P181" s="11"/>
      <c r="Q181" s="11"/>
      <c r="R181" s="11"/>
      <c r="S181" s="11"/>
      <c r="W181" s="11"/>
      <c r="X181" s="11"/>
      <c r="Y181" s="8">
        <v>3</v>
      </c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</row>
    <row r="182" spans="2:38">
      <c r="C182" s="8">
        <v>4</v>
      </c>
      <c r="D182" s="11"/>
      <c r="E182" s="11"/>
      <c r="F182" s="11"/>
      <c r="G182" s="11"/>
      <c r="H182" s="11"/>
      <c r="I182" s="11"/>
      <c r="L182" s="11"/>
      <c r="M182" s="11"/>
      <c r="N182" s="8">
        <v>4</v>
      </c>
      <c r="O182" s="11"/>
      <c r="P182" s="11"/>
      <c r="Q182" s="11"/>
      <c r="R182" s="11"/>
      <c r="S182" s="11"/>
      <c r="W182" s="11"/>
      <c r="X182" s="11"/>
      <c r="Y182" s="8">
        <v>4</v>
      </c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</row>
    <row r="183" spans="2:38">
      <c r="L183" s="11"/>
      <c r="M183" s="11"/>
      <c r="N183" s="6"/>
      <c r="O183" s="11"/>
      <c r="P183" s="11"/>
      <c r="Q183" s="11"/>
      <c r="R183" s="11"/>
      <c r="S183" s="11"/>
      <c r="W183" s="11"/>
      <c r="X183" s="11"/>
      <c r="Y183" s="6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</row>
    <row r="184" spans="2:38">
      <c r="B184" s="4" t="s">
        <v>58</v>
      </c>
      <c r="L184" s="11"/>
      <c r="M184" s="4" t="str">
        <f t="shared" ref="M184:M251" si="7">B184</f>
        <v>RESULTS</v>
      </c>
      <c r="N184" s="6"/>
      <c r="O184" s="11"/>
      <c r="P184" s="11"/>
      <c r="Q184" s="11"/>
      <c r="R184" s="11"/>
      <c r="S184" s="11"/>
      <c r="W184" s="11"/>
      <c r="X184" s="4" t="str">
        <f t="shared" ref="X184:X208" si="8">B184</f>
        <v>RESULTS</v>
      </c>
    </row>
    <row r="185" spans="2:38" s="13" customFormat="1">
      <c r="B185" s="21" t="str">
        <f>B22</f>
        <v>Load</v>
      </c>
      <c r="C185" s="21"/>
      <c r="D185" s="21">
        <f t="shared" ref="D185:I186" si="9">D22</f>
        <v>0.25</v>
      </c>
      <c r="E185" s="21">
        <f t="shared" si="9"/>
        <v>0.5</v>
      </c>
      <c r="F185" s="21">
        <f t="shared" si="9"/>
        <v>0.75</v>
      </c>
      <c r="G185" s="21">
        <f t="shared" si="9"/>
        <v>0.9</v>
      </c>
      <c r="H185" s="21">
        <f t="shared" si="9"/>
        <v>1</v>
      </c>
      <c r="I185" s="21">
        <f t="shared" si="9"/>
        <v>1.1000000000000001</v>
      </c>
      <c r="M185" s="21" t="str">
        <f t="shared" si="7"/>
        <v>Load</v>
      </c>
      <c r="N185" s="21"/>
      <c r="O185" s="21">
        <f t="shared" ref="O185:S186" si="10">O22</f>
        <v>0.5</v>
      </c>
      <c r="P185" s="21">
        <f t="shared" si="10"/>
        <v>0.5</v>
      </c>
      <c r="Q185" s="21">
        <f t="shared" si="10"/>
        <v>0.9</v>
      </c>
      <c r="R185" s="21">
        <f t="shared" si="10"/>
        <v>0.9</v>
      </c>
      <c r="S185" s="21">
        <f t="shared" si="10"/>
        <v>0.9</v>
      </c>
      <c r="X185" s="21" t="str">
        <f t="shared" si="8"/>
        <v>Load</v>
      </c>
      <c r="Y185" s="9"/>
      <c r="Z185" s="102">
        <f t="shared" ref="Z185:AK185" si="11">Z22</f>
        <v>0.81780053662605068</v>
      </c>
      <c r="AA185" s="102">
        <f t="shared" si="11"/>
        <v>0.79883770212026628</v>
      </c>
      <c r="AB185" s="102">
        <f t="shared" si="11"/>
        <v>0.77647318045602376</v>
      </c>
      <c r="AC185" s="102">
        <f t="shared" si="11"/>
        <v>0.83695566819794931</v>
      </c>
      <c r="AD185" s="102">
        <f t="shared" si="11"/>
        <v>0.80833003928965508</v>
      </c>
      <c r="AE185" s="102">
        <f t="shared" si="11"/>
        <v>0.77654491454162822</v>
      </c>
      <c r="AF185" s="102">
        <f t="shared" si="11"/>
        <v>0.77537888053131476</v>
      </c>
      <c r="AG185" s="102">
        <f t="shared" si="11"/>
        <v>0.81822401631458408</v>
      </c>
      <c r="AH185" s="102">
        <f t="shared" si="11"/>
        <v>0.8503592886289788</v>
      </c>
      <c r="AI185" s="102">
        <f t="shared" si="11"/>
        <v>0.84211466289410686</v>
      </c>
      <c r="AJ185" s="102">
        <f t="shared" si="11"/>
        <v>0.8122265851030156</v>
      </c>
      <c r="AK185" s="102">
        <f t="shared" si="11"/>
        <v>0.83324822337758164</v>
      </c>
      <c r="AL185" s="97"/>
    </row>
    <row r="186" spans="2:38" s="13" customFormat="1">
      <c r="B186" s="21" t="str">
        <f>B23</f>
        <v>DATE</v>
      </c>
      <c r="C186" s="21"/>
      <c r="D186" s="22">
        <f t="shared" si="9"/>
        <v>38805</v>
      </c>
      <c r="E186" s="22">
        <f t="shared" si="9"/>
        <v>38805</v>
      </c>
      <c r="F186" s="22">
        <f t="shared" si="9"/>
        <v>38805</v>
      </c>
      <c r="G186" s="22">
        <f t="shared" si="9"/>
        <v>38805</v>
      </c>
      <c r="H186" s="22">
        <f t="shared" si="9"/>
        <v>38805</v>
      </c>
      <c r="I186" s="22">
        <f t="shared" si="9"/>
        <v>38805</v>
      </c>
      <c r="M186" s="21" t="str">
        <f t="shared" si="7"/>
        <v>DATE</v>
      </c>
      <c r="N186" s="21"/>
      <c r="O186" s="22">
        <f t="shared" si="10"/>
        <v>38966</v>
      </c>
      <c r="P186" s="22">
        <f t="shared" si="10"/>
        <v>38966</v>
      </c>
      <c r="Q186" s="22">
        <f t="shared" si="10"/>
        <v>38966</v>
      </c>
      <c r="R186" s="22">
        <f t="shared" si="10"/>
        <v>38966</v>
      </c>
      <c r="S186" s="22">
        <f t="shared" si="10"/>
        <v>38966</v>
      </c>
      <c r="X186" s="21" t="str">
        <f t="shared" si="8"/>
        <v>DATE</v>
      </c>
      <c r="Y186" s="9"/>
      <c r="Z186" s="112">
        <f t="shared" ref="Z186:AK186" si="12">Z23</f>
        <v>41288</v>
      </c>
      <c r="AA186" s="112">
        <f t="shared" si="12"/>
        <v>41330</v>
      </c>
      <c r="AB186" s="112">
        <f t="shared" si="12"/>
        <v>41339</v>
      </c>
      <c r="AC186" s="112">
        <f t="shared" si="12"/>
        <v>0</v>
      </c>
      <c r="AD186" s="112">
        <f t="shared" si="12"/>
        <v>0</v>
      </c>
      <c r="AE186" s="112">
        <f t="shared" si="12"/>
        <v>41451</v>
      </c>
      <c r="AF186" s="112">
        <f t="shared" si="12"/>
        <v>41485</v>
      </c>
      <c r="AG186" s="112">
        <f t="shared" si="12"/>
        <v>41508</v>
      </c>
      <c r="AH186" s="112">
        <f t="shared" si="12"/>
        <v>41533</v>
      </c>
      <c r="AI186" s="112">
        <f t="shared" si="12"/>
        <v>41558</v>
      </c>
      <c r="AJ186" s="112">
        <f t="shared" si="12"/>
        <v>41587</v>
      </c>
      <c r="AK186" s="112">
        <f t="shared" si="12"/>
        <v>41638</v>
      </c>
      <c r="AL186" s="97"/>
    </row>
    <row r="187" spans="2:38" s="13" customFormat="1">
      <c r="B187" s="13" t="str">
        <f>'INPUT DATA'!B27</f>
        <v>Engine Speed</v>
      </c>
      <c r="C187" s="13" t="str">
        <f>'INPUT DATA'!C27</f>
        <v>rpm</v>
      </c>
      <c r="D187" s="13">
        <f>'INPUT DATA'!D27</f>
        <v>57.4</v>
      </c>
      <c r="E187" s="13">
        <f>'INPUT DATA'!E27</f>
        <v>72.3</v>
      </c>
      <c r="F187" s="13">
        <f>'INPUT DATA'!F27</f>
        <v>82.9</v>
      </c>
      <c r="G187" s="13">
        <f>'INPUT DATA'!G27</f>
        <v>87.9</v>
      </c>
      <c r="H187" s="13">
        <f>'INPUT DATA'!H27</f>
        <v>91</v>
      </c>
      <c r="I187" s="13">
        <f>'INPUT DATA'!I27</f>
        <v>94</v>
      </c>
      <c r="M187" s="13" t="str">
        <f t="shared" si="7"/>
        <v>Engine Speed</v>
      </c>
      <c r="N187" s="13" t="str">
        <f>'INPUT DATA'!N27</f>
        <v>rpm</v>
      </c>
      <c r="O187" s="13">
        <f>'INPUT DATA'!O27</f>
        <v>74.89</v>
      </c>
      <c r="P187" s="13">
        <f>'INPUT DATA'!P27</f>
        <v>74.900000000000006</v>
      </c>
      <c r="Q187" s="13">
        <f>'INPUT DATA'!Q27</f>
        <v>90.71</v>
      </c>
      <c r="R187" s="13">
        <f>'INPUT DATA'!R27</f>
        <v>90.7</v>
      </c>
      <c r="S187" s="13">
        <f>'INPUT DATA'!S27</f>
        <v>90.8</v>
      </c>
      <c r="X187" s="13" t="str">
        <f t="shared" si="8"/>
        <v>Engine Speed</v>
      </c>
      <c r="Y187" s="9" t="str">
        <f t="shared" ref="Y187:Y218" si="13">N187</f>
        <v>rpm</v>
      </c>
      <c r="Z187" s="97">
        <f>'INPUT DATA'!Z27</f>
        <v>88.233333333333334</v>
      </c>
      <c r="AA187" s="97">
        <f>'INPUT DATA'!AA27</f>
        <v>90.45</v>
      </c>
      <c r="AB187" s="97">
        <f>'INPUT DATA'!AB27</f>
        <v>89.100000000000009</v>
      </c>
      <c r="AC187" s="97">
        <f>'INPUT DATA'!AC27</f>
        <v>91.350000000000009</v>
      </c>
      <c r="AD187" s="97">
        <f>'INPUT DATA'!AD27</f>
        <v>90.649999999999991</v>
      </c>
      <c r="AE187" s="97">
        <f>'INPUT DATA'!AE27</f>
        <v>89.766666666666652</v>
      </c>
      <c r="AF187" s="97">
        <f>'INPUT DATA'!AF27</f>
        <v>89.083333333333329</v>
      </c>
      <c r="AG187" s="97">
        <f>'INPUT DATA'!AG27</f>
        <v>90.25</v>
      </c>
      <c r="AH187" s="97">
        <f>'INPUT DATA'!AH27</f>
        <v>89.483333333333334</v>
      </c>
      <c r="AI187" s="97">
        <f>'INPUT DATA'!AI27</f>
        <v>89.316666666666663</v>
      </c>
      <c r="AJ187" s="97">
        <f>'INPUT DATA'!AJ27</f>
        <v>89.483333333333334</v>
      </c>
      <c r="AK187" s="97">
        <f>'INPUT DATA'!AK27</f>
        <v>87</v>
      </c>
      <c r="AL187" s="97"/>
    </row>
    <row r="188" spans="2:38" s="13" customFormat="1">
      <c r="B188" s="13" t="s">
        <v>90</v>
      </c>
      <c r="C188" s="13" t="s">
        <v>76</v>
      </c>
      <c r="D188" s="27">
        <f t="shared" ref="D188:I188" si="14">D24+273.15</f>
        <v>280.84999999999997</v>
      </c>
      <c r="E188" s="27">
        <f t="shared" si="14"/>
        <v>281.25</v>
      </c>
      <c r="F188" s="27">
        <f t="shared" si="14"/>
        <v>281.95</v>
      </c>
      <c r="G188" s="27">
        <f t="shared" si="14"/>
        <v>282.54999999999995</v>
      </c>
      <c r="H188" s="27">
        <f t="shared" si="14"/>
        <v>283.04999999999995</v>
      </c>
      <c r="I188" s="27">
        <f t="shared" si="14"/>
        <v>284.04999999999995</v>
      </c>
      <c r="M188" s="13" t="str">
        <f t="shared" si="7"/>
        <v>E/R Temperature</v>
      </c>
      <c r="N188" s="13" t="s">
        <v>76</v>
      </c>
      <c r="O188" s="27">
        <f>O24+273.15</f>
        <v>308.14999999999998</v>
      </c>
      <c r="P188" s="27">
        <f>P24+273.15</f>
        <v>308.14999999999998</v>
      </c>
      <c r="Q188" s="27">
        <f>Q24+273.15</f>
        <v>307.14999999999998</v>
      </c>
      <c r="R188" s="27">
        <f>R24+273.15</f>
        <v>308.14999999999998</v>
      </c>
      <c r="S188" s="27">
        <f>S24+273.15</f>
        <v>308.14999999999998</v>
      </c>
      <c r="X188" s="13" t="str">
        <f t="shared" si="8"/>
        <v>E/R Temperature</v>
      </c>
      <c r="Y188" s="9" t="str">
        <f t="shared" si="13"/>
        <v>K</v>
      </c>
      <c r="Z188" s="113">
        <f t="shared" ref="Z188:AK188" si="15">Z24+273.15</f>
        <v>304.14999999999998</v>
      </c>
      <c r="AA188" s="113">
        <f t="shared" si="15"/>
        <v>297.14999999999998</v>
      </c>
      <c r="AB188" s="113">
        <f t="shared" si="15"/>
        <v>304.14999999999998</v>
      </c>
      <c r="AC188" s="113">
        <f t="shared" si="15"/>
        <v>299.14999999999998</v>
      </c>
      <c r="AD188" s="113">
        <f t="shared" si="15"/>
        <v>314.14999999999998</v>
      </c>
      <c r="AE188" s="113">
        <f t="shared" si="15"/>
        <v>307.14999999999998</v>
      </c>
      <c r="AF188" s="113">
        <f t="shared" si="15"/>
        <v>310.14999999999998</v>
      </c>
      <c r="AG188" s="113">
        <f t="shared" si="15"/>
        <v>314.14999999999998</v>
      </c>
      <c r="AH188" s="113">
        <f t="shared" si="15"/>
        <v>310.14999999999998</v>
      </c>
      <c r="AI188" s="113">
        <f t="shared" si="15"/>
        <v>311.14999999999998</v>
      </c>
      <c r="AJ188" s="113">
        <f t="shared" si="15"/>
        <v>308.14999999999998</v>
      </c>
      <c r="AK188" s="113">
        <f t="shared" si="15"/>
        <v>305.14999999999998</v>
      </c>
      <c r="AL188" s="97"/>
    </row>
    <row r="189" spans="2:38" s="13" customFormat="1">
      <c r="B189" s="13" t="s">
        <v>228</v>
      </c>
      <c r="C189" s="13" t="s">
        <v>92</v>
      </c>
      <c r="D189" s="27">
        <f t="shared" ref="D189:I189" si="16">IF($C$25="mbar",D25,D25*1000*$J$5)</f>
        <v>1007.11733406</v>
      </c>
      <c r="E189" s="27">
        <f t="shared" si="16"/>
        <v>1006.71736689</v>
      </c>
      <c r="F189" s="27">
        <f t="shared" si="16"/>
        <v>1006.31739972</v>
      </c>
      <c r="G189" s="27">
        <f t="shared" si="16"/>
        <v>1006.05075494</v>
      </c>
      <c r="H189" s="27">
        <f t="shared" si="16"/>
        <v>1005.65078777</v>
      </c>
      <c r="I189" s="27">
        <f t="shared" si="16"/>
        <v>1004.5842086500001</v>
      </c>
      <c r="M189" s="13" t="s">
        <v>228</v>
      </c>
      <c r="N189" s="13" t="s">
        <v>92</v>
      </c>
      <c r="O189" s="27">
        <f>IF($N$25="mbar",O25,O25*1000*$J$5)</f>
        <v>1003.9175967</v>
      </c>
      <c r="P189" s="27">
        <f>IF($N$25="mbar",P25,P25*1000*$J$5)</f>
        <v>1003.9175967</v>
      </c>
      <c r="Q189" s="27">
        <f>IF($N$25="mbar",Q25,Q25*1000*$J$5)</f>
        <v>1003.9175967</v>
      </c>
      <c r="R189" s="27">
        <f>IF($N$25="mbar",R25,R25*1000*$J$5)</f>
        <v>1003.9175967</v>
      </c>
      <c r="S189" s="27">
        <f>IF($N$25="mbar",S25,S25*1000*$J$5)</f>
        <v>1003.9175967</v>
      </c>
      <c r="T189" s="27"/>
      <c r="X189" s="13" t="s">
        <v>228</v>
      </c>
      <c r="Y189" s="13" t="s">
        <v>92</v>
      </c>
      <c r="Z189" s="113">
        <f t="shared" ref="Z189:AK189" si="17">IF($Y$25="mbar",Z25,Z25*1000*$J$5)</f>
        <v>1032</v>
      </c>
      <c r="AA189" s="113">
        <f t="shared" si="17"/>
        <v>1030</v>
      </c>
      <c r="AB189" s="113">
        <f t="shared" si="17"/>
        <v>1013</v>
      </c>
      <c r="AC189" s="113">
        <f t="shared" si="17"/>
        <v>1042</v>
      </c>
      <c r="AD189" s="113">
        <f t="shared" si="17"/>
        <v>1021</v>
      </c>
      <c r="AE189" s="113">
        <f t="shared" si="17"/>
        <v>1024</v>
      </c>
      <c r="AF189" s="113">
        <f t="shared" si="17"/>
        <v>1020</v>
      </c>
      <c r="AG189" s="113">
        <f t="shared" si="17"/>
        <v>1022</v>
      </c>
      <c r="AH189" s="113">
        <f t="shared" si="17"/>
        <v>1011</v>
      </c>
      <c r="AI189" s="113">
        <f t="shared" si="17"/>
        <v>1021</v>
      </c>
      <c r="AJ189" s="113">
        <f t="shared" si="17"/>
        <v>1019</v>
      </c>
      <c r="AK189" s="113">
        <f t="shared" si="17"/>
        <v>1024</v>
      </c>
      <c r="AL189" s="97"/>
    </row>
    <row r="190" spans="2:38" s="13" customFormat="1">
      <c r="B190" s="13" t="s">
        <v>22</v>
      </c>
      <c r="C190" s="13" t="s">
        <v>20</v>
      </c>
      <c r="D190" s="27">
        <f>IFERROR(AVERAGE(D72:D83)," ")</f>
        <v>7.8049999999999997</v>
      </c>
      <c r="E190" s="27">
        <f t="shared" ref="E190:I190" si="18">IFERROR(AVERAGE(E72:E83)," ")</f>
        <v>11.831666666666665</v>
      </c>
      <c r="F190" s="27">
        <f t="shared" si="18"/>
        <v>15.178333333333333</v>
      </c>
      <c r="G190" s="27">
        <f t="shared" si="18"/>
        <v>17.033333333333331</v>
      </c>
      <c r="H190" s="27">
        <f t="shared" si="18"/>
        <v>18.195</v>
      </c>
      <c r="I190" s="27">
        <f t="shared" si="18"/>
        <v>19.383333333333333</v>
      </c>
      <c r="M190" s="13" t="s">
        <v>22</v>
      </c>
      <c r="N190" s="13" t="s">
        <v>20</v>
      </c>
      <c r="O190" s="27" t="str">
        <f>IFERROR(AVERAGE(O72:O83)," ")</f>
        <v xml:space="preserve"> </v>
      </c>
      <c r="P190" s="27" t="str">
        <f t="shared" ref="P190:S190" si="19">IFERROR(AVERAGE(P72:P83)," ")</f>
        <v xml:space="preserve"> </v>
      </c>
      <c r="Q190" s="27" t="str">
        <f t="shared" si="19"/>
        <v xml:space="preserve"> </v>
      </c>
      <c r="R190" s="27" t="str">
        <f t="shared" si="19"/>
        <v xml:space="preserve"> </v>
      </c>
      <c r="S190" s="27" t="str">
        <f t="shared" si="19"/>
        <v xml:space="preserve"> </v>
      </c>
      <c r="T190" s="27"/>
      <c r="X190" s="13" t="s">
        <v>22</v>
      </c>
      <c r="Y190" s="13" t="s">
        <v>20</v>
      </c>
      <c r="Z190" s="113">
        <f t="shared" ref="Z190:AD190" si="20">AVERAGE(Z72:Z83)</f>
        <v>15.5</v>
      </c>
      <c r="AA190" s="113">
        <f t="shared" si="20"/>
        <v>14.816666666666668</v>
      </c>
      <c r="AB190" s="113">
        <f t="shared" si="20"/>
        <v>14.633333333333333</v>
      </c>
      <c r="AC190" s="113">
        <f t="shared" si="20"/>
        <v>15.333333333333334</v>
      </c>
      <c r="AD190" s="113">
        <f t="shared" si="20"/>
        <v>14.950000000000001</v>
      </c>
      <c r="AE190" s="113">
        <f t="shared" ref="AE190:AI190" si="21">AVERAGE(AE72:AE83)</f>
        <v>14.533333333333331</v>
      </c>
      <c r="AF190" s="113">
        <f t="shared" si="21"/>
        <v>14.616666666666667</v>
      </c>
      <c r="AG190" s="113">
        <f t="shared" si="21"/>
        <v>15.183333333333335</v>
      </c>
      <c r="AH190" s="113">
        <f t="shared" si="21"/>
        <v>15.866666666666669</v>
      </c>
      <c r="AI190" s="113">
        <f t="shared" si="21"/>
        <v>15.75</v>
      </c>
      <c r="AJ190" s="113">
        <f t="shared" ref="AJ190:AK190" si="22">AVERAGE(AJ72:AJ83)</f>
        <v>15.200000000000001</v>
      </c>
      <c r="AK190" s="113">
        <f t="shared" si="22"/>
        <v>15.983333333333333</v>
      </c>
      <c r="AL190" s="97"/>
    </row>
    <row r="191" spans="2:38" s="13" customFormat="1">
      <c r="B191" s="13" t="str">
        <f>B84</f>
        <v>Fuel Pump Index</v>
      </c>
      <c r="C191" s="13" t="str">
        <f>C84</f>
        <v>-</v>
      </c>
      <c r="D191" s="13">
        <f>AVERAGE(D85:D96)</f>
        <v>41.5</v>
      </c>
      <c r="E191" s="13">
        <f t="shared" ref="E191:I191" si="23">AVERAGE(E85:E96)</f>
        <v>56.5</v>
      </c>
      <c r="F191" s="13">
        <f t="shared" si="23"/>
        <v>69.666666666666671</v>
      </c>
      <c r="G191" s="13">
        <f t="shared" si="23"/>
        <v>78.5</v>
      </c>
      <c r="H191" s="13">
        <f t="shared" si="23"/>
        <v>84.5</v>
      </c>
      <c r="I191" s="13">
        <f t="shared" si="23"/>
        <v>90.666666666666671</v>
      </c>
      <c r="M191" s="13" t="str">
        <f>M84</f>
        <v>Fuel Pump Index</v>
      </c>
      <c r="N191" s="13" t="str">
        <f>N84</f>
        <v>-</v>
      </c>
      <c r="O191" s="13">
        <f>AVERAGE(O85:O96)</f>
        <v>62.166666666666664</v>
      </c>
      <c r="P191" s="13">
        <f t="shared" ref="P191:S191" si="24">AVERAGE(P85:P96)</f>
        <v>64.5</v>
      </c>
      <c r="Q191" s="13">
        <f t="shared" si="24"/>
        <v>84.5</v>
      </c>
      <c r="R191" s="13">
        <f t="shared" si="24"/>
        <v>87.5</v>
      </c>
      <c r="S191" s="13">
        <f t="shared" si="24"/>
        <v>85.5</v>
      </c>
      <c r="X191" s="13" t="str">
        <f>X84</f>
        <v>Fuel Pump Index</v>
      </c>
      <c r="Y191" s="13" t="str">
        <f>Y84</f>
        <v>-</v>
      </c>
      <c r="Z191" s="97">
        <f t="shared" ref="Z191:AD191" si="25">AVERAGE(Z85:Z96)</f>
        <v>83.166666666666671</v>
      </c>
      <c r="AA191" s="97">
        <f t="shared" si="25"/>
        <v>81</v>
      </c>
      <c r="AB191" s="97">
        <f t="shared" si="25"/>
        <v>77.833333333333329</v>
      </c>
      <c r="AC191" s="97">
        <f t="shared" si="25"/>
        <v>86</v>
      </c>
      <c r="AD191" s="97">
        <f t="shared" si="25"/>
        <v>85.333333333333329</v>
      </c>
      <c r="AE191" s="97">
        <f t="shared" ref="AE191:AI191" si="26">AVERAGE(AE85:AE96)</f>
        <v>82.833333333333329</v>
      </c>
      <c r="AF191" s="97">
        <f t="shared" si="26"/>
        <v>81.166666666666671</v>
      </c>
      <c r="AG191" s="97">
        <f t="shared" si="26"/>
        <v>85</v>
      </c>
      <c r="AH191" s="97">
        <f t="shared" si="26"/>
        <v>88.5</v>
      </c>
      <c r="AI191" s="97">
        <f t="shared" si="26"/>
        <v>88.166666666666671</v>
      </c>
      <c r="AJ191" s="97">
        <f t="shared" ref="AJ191:AK191" si="27">AVERAGE(AJ85:AJ96)</f>
        <v>84.833333333333329</v>
      </c>
      <c r="AK191" s="97">
        <f t="shared" si="27"/>
        <v>80.666666666666671</v>
      </c>
      <c r="AL191" s="97"/>
    </row>
    <row r="192" spans="2:38" s="13" customFormat="1">
      <c r="B192" s="13" t="str">
        <f t="shared" ref="B192:C192" si="28">B97</f>
        <v>VIT index</v>
      </c>
      <c r="C192" s="13" t="str">
        <f t="shared" si="28"/>
        <v>-</v>
      </c>
      <c r="D192" s="27">
        <f>AVERAGE(D98:D109)</f>
        <v>1.8166666666666667</v>
      </c>
      <c r="E192" s="27">
        <f t="shared" ref="E192:I192" si="29">AVERAGE(E98:E109)</f>
        <v>2.2333333333333334</v>
      </c>
      <c r="F192" s="27">
        <f t="shared" si="29"/>
        <v>2.9333333333333336</v>
      </c>
      <c r="G192" s="27">
        <f t="shared" si="29"/>
        <v>3.5999999999999996</v>
      </c>
      <c r="H192" s="27">
        <f t="shared" si="29"/>
        <v>1.1333333333333333</v>
      </c>
      <c r="I192" s="27">
        <f t="shared" si="29"/>
        <v>0.10000000000000002</v>
      </c>
      <c r="M192" s="13" t="str">
        <f t="shared" ref="M192:N192" si="30">M97</f>
        <v>VIT index</v>
      </c>
      <c r="N192" s="13" t="str">
        <f t="shared" si="30"/>
        <v>-</v>
      </c>
      <c r="O192" s="13">
        <f>AVERAGE(O98:O109)</f>
        <v>1.8833333333333331</v>
      </c>
      <c r="P192" s="13">
        <f t="shared" ref="P192:S192" si="31">AVERAGE(P98:P109)</f>
        <v>2.0333333333333337</v>
      </c>
      <c r="Q192" s="13">
        <f t="shared" si="31"/>
        <v>3.3166666666666664</v>
      </c>
      <c r="R192" s="13">
        <f t="shared" si="31"/>
        <v>2.6166666666666667</v>
      </c>
      <c r="S192" s="13">
        <f t="shared" si="31"/>
        <v>2.9333333333333336</v>
      </c>
      <c r="X192" s="13" t="str">
        <f t="shared" ref="X192:Y192" si="32">X97</f>
        <v>VIT index</v>
      </c>
      <c r="Y192" s="13" t="str">
        <f t="shared" si="32"/>
        <v>-</v>
      </c>
      <c r="Z192" s="97">
        <f t="shared" ref="Z192:AD192" si="33">AVERAGE(Z98:Z109)</f>
        <v>3.4166666666666665</v>
      </c>
      <c r="AA192" s="97">
        <f t="shared" si="33"/>
        <v>3.1666666666666665</v>
      </c>
      <c r="AB192" s="97">
        <f t="shared" si="33"/>
        <v>3.2166666666666663</v>
      </c>
      <c r="AC192" s="97">
        <f t="shared" si="33"/>
        <v>2.4</v>
      </c>
      <c r="AD192" s="97">
        <f t="shared" si="33"/>
        <v>3.1999999999999997</v>
      </c>
      <c r="AE192" s="97">
        <f t="shared" ref="AE192:AI192" si="34">AVERAGE(AE98:AE109)</f>
        <v>3.2666666666666662</v>
      </c>
      <c r="AF192" s="97">
        <f t="shared" si="34"/>
        <v>3.3666666666666667</v>
      </c>
      <c r="AG192" s="97">
        <f t="shared" si="34"/>
        <v>3.2333333333333329</v>
      </c>
      <c r="AH192" s="97">
        <f t="shared" si="34"/>
        <v>2.5333333333333332</v>
      </c>
      <c r="AI192" s="97">
        <f t="shared" si="34"/>
        <v>5.8000000000000007</v>
      </c>
      <c r="AJ192" s="97">
        <f t="shared" ref="AJ192:AK192" si="35">AVERAGE(AJ98:AJ109)</f>
        <v>6.1833333333333327</v>
      </c>
      <c r="AK192" s="97">
        <f t="shared" si="35"/>
        <v>6.0500000000000007</v>
      </c>
      <c r="AL192" s="97"/>
    </row>
    <row r="193" spans="2:38" s="11" customFormat="1">
      <c r="B193" s="13" t="s">
        <v>45</v>
      </c>
      <c r="C193" s="60" t="str">
        <f>C163</f>
        <v>mmW</v>
      </c>
      <c r="D193" s="11">
        <f t="shared" ref="D193:H193" si="36">AVERAGE(D164:D167)</f>
        <v>3.5</v>
      </c>
      <c r="E193" s="11">
        <f t="shared" si="36"/>
        <v>12</v>
      </c>
      <c r="F193" s="11">
        <f t="shared" si="36"/>
        <v>22.5</v>
      </c>
      <c r="G193" s="11">
        <f t="shared" si="36"/>
        <v>28</v>
      </c>
      <c r="H193" s="11">
        <f t="shared" si="36"/>
        <v>33</v>
      </c>
      <c r="I193" s="11">
        <f>AVERAGE(I164:I167)</f>
        <v>37</v>
      </c>
      <c r="M193" s="13" t="str">
        <f t="shared" si="7"/>
        <v>Air Filter Pressure Drop</v>
      </c>
      <c r="N193" s="6" t="s">
        <v>46</v>
      </c>
      <c r="O193" s="11">
        <f t="shared" ref="O193:S193" si="37">AVERAGE(O164:O167)</f>
        <v>19.5</v>
      </c>
      <c r="P193" s="11">
        <f t="shared" si="37"/>
        <v>20</v>
      </c>
      <c r="Q193" s="11">
        <f t="shared" si="37"/>
        <v>40</v>
      </c>
      <c r="R193" s="11">
        <f t="shared" si="37"/>
        <v>42.5</v>
      </c>
      <c r="S193" s="11">
        <f t="shared" si="37"/>
        <v>40</v>
      </c>
      <c r="X193" s="13" t="str">
        <f t="shared" si="8"/>
        <v>Air Filter Pressure Drop</v>
      </c>
      <c r="Y193" s="9" t="str">
        <f t="shared" si="13"/>
        <v>mmW</v>
      </c>
      <c r="Z193" s="97">
        <f t="shared" ref="Z193:AD193" si="38">AVERAGE(Z164:Z167)</f>
        <v>50</v>
      </c>
      <c r="AA193" s="97">
        <f t="shared" si="38"/>
        <v>25.5</v>
      </c>
      <c r="AB193" s="97">
        <f t="shared" si="38"/>
        <v>27</v>
      </c>
      <c r="AC193" s="97">
        <f t="shared" si="38"/>
        <v>40</v>
      </c>
      <c r="AD193" s="97">
        <f t="shared" si="38"/>
        <v>40</v>
      </c>
      <c r="AE193" s="97">
        <f t="shared" ref="AE193:AI193" si="39">AVERAGE(AE164:AE167)</f>
        <v>45</v>
      </c>
      <c r="AF193" s="97">
        <f t="shared" si="39"/>
        <v>28.5</v>
      </c>
      <c r="AG193" s="97">
        <f t="shared" si="39"/>
        <v>37.5</v>
      </c>
      <c r="AH193" s="97">
        <f t="shared" si="39"/>
        <v>25</v>
      </c>
      <c r="AI193" s="97">
        <f t="shared" si="39"/>
        <v>7.5</v>
      </c>
      <c r="AJ193" s="97">
        <f t="shared" ref="AJ193:AK193" si="40">AVERAGE(AJ164:AJ167)</f>
        <v>35</v>
      </c>
      <c r="AK193" s="97">
        <f t="shared" si="40"/>
        <v>35</v>
      </c>
      <c r="AL193" s="97"/>
    </row>
    <row r="194" spans="2:38" s="11" customFormat="1">
      <c r="B194" s="13" t="s">
        <v>45</v>
      </c>
      <c r="C194" s="6" t="s">
        <v>20</v>
      </c>
      <c r="D194" s="11">
        <f t="shared" ref="D194:I194" si="41">IF($C$193="mmW",D193*$J$6,IF($C$193="mbar",D193*0.001,IF($C$193="mmHg",D193*$J$5," ")))</f>
        <v>3.4323274999999999E-4</v>
      </c>
      <c r="E194" s="11">
        <f t="shared" si="41"/>
        <v>1.1767979999999999E-3</v>
      </c>
      <c r="F194" s="11">
        <f t="shared" si="41"/>
        <v>2.2064962499999999E-3</v>
      </c>
      <c r="G194" s="11">
        <f t="shared" si="41"/>
        <v>2.745862E-3</v>
      </c>
      <c r="H194" s="11">
        <f t="shared" si="41"/>
        <v>3.2361945000000001E-3</v>
      </c>
      <c r="I194" s="11">
        <f t="shared" si="41"/>
        <v>3.6284605000000002E-3</v>
      </c>
      <c r="M194" s="13" t="str">
        <f t="shared" si="7"/>
        <v>Air Filter Pressure Drop</v>
      </c>
      <c r="N194" s="6" t="s">
        <v>20</v>
      </c>
      <c r="O194" s="11">
        <f>IF($N$193="mmW",O193*$J$6,IF($N$193="mbar",O193*0.001,IF($N$193="mmHg",O193*$J$5," ")))</f>
        <v>1.91229675E-3</v>
      </c>
      <c r="P194" s="11">
        <f>IF($N$193="mmW",P193*$J$6,IF($N$193="mbar",P193*0.001,IF($N$193="mmHg",P193*$J$5," ")))</f>
        <v>1.9613299999999998E-3</v>
      </c>
      <c r="Q194" s="11">
        <f>IF($N$193="mmW",Q193*$J$6,IF($N$193="mbar",Q193*0.001,IF($N$193="mmHg",Q193*$J$5," ")))</f>
        <v>3.9226599999999997E-3</v>
      </c>
      <c r="R194" s="11">
        <f>IF($N$193="mmW",R193*$J$6,IF($N$193="mbar",R193*0.001,IF($N$193="mmHg",R193*$J$5," ")))</f>
        <v>4.1678262500000002E-3</v>
      </c>
      <c r="S194" s="11">
        <f>IF($N$193="mmW",S193*$J$6,IF($N$193="mbar",S193*0.001,IF($N$193="mmHg",S193*$J$5," ")))</f>
        <v>3.9226599999999997E-3</v>
      </c>
      <c r="X194" s="13" t="str">
        <f t="shared" si="8"/>
        <v>Air Filter Pressure Drop</v>
      </c>
      <c r="Y194" s="9" t="str">
        <f t="shared" si="13"/>
        <v>bar</v>
      </c>
      <c r="Z194" s="97">
        <f t="shared" ref="Z194:AK194" si="42">IF($Y$193="mmW",Z193*$J$6,IF($Y$193="mbar",Z193*0.001,IF($Y$193="mmHg",Z193*$J$5," ")))</f>
        <v>4.903325E-3</v>
      </c>
      <c r="AA194" s="97">
        <f t="shared" si="42"/>
        <v>2.5006957499999999E-3</v>
      </c>
      <c r="AB194" s="97">
        <f t="shared" si="42"/>
        <v>2.6477954999999998E-3</v>
      </c>
      <c r="AC194" s="97">
        <f t="shared" si="42"/>
        <v>3.9226599999999997E-3</v>
      </c>
      <c r="AD194" s="97">
        <f t="shared" si="42"/>
        <v>3.9226599999999997E-3</v>
      </c>
      <c r="AE194" s="97">
        <f t="shared" si="42"/>
        <v>4.4129924999999999E-3</v>
      </c>
      <c r="AF194" s="97">
        <f t="shared" si="42"/>
        <v>2.7948952499999998E-3</v>
      </c>
      <c r="AG194" s="97">
        <f t="shared" si="42"/>
        <v>3.67749375E-3</v>
      </c>
      <c r="AH194" s="97">
        <f t="shared" si="42"/>
        <v>2.4516625E-3</v>
      </c>
      <c r="AI194" s="97">
        <f t="shared" si="42"/>
        <v>7.3549875000000005E-4</v>
      </c>
      <c r="AJ194" s="97">
        <f t="shared" si="42"/>
        <v>3.4323274999999999E-3</v>
      </c>
      <c r="AK194" s="97">
        <f t="shared" si="42"/>
        <v>3.4323274999999999E-3</v>
      </c>
      <c r="AL194" s="97"/>
    </row>
    <row r="195" spans="2:38" s="11" customFormat="1">
      <c r="B195" s="11" t="s">
        <v>44</v>
      </c>
      <c r="C195" s="6" t="s">
        <v>26</v>
      </c>
      <c r="D195" s="11">
        <f t="shared" ref="D195:H195" si="43">AVERAGE(D159:D162)</f>
        <v>13.5</v>
      </c>
      <c r="E195" s="11">
        <f t="shared" si="43"/>
        <v>15.5</v>
      </c>
      <c r="F195" s="11">
        <f t="shared" si="43"/>
        <v>15.5</v>
      </c>
      <c r="G195" s="11">
        <f t="shared" si="43"/>
        <v>16</v>
      </c>
      <c r="H195" s="11">
        <f t="shared" si="43"/>
        <v>17.5</v>
      </c>
      <c r="I195" s="11">
        <f>AVERAGE(I159:I162)</f>
        <v>18</v>
      </c>
      <c r="M195" s="11" t="str">
        <f t="shared" si="7"/>
        <v>Blower Inlet Temperature</v>
      </c>
      <c r="N195" s="6" t="s">
        <v>26</v>
      </c>
      <c r="O195" s="11">
        <f t="shared" ref="O195:S195" si="44">AVERAGE(O159:O162)</f>
        <v>37.5</v>
      </c>
      <c r="P195" s="11">
        <f t="shared" si="44"/>
        <v>36.5</v>
      </c>
      <c r="Q195" s="11">
        <f t="shared" si="44"/>
        <v>36.75</v>
      </c>
      <c r="R195" s="11">
        <f t="shared" si="44"/>
        <v>37</v>
      </c>
      <c r="S195" s="11">
        <f t="shared" si="44"/>
        <v>37</v>
      </c>
      <c r="X195" s="11" t="str">
        <f t="shared" si="8"/>
        <v>Blower Inlet Temperature</v>
      </c>
      <c r="Y195" s="9" t="str">
        <f t="shared" si="13"/>
        <v>°C</v>
      </c>
      <c r="Z195" s="97">
        <f t="shared" ref="Z195:AD195" si="45">AVERAGE(Z159:Z162)</f>
        <v>31</v>
      </c>
      <c r="AA195" s="97">
        <f t="shared" si="45"/>
        <v>24</v>
      </c>
      <c r="AB195" s="97">
        <f t="shared" si="45"/>
        <v>31</v>
      </c>
      <c r="AC195" s="97">
        <f t="shared" si="45"/>
        <v>26</v>
      </c>
      <c r="AD195" s="97">
        <f t="shared" si="45"/>
        <v>41</v>
      </c>
      <c r="AE195" s="97">
        <f t="shared" ref="AE195:AI195" si="46">AVERAGE(AE159:AE162)</f>
        <v>34</v>
      </c>
      <c r="AF195" s="97">
        <f t="shared" si="46"/>
        <v>37</v>
      </c>
      <c r="AG195" s="97">
        <f t="shared" si="46"/>
        <v>41</v>
      </c>
      <c r="AH195" s="97">
        <f t="shared" si="46"/>
        <v>37</v>
      </c>
      <c r="AI195" s="97">
        <f t="shared" si="46"/>
        <v>38</v>
      </c>
      <c r="AJ195" s="97">
        <f t="shared" ref="AJ195:AK195" si="47">AVERAGE(AJ159:AJ162)</f>
        <v>35</v>
      </c>
      <c r="AK195" s="97">
        <f t="shared" si="47"/>
        <v>32</v>
      </c>
      <c r="AL195" s="97"/>
    </row>
    <row r="196" spans="2:38" s="11" customFormat="1">
      <c r="B196" s="14" t="s">
        <v>158</v>
      </c>
      <c r="C196" s="6" t="s">
        <v>26</v>
      </c>
      <c r="D196" s="11">
        <f t="shared" ref="D196:H196" si="48">AVERAGE(D169:D172)</f>
        <v>253.5</v>
      </c>
      <c r="E196" s="11">
        <f t="shared" si="48"/>
        <v>309.5</v>
      </c>
      <c r="F196" s="11">
        <f t="shared" si="48"/>
        <v>330</v>
      </c>
      <c r="G196" s="11">
        <f t="shared" si="48"/>
        <v>350.5</v>
      </c>
      <c r="H196" s="11">
        <f t="shared" si="48"/>
        <v>369.5</v>
      </c>
      <c r="I196" s="11">
        <f>AVERAGE(I169:I172)</f>
        <v>397</v>
      </c>
      <c r="M196" s="14" t="str">
        <f t="shared" si="7"/>
        <v>Turbine inlet Temperature</v>
      </c>
      <c r="N196" s="6" t="s">
        <v>26</v>
      </c>
      <c r="O196" s="11">
        <f t="shared" ref="O196:S196" si="49">AVERAGE(O169:O172)</f>
        <v>350</v>
      </c>
      <c r="P196" s="11">
        <f t="shared" si="49"/>
        <v>360</v>
      </c>
      <c r="Q196" s="11">
        <f t="shared" si="49"/>
        <v>392</v>
      </c>
      <c r="R196" s="11">
        <f t="shared" si="49"/>
        <v>395</v>
      </c>
      <c r="S196" s="11">
        <f t="shared" si="49"/>
        <v>396.5</v>
      </c>
      <c r="X196" s="14" t="str">
        <f t="shared" si="8"/>
        <v>Turbine inlet Temperature</v>
      </c>
      <c r="Y196" s="9" t="str">
        <f t="shared" si="13"/>
        <v>°C</v>
      </c>
      <c r="Z196" s="97">
        <f t="shared" ref="Z196:AD196" si="50">AVERAGE(Z169:Z172)</f>
        <v>370</v>
      </c>
      <c r="AA196" s="97">
        <f t="shared" si="50"/>
        <v>357.5</v>
      </c>
      <c r="AB196" s="97">
        <f t="shared" si="50"/>
        <v>367.5</v>
      </c>
      <c r="AC196" s="97">
        <f t="shared" si="50"/>
        <v>365</v>
      </c>
      <c r="AD196" s="97">
        <f t="shared" si="50"/>
        <v>390</v>
      </c>
      <c r="AE196" s="97">
        <f t="shared" ref="AE196:AI196" si="51">AVERAGE(AE169:AE172)</f>
        <v>372.5</v>
      </c>
      <c r="AF196" s="97">
        <f t="shared" si="51"/>
        <v>375</v>
      </c>
      <c r="AG196" s="97">
        <f t="shared" si="51"/>
        <v>387.5</v>
      </c>
      <c r="AH196" s="97">
        <f t="shared" si="51"/>
        <v>391</v>
      </c>
      <c r="AI196" s="97">
        <f t="shared" si="51"/>
        <v>385</v>
      </c>
      <c r="AJ196" s="97">
        <f t="shared" ref="AJ196:AK196" si="52">AVERAGE(AJ169:AJ172)</f>
        <v>376.5</v>
      </c>
      <c r="AK196" s="97">
        <f t="shared" si="52"/>
        <v>375</v>
      </c>
      <c r="AL196" s="97"/>
    </row>
    <row r="197" spans="2:38" s="11" customFormat="1">
      <c r="B197" s="14" t="s">
        <v>93</v>
      </c>
      <c r="C197" s="6" t="s">
        <v>26</v>
      </c>
      <c r="D197" s="11">
        <f t="shared" ref="D197:H197" si="53">AVERAGE(D174:D177)</f>
        <v>217.5</v>
      </c>
      <c r="E197" s="11">
        <f t="shared" si="53"/>
        <v>217</v>
      </c>
      <c r="F197" s="11">
        <f t="shared" si="53"/>
        <v>198</v>
      </c>
      <c r="G197" s="11">
        <f t="shared" si="53"/>
        <v>198.5</v>
      </c>
      <c r="H197" s="11">
        <f t="shared" si="53"/>
        <v>205</v>
      </c>
      <c r="I197" s="11">
        <f>AVERAGE(I174:I177)</f>
        <v>222</v>
      </c>
      <c r="M197" s="14" t="str">
        <f t="shared" si="7"/>
        <v>Turbine outlet Temperature</v>
      </c>
      <c r="N197" s="6" t="s">
        <v>26</v>
      </c>
      <c r="O197" s="11">
        <f t="shared" ref="O197:S197" si="54">AVERAGE(O174:O177)</f>
        <v>255</v>
      </c>
      <c r="P197" s="11">
        <f t="shared" si="54"/>
        <v>250</v>
      </c>
      <c r="Q197" s="11">
        <f t="shared" si="54"/>
        <v>230</v>
      </c>
      <c r="R197" s="11">
        <f t="shared" si="54"/>
        <v>232.5</v>
      </c>
      <c r="S197" s="11">
        <f t="shared" si="54"/>
        <v>232.5</v>
      </c>
      <c r="X197" s="14" t="str">
        <f t="shared" si="8"/>
        <v>Turbine outlet Temperature</v>
      </c>
      <c r="Y197" s="9" t="str">
        <f t="shared" si="13"/>
        <v>°C</v>
      </c>
      <c r="Z197" s="97">
        <f t="shared" ref="Z197:AD197" si="55">AVERAGE(Z174:Z177)</f>
        <v>230</v>
      </c>
      <c r="AA197" s="97">
        <f t="shared" si="55"/>
        <v>220</v>
      </c>
      <c r="AB197" s="97">
        <f t="shared" si="55"/>
        <v>225</v>
      </c>
      <c r="AC197" s="97">
        <f t="shared" si="55"/>
        <v>220</v>
      </c>
      <c r="AD197" s="97">
        <f t="shared" si="55"/>
        <v>245</v>
      </c>
      <c r="AE197" s="97">
        <f t="shared" ref="AE197:AI197" si="56">AVERAGE(AE174:AE177)</f>
        <v>235</v>
      </c>
      <c r="AF197" s="97">
        <f t="shared" si="56"/>
        <v>235</v>
      </c>
      <c r="AG197" s="97">
        <f t="shared" si="56"/>
        <v>245</v>
      </c>
      <c r="AH197" s="97">
        <f t="shared" si="56"/>
        <v>240</v>
      </c>
      <c r="AI197" s="97">
        <f t="shared" si="56"/>
        <v>235</v>
      </c>
      <c r="AJ197" s="97">
        <f t="shared" ref="AJ197:AK197" si="57">AVERAGE(AJ174:AJ177)</f>
        <v>230</v>
      </c>
      <c r="AK197" s="97">
        <f t="shared" si="57"/>
        <v>245</v>
      </c>
      <c r="AL197" s="97"/>
    </row>
    <row r="198" spans="2:38" s="11" customFormat="1">
      <c r="B198" s="15" t="s">
        <v>95</v>
      </c>
      <c r="C198" s="60" t="str">
        <f>C178</f>
        <v>mmW</v>
      </c>
      <c r="D198" s="11">
        <f t="shared" ref="D198:H198" si="58">AVERAGE(D179:D182)</f>
        <v>20</v>
      </c>
      <c r="E198" s="11">
        <f t="shared" si="58"/>
        <v>50</v>
      </c>
      <c r="F198" s="11">
        <f t="shared" si="58"/>
        <v>110</v>
      </c>
      <c r="G198" s="11">
        <f t="shared" si="58"/>
        <v>160</v>
      </c>
      <c r="H198" s="11">
        <f t="shared" si="58"/>
        <v>190</v>
      </c>
      <c r="I198" s="11">
        <f>AVERAGE(I179:I182)</f>
        <v>215</v>
      </c>
      <c r="M198" s="15" t="str">
        <f t="shared" si="7"/>
        <v xml:space="preserve">Exhaust Backpressure </v>
      </c>
      <c r="N198" s="6" t="s">
        <v>46</v>
      </c>
      <c r="O198" s="11">
        <f t="shared" ref="O198:S198" si="59">AVERAGE(O179:O182)</f>
        <v>65</v>
      </c>
      <c r="P198" s="11">
        <f t="shared" si="59"/>
        <v>70</v>
      </c>
      <c r="Q198" s="11">
        <f t="shared" si="59"/>
        <v>180</v>
      </c>
      <c r="R198" s="11">
        <f t="shared" si="59"/>
        <v>192.5</v>
      </c>
      <c r="S198" s="11">
        <f t="shared" si="59"/>
        <v>190</v>
      </c>
      <c r="X198" s="15" t="str">
        <f t="shared" si="8"/>
        <v xml:space="preserve">Exhaust Backpressure </v>
      </c>
      <c r="Y198" s="9" t="str">
        <f t="shared" si="13"/>
        <v>mmW</v>
      </c>
      <c r="Z198" s="97">
        <f t="shared" ref="Z198:AD198" si="60">AVERAGE(Z179:Z182)</f>
        <v>0</v>
      </c>
      <c r="AA198" s="97">
        <f t="shared" si="60"/>
        <v>0</v>
      </c>
      <c r="AB198" s="97">
        <f t="shared" si="60"/>
        <v>0</v>
      </c>
      <c r="AC198" s="97">
        <f t="shared" si="60"/>
        <v>0</v>
      </c>
      <c r="AD198" s="97">
        <f t="shared" si="60"/>
        <v>0</v>
      </c>
      <c r="AE198" s="97">
        <f t="shared" ref="AE198:AI198" si="61">AVERAGE(AE179:AE182)</f>
        <v>0</v>
      </c>
      <c r="AF198" s="97">
        <f t="shared" si="61"/>
        <v>0</v>
      </c>
      <c r="AG198" s="97">
        <f t="shared" si="61"/>
        <v>0</v>
      </c>
      <c r="AH198" s="97">
        <f t="shared" si="61"/>
        <v>0</v>
      </c>
      <c r="AI198" s="97">
        <f t="shared" si="61"/>
        <v>0</v>
      </c>
      <c r="AJ198" s="97">
        <f t="shared" ref="AJ198:AK198" si="62">AVERAGE(AJ179:AJ182)</f>
        <v>0</v>
      </c>
      <c r="AK198" s="97">
        <f t="shared" si="62"/>
        <v>0</v>
      </c>
      <c r="AL198" s="97"/>
    </row>
    <row r="199" spans="2:38" s="11" customFormat="1">
      <c r="B199" s="15" t="s">
        <v>95</v>
      </c>
      <c r="C199" s="6" t="s">
        <v>20</v>
      </c>
      <c r="D199" s="11">
        <f t="shared" ref="D199:I199" si="63">IF($C$198="mmW",D198*$J$6,IF($C$198="mbar",D198*0.001,D198*$J$5))</f>
        <v>1.9613299999999998E-3</v>
      </c>
      <c r="E199" s="11">
        <f t="shared" si="63"/>
        <v>4.903325E-3</v>
      </c>
      <c r="F199" s="11">
        <f t="shared" si="63"/>
        <v>1.0787315E-2</v>
      </c>
      <c r="G199" s="11">
        <f t="shared" si="63"/>
        <v>1.5690639999999999E-2</v>
      </c>
      <c r="H199" s="11">
        <f t="shared" si="63"/>
        <v>1.8632635000000002E-2</v>
      </c>
      <c r="I199" s="11">
        <f t="shared" si="63"/>
        <v>2.1084297500000002E-2</v>
      </c>
      <c r="M199" s="15" t="str">
        <f t="shared" si="7"/>
        <v xml:space="preserve">Exhaust Backpressure </v>
      </c>
      <c r="N199" s="6" t="s">
        <v>20</v>
      </c>
      <c r="O199" s="11">
        <f>IF($N$198="mmW",O198*$J$6,IF($N$198="mbar",O198*0.001,O198*$J$5))</f>
        <v>6.3743224999999997E-3</v>
      </c>
      <c r="P199" s="11">
        <f>IF($N$198="mmW",P198*$J$6,IF($N$198="mbar",P198*0.001,P198*$J$5))</f>
        <v>6.8646549999999999E-3</v>
      </c>
      <c r="Q199" s="11">
        <f>IF($N$198="mmW",Q198*$J$6,IF($N$198="mbar",Q198*0.001,Q198*$J$5))</f>
        <v>1.7651969999999999E-2</v>
      </c>
      <c r="R199" s="11">
        <f>IF($N$198="mmW",R198*$J$6,IF($N$198="mbar",R198*0.001,R198*$J$5))</f>
        <v>1.8877801249999999E-2</v>
      </c>
      <c r="S199" s="11">
        <f>IF($N$198="mmW",S198*$J$6,IF($N$198="mbar",S198*0.001,S198*$J$5))</f>
        <v>1.8632635000000002E-2</v>
      </c>
      <c r="X199" s="15" t="str">
        <f t="shared" si="8"/>
        <v xml:space="preserve">Exhaust Backpressure </v>
      </c>
      <c r="Y199" s="9" t="str">
        <f t="shared" si="13"/>
        <v>bar</v>
      </c>
      <c r="Z199" s="97">
        <f t="shared" ref="Z199:AK199" si="64">IF($Y$198="mmW",Z198*$J$6,IF($Y$198="mbar",Z198*0.001,Z198*$J$5))</f>
        <v>0</v>
      </c>
      <c r="AA199" s="97">
        <f t="shared" si="64"/>
        <v>0</v>
      </c>
      <c r="AB199" s="97">
        <f t="shared" si="64"/>
        <v>0</v>
      </c>
      <c r="AC199" s="97">
        <f t="shared" si="64"/>
        <v>0</v>
      </c>
      <c r="AD199" s="97">
        <f t="shared" si="64"/>
        <v>0</v>
      </c>
      <c r="AE199" s="97">
        <f t="shared" si="64"/>
        <v>0</v>
      </c>
      <c r="AF199" s="97">
        <f t="shared" si="64"/>
        <v>0</v>
      </c>
      <c r="AG199" s="97">
        <f t="shared" si="64"/>
        <v>0</v>
      </c>
      <c r="AH199" s="97">
        <f t="shared" si="64"/>
        <v>0</v>
      </c>
      <c r="AI199" s="97">
        <f t="shared" si="64"/>
        <v>0</v>
      </c>
      <c r="AJ199" s="97">
        <f t="shared" si="64"/>
        <v>0</v>
      </c>
      <c r="AK199" s="97">
        <f t="shared" si="64"/>
        <v>0</v>
      </c>
      <c r="AL199" s="97"/>
    </row>
    <row r="200" spans="2:38" s="11" customFormat="1">
      <c r="B200" s="15" t="s">
        <v>94</v>
      </c>
      <c r="C200" s="6" t="s">
        <v>20</v>
      </c>
      <c r="D200" s="11">
        <f t="shared" ref="D200:I200" si="65">IF($C$143="bar",D143,IF($C$143="kg/cm2",D143*$J$4,D143*$J$7))</f>
        <v>0.39</v>
      </c>
      <c r="E200" s="11">
        <f t="shared" si="65"/>
        <v>1.1000000000000001</v>
      </c>
      <c r="F200" s="11">
        <f t="shared" si="65"/>
        <v>1.93</v>
      </c>
      <c r="G200" s="11">
        <f t="shared" si="65"/>
        <v>2.37</v>
      </c>
      <c r="H200" s="11">
        <f t="shared" si="65"/>
        <v>2.74</v>
      </c>
      <c r="I200" s="11">
        <f t="shared" si="65"/>
        <v>3.01</v>
      </c>
      <c r="M200" s="15" t="str">
        <f t="shared" si="7"/>
        <v>Scavenge pressure (gauge)</v>
      </c>
      <c r="N200" s="6" t="s">
        <v>20</v>
      </c>
      <c r="O200" s="11">
        <f>IF($N$143="bar",O143,IF($N$143="kg/cm2",O143*$J$4,O143*$J$7))</f>
        <v>1.1277647499999999</v>
      </c>
      <c r="P200" s="11">
        <f>IF($N$143="bar",P143,IF($N$143="kg/cm2",P143*$J$4,P143*$J$7))</f>
        <v>1.2258312499999999</v>
      </c>
      <c r="Q200" s="11">
        <f>IF($N$143="bar",Q143,IF($N$143="kg/cm2",Q143*$J$4,Q143*$J$7))</f>
        <v>2.4026292500000004</v>
      </c>
      <c r="R200" s="11">
        <f>IF($N$143="bar",R143,IF($N$143="kg/cm2",R143*$J$4,R143*$J$7))</f>
        <v>2.5006957499999998</v>
      </c>
      <c r="S200" s="11">
        <f>IF($N$143="bar",S143,IF($N$143="kg/cm2",S143*$J$4,S143*$J$7))</f>
        <v>2.4516624999999999</v>
      </c>
      <c r="X200" s="15" t="str">
        <f t="shared" si="8"/>
        <v>Scavenge pressure (gauge)</v>
      </c>
      <c r="Y200" s="9" t="str">
        <f t="shared" si="13"/>
        <v>bar</v>
      </c>
      <c r="Z200" s="97">
        <f t="shared" ref="Z200:AK200" si="66">IF($Y$143="bar",Z143,IF($Y$143="kg/cm2",Z143*$J$4,Z143*$J$7))</f>
        <v>2.2999999999999998</v>
      </c>
      <c r="AA200" s="97">
        <f t="shared" si="66"/>
        <v>2.4</v>
      </c>
      <c r="AB200" s="97">
        <f t="shared" si="66"/>
        <v>2.5</v>
      </c>
      <c r="AC200" s="97">
        <f t="shared" si="66"/>
        <v>2.5</v>
      </c>
      <c r="AD200" s="97">
        <f t="shared" si="66"/>
        <v>2.2999999999999998</v>
      </c>
      <c r="AE200" s="97">
        <f t="shared" si="66"/>
        <v>2.5</v>
      </c>
      <c r="AF200" s="97">
        <f t="shared" si="66"/>
        <v>2.2000000000000002</v>
      </c>
      <c r="AG200" s="97">
        <f t="shared" si="66"/>
        <v>2.5</v>
      </c>
      <c r="AH200" s="97">
        <f t="shared" si="66"/>
        <v>2.7</v>
      </c>
      <c r="AI200" s="97">
        <f t="shared" si="66"/>
        <v>2.6</v>
      </c>
      <c r="AJ200" s="97">
        <f t="shared" si="66"/>
        <v>2.2000000000000002</v>
      </c>
      <c r="AK200" s="97">
        <f t="shared" si="66"/>
        <v>2.1</v>
      </c>
      <c r="AL200" s="97"/>
    </row>
    <row r="201" spans="2:38" s="11" customFormat="1">
      <c r="B201" s="15" t="s">
        <v>96</v>
      </c>
      <c r="C201" s="6" t="s">
        <v>20</v>
      </c>
      <c r="D201" s="11">
        <f t="shared" ref="D201:I201" si="67">IF($C$145="bar",D145,IF($C$145="kg/cm2",D145*$J$4,D145*$J$7))</f>
        <v>0.31</v>
      </c>
      <c r="E201" s="11">
        <f t="shared" si="67"/>
        <v>0.94</v>
      </c>
      <c r="F201" s="11">
        <f t="shared" si="67"/>
        <v>1.73</v>
      </c>
      <c r="G201" s="11">
        <f t="shared" si="67"/>
        <v>2.16</v>
      </c>
      <c r="H201" s="11">
        <f t="shared" si="67"/>
        <v>2.48</v>
      </c>
      <c r="I201" s="11">
        <f t="shared" si="67"/>
        <v>2.79</v>
      </c>
      <c r="M201" s="15" t="str">
        <f t="shared" si="7"/>
        <v>Exhaust rec. Pressure (gauge)</v>
      </c>
      <c r="N201" s="6" t="s">
        <v>20</v>
      </c>
      <c r="O201" s="11">
        <f>IF($N$145="bar",O145,IF($N$145="kg/cm2",O145*$J$4,O145*$J$7))</f>
        <v>0</v>
      </c>
      <c r="P201" s="11">
        <f>IF($N$145="bar",P145,IF($N$145="kg/cm2",P145*$J$4,P145*$J$7))</f>
        <v>0</v>
      </c>
      <c r="Q201" s="11">
        <f>IF($N$145="bar",Q145,IF($N$145="kg/cm2",Q145*$J$4,Q145*$J$7))</f>
        <v>0</v>
      </c>
      <c r="R201" s="11">
        <f>IF($N$145="bar",R145,IF($N$145="kg/cm2",R145*$J$4,R145*$J$7))</f>
        <v>0</v>
      </c>
      <c r="S201" s="11">
        <f>IF($N$145="bar",S145,IF($N$145="kg/cm2",S145*$J$4,S145*$J$7))</f>
        <v>0</v>
      </c>
      <c r="X201" s="15" t="str">
        <f t="shared" si="8"/>
        <v>Exhaust rec. Pressure (gauge)</v>
      </c>
      <c r="Y201" s="9" t="str">
        <f t="shared" si="13"/>
        <v>bar</v>
      </c>
      <c r="Z201" s="97">
        <f t="shared" ref="Z201:AK201" si="68">IF($Y$145="bar",Z145,IF($Y$145="kg/cm2",Z145*$J$4,Z145*$J$7))</f>
        <v>2.2000000000000002</v>
      </c>
      <c r="AA201" s="97">
        <f t="shared" si="68"/>
        <v>2.5</v>
      </c>
      <c r="AB201" s="97">
        <f t="shared" si="68"/>
        <v>2.5</v>
      </c>
      <c r="AC201" s="97">
        <f t="shared" si="68"/>
        <v>2.1</v>
      </c>
      <c r="AD201" s="97">
        <f t="shared" si="68"/>
        <v>2.2000000000000002</v>
      </c>
      <c r="AE201" s="97">
        <f t="shared" si="68"/>
        <v>0</v>
      </c>
      <c r="AF201" s="97">
        <f t="shared" si="68"/>
        <v>2</v>
      </c>
      <c r="AG201" s="97">
        <f t="shared" si="68"/>
        <v>0</v>
      </c>
      <c r="AH201" s="97">
        <f t="shared" si="68"/>
        <v>0</v>
      </c>
      <c r="AI201" s="97">
        <f t="shared" si="68"/>
        <v>2.2999999999999998</v>
      </c>
      <c r="AJ201" s="97">
        <f t="shared" si="68"/>
        <v>1.8</v>
      </c>
      <c r="AK201" s="97">
        <f t="shared" si="68"/>
        <v>1.6</v>
      </c>
      <c r="AL201" s="97"/>
    </row>
    <row r="202" spans="2:38" s="11" customFormat="1">
      <c r="B202" s="15" t="s">
        <v>97</v>
      </c>
      <c r="C202" s="6" t="s">
        <v>98</v>
      </c>
      <c r="D202" s="9">
        <f t="shared" ref="D202:I202" si="69">IF($C$42="kJ/kg",D42,$J$9*D42)</f>
        <v>42089.900399999999</v>
      </c>
      <c r="E202" s="9">
        <f t="shared" si="69"/>
        <v>42089.900399999999</v>
      </c>
      <c r="F202" s="9">
        <f t="shared" si="69"/>
        <v>42089.900399999999</v>
      </c>
      <c r="G202" s="9">
        <f t="shared" si="69"/>
        <v>42089.900399999999</v>
      </c>
      <c r="H202" s="9">
        <f t="shared" si="69"/>
        <v>42089.900399999999</v>
      </c>
      <c r="I202" s="9">
        <f t="shared" si="69"/>
        <v>42089.900399999999</v>
      </c>
      <c r="M202" s="15" t="str">
        <f t="shared" si="7"/>
        <v>Heating Value</v>
      </c>
      <c r="N202" s="6" t="s">
        <v>98</v>
      </c>
      <c r="O202" s="9">
        <f>IF($N$42="kJ/kg",O42,$J$9*O42)</f>
        <v>40092.796799999996</v>
      </c>
      <c r="P202" s="9">
        <f>IF($N$42="kJ/kg",P42,$J$9*P42)</f>
        <v>40092.796799999996</v>
      </c>
      <c r="Q202" s="9">
        <f>IF($N$42="kJ/kg",Q42,$J$9*Q42)</f>
        <v>40092.796799999996</v>
      </c>
      <c r="R202" s="9">
        <f>IF($N$42="kJ/kg",R42,$J$9*R42)</f>
        <v>40092.796799999996</v>
      </c>
      <c r="S202" s="9">
        <f>IF($N$42="kJ/kg",S42,$J$9*S42)</f>
        <v>40092.796799999996</v>
      </c>
      <c r="X202" s="15" t="str">
        <f t="shared" si="8"/>
        <v>Heating Value</v>
      </c>
      <c r="Y202" s="9" t="str">
        <f t="shared" si="13"/>
        <v>kJ/kg</v>
      </c>
      <c r="Z202" s="114">
        <f t="shared" ref="Z202:AK202" si="70">IF($Y$42="kJ/kg",Z42,$J$9*Z42)</f>
        <v>41190</v>
      </c>
      <c r="AA202" s="114">
        <f t="shared" si="70"/>
        <v>41110</v>
      </c>
      <c r="AB202" s="114">
        <f t="shared" si="70"/>
        <v>41160</v>
      </c>
      <c r="AC202" s="114">
        <f t="shared" si="70"/>
        <v>41160</v>
      </c>
      <c r="AD202" s="114">
        <f t="shared" si="70"/>
        <v>42730</v>
      </c>
      <c r="AE202" s="114">
        <f t="shared" si="70"/>
        <v>42730</v>
      </c>
      <c r="AF202" s="114">
        <f t="shared" si="70"/>
        <v>42730</v>
      </c>
      <c r="AG202" s="114">
        <f t="shared" si="70"/>
        <v>43310</v>
      </c>
      <c r="AH202" s="114">
        <f t="shared" si="70"/>
        <v>41320</v>
      </c>
      <c r="AI202" s="114">
        <f t="shared" si="70"/>
        <v>41320</v>
      </c>
      <c r="AJ202" s="114">
        <f t="shared" si="70"/>
        <v>41320</v>
      </c>
      <c r="AK202" s="114">
        <f t="shared" si="70"/>
        <v>43410</v>
      </c>
      <c r="AL202" s="97"/>
    </row>
    <row r="203" spans="2:38" s="11" customFormat="1">
      <c r="B203" s="15" t="s">
        <v>104</v>
      </c>
      <c r="C203" s="6" t="s">
        <v>26</v>
      </c>
      <c r="D203" s="11">
        <f t="shared" ref="D203:H203" si="71">AVERAGE(D122:D125)</f>
        <v>23</v>
      </c>
      <c r="E203" s="11">
        <f t="shared" si="71"/>
        <v>82.5</v>
      </c>
      <c r="F203" s="11">
        <f t="shared" si="71"/>
        <v>127.5</v>
      </c>
      <c r="G203" s="11">
        <f t="shared" si="71"/>
        <v>152.5</v>
      </c>
      <c r="H203" s="11">
        <f t="shared" si="71"/>
        <v>170</v>
      </c>
      <c r="I203" s="11">
        <f>AVERAGE(I122:I125)</f>
        <v>185</v>
      </c>
      <c r="M203" s="15" t="str">
        <f t="shared" si="7"/>
        <v xml:space="preserve">Air Cooler Air Inlet </v>
      </c>
      <c r="N203" s="6" t="s">
        <v>26</v>
      </c>
      <c r="O203" s="11">
        <f t="shared" ref="O203:S203" si="72">AVERAGE(O122:O125)</f>
        <v>110</v>
      </c>
      <c r="P203" s="11">
        <f t="shared" si="72"/>
        <v>117.5</v>
      </c>
      <c r="Q203" s="11">
        <f t="shared" si="72"/>
        <v>180</v>
      </c>
      <c r="R203" s="11">
        <f t="shared" si="72"/>
        <v>187</v>
      </c>
      <c r="S203" s="11">
        <f t="shared" si="72"/>
        <v>183.5</v>
      </c>
      <c r="X203" s="15" t="str">
        <f t="shared" si="8"/>
        <v xml:space="preserve">Air Cooler Air Inlet </v>
      </c>
      <c r="Y203" s="9" t="str">
        <f t="shared" si="13"/>
        <v>°C</v>
      </c>
      <c r="Z203" s="97">
        <f t="shared" ref="Z203:AD203" si="73">AVERAGE(Z122:Z125)</f>
        <v>162.5</v>
      </c>
      <c r="AA203" s="97">
        <f t="shared" si="73"/>
        <v>157.5</v>
      </c>
      <c r="AB203" s="97">
        <f t="shared" si="73"/>
        <v>155</v>
      </c>
      <c r="AC203" s="97">
        <f t="shared" si="73"/>
        <v>162.5</v>
      </c>
      <c r="AD203" s="97">
        <f t="shared" si="73"/>
        <v>165</v>
      </c>
      <c r="AE203" s="97">
        <f t="shared" ref="AE203:AI203" si="74">AVERAGE(AE122:AE125)</f>
        <v>172.5</v>
      </c>
      <c r="AF203" s="97">
        <f t="shared" si="74"/>
        <v>170</v>
      </c>
      <c r="AG203" s="97">
        <f t="shared" si="74"/>
        <v>177.5</v>
      </c>
      <c r="AH203" s="97">
        <f t="shared" si="74"/>
        <v>162.5</v>
      </c>
      <c r="AI203" s="97">
        <f t="shared" si="74"/>
        <v>177.5</v>
      </c>
      <c r="AJ203" s="97">
        <f t="shared" ref="AJ203:AK203" si="75">AVERAGE(AJ122:AJ125)</f>
        <v>170</v>
      </c>
      <c r="AK203" s="97">
        <f t="shared" si="75"/>
        <v>152.5</v>
      </c>
      <c r="AL203" s="97"/>
    </row>
    <row r="204" spans="2:38" s="11" customFormat="1">
      <c r="B204" s="15" t="s">
        <v>107</v>
      </c>
      <c r="C204" s="60" t="str">
        <f>C116</f>
        <v>mmW</v>
      </c>
      <c r="D204" s="11">
        <f t="shared" ref="D204:I204" si="76">AVERAGE(D117:D120)</f>
        <v>61.5</v>
      </c>
      <c r="E204" s="11">
        <f t="shared" si="76"/>
        <v>114</v>
      </c>
      <c r="F204" s="11">
        <f t="shared" si="76"/>
        <v>160</v>
      </c>
      <c r="G204" s="11">
        <f t="shared" si="76"/>
        <v>182.5</v>
      </c>
      <c r="H204" s="11">
        <f t="shared" si="76"/>
        <v>197.5</v>
      </c>
      <c r="I204" s="11">
        <f t="shared" si="76"/>
        <v>205</v>
      </c>
      <c r="M204" s="15" t="str">
        <f>B204</f>
        <v>Air Cooler Pressure Drop</v>
      </c>
      <c r="N204" s="6" t="str">
        <f>N116</f>
        <v>mmW</v>
      </c>
      <c r="O204" s="11">
        <f>AVERAGE(O117:O120)</f>
        <v>115</v>
      </c>
      <c r="P204" s="11">
        <f>AVERAGE(P117:P120)</f>
        <v>122.5</v>
      </c>
      <c r="Q204" s="11">
        <f>AVERAGE(Q117:Q120)</f>
        <v>185</v>
      </c>
      <c r="R204" s="11">
        <f>AVERAGE(R117:R120)</f>
        <v>192.5</v>
      </c>
      <c r="S204" s="11">
        <f>AVERAGE(S117:S120)</f>
        <v>190</v>
      </c>
      <c r="X204" s="15" t="str">
        <f>B204</f>
        <v>Air Cooler Pressure Drop</v>
      </c>
      <c r="Y204" s="9" t="str">
        <f>N204</f>
        <v>mmW</v>
      </c>
      <c r="Z204" s="97">
        <f t="shared" ref="Z204:AI204" si="77">AVERAGE(Z117:Z120)</f>
        <v>200</v>
      </c>
      <c r="AA204" s="97">
        <f t="shared" si="77"/>
        <v>190</v>
      </c>
      <c r="AB204" s="97">
        <f t="shared" si="77"/>
        <v>190</v>
      </c>
      <c r="AC204" s="97">
        <f t="shared" si="77"/>
        <v>215</v>
      </c>
      <c r="AD204" s="97">
        <f t="shared" si="77"/>
        <v>170</v>
      </c>
      <c r="AE204" s="97">
        <f t="shared" si="77"/>
        <v>190</v>
      </c>
      <c r="AF204" s="97">
        <f t="shared" si="77"/>
        <v>170</v>
      </c>
      <c r="AG204" s="97">
        <f t="shared" si="77"/>
        <v>185</v>
      </c>
      <c r="AH204" s="97">
        <f t="shared" si="77"/>
        <v>190</v>
      </c>
      <c r="AI204" s="97">
        <f t="shared" si="77"/>
        <v>190</v>
      </c>
      <c r="AJ204" s="97">
        <f t="shared" ref="AJ204:AK204" si="78">AVERAGE(AJ117:AJ120)</f>
        <v>170</v>
      </c>
      <c r="AK204" s="97">
        <f t="shared" si="78"/>
        <v>175</v>
      </c>
      <c r="AL204" s="97"/>
    </row>
    <row r="205" spans="2:38" s="11" customFormat="1">
      <c r="B205" s="15" t="s">
        <v>107</v>
      </c>
      <c r="C205" s="6" t="s">
        <v>20</v>
      </c>
      <c r="D205" s="11">
        <f t="shared" ref="D205:I205" si="79">IF($C$204="mmW",D204*$J$6,IF($C$204="mbar",D204*0.001,IF($C$204="mmHg",D204*$J$5," ")))</f>
        <v>6.0310897500000004E-3</v>
      </c>
      <c r="E205" s="11">
        <f t="shared" si="79"/>
        <v>1.1179580999999999E-2</v>
      </c>
      <c r="F205" s="11">
        <f t="shared" si="79"/>
        <v>1.5690639999999999E-2</v>
      </c>
      <c r="G205" s="11">
        <f t="shared" si="79"/>
        <v>1.7897136250000001E-2</v>
      </c>
      <c r="H205" s="11">
        <f t="shared" si="79"/>
        <v>1.9368133749999999E-2</v>
      </c>
      <c r="I205" s="11">
        <f t="shared" si="79"/>
        <v>2.0103632499999999E-2</v>
      </c>
      <c r="M205" s="15" t="str">
        <f>B205</f>
        <v>Air Cooler Pressure Drop</v>
      </c>
      <c r="N205" s="6" t="s">
        <v>20</v>
      </c>
      <c r="O205" s="11">
        <f>IF($N$204="mmW",O204*$J$6,IF($N$204="mbar",O204*0.001,IF($N$204="mmHg",O204*$J$5," ")))</f>
        <v>1.12776475E-2</v>
      </c>
      <c r="P205" s="11">
        <f>IF($N$204="mmW",P204*$J$6,IF($N$204="mbar",P204*0.001,IF($N$204="mmHg",P204*$J$5," ")))</f>
        <v>1.201314625E-2</v>
      </c>
      <c r="Q205" s="11">
        <f>IF($N$204="mmW",Q204*$J$6,IF($N$204="mbar",Q204*0.001,IF($N$204="mmHg",Q204*$J$5," ")))</f>
        <v>1.8142302499999999E-2</v>
      </c>
      <c r="R205" s="11">
        <f>IF($N$204="mmW",R204*$J$6,IF($N$204="mbar",R204*0.001,IF($N$204="mmHg",R204*$J$5," ")))</f>
        <v>1.8877801249999999E-2</v>
      </c>
      <c r="S205" s="11">
        <f>IF($N$204="mmW",S204*$J$6,IF($N$204="mbar",S204*0.001,IF($N$204="mmHg",S204*$J$5," ")))</f>
        <v>1.8632635000000002E-2</v>
      </c>
      <c r="X205" s="15" t="str">
        <f>B205</f>
        <v>Air Cooler Pressure Drop</v>
      </c>
      <c r="Y205" s="9" t="s">
        <v>20</v>
      </c>
      <c r="Z205" s="97">
        <f t="shared" ref="Z205:AK205" si="80">IF($Y$204="mmW",Z204*$J$6,IF($Y$204="mbar",Z204*0.001,IF($Y$204="mmHg",Z204*$J$5," ")))</f>
        <v>1.96133E-2</v>
      </c>
      <c r="AA205" s="97">
        <f t="shared" si="80"/>
        <v>1.8632635000000002E-2</v>
      </c>
      <c r="AB205" s="97">
        <f t="shared" si="80"/>
        <v>1.8632635000000002E-2</v>
      </c>
      <c r="AC205" s="97">
        <f t="shared" si="80"/>
        <v>2.1084297500000002E-2</v>
      </c>
      <c r="AD205" s="97">
        <f t="shared" si="80"/>
        <v>1.6671305000000001E-2</v>
      </c>
      <c r="AE205" s="97">
        <f t="shared" si="80"/>
        <v>1.8632635000000002E-2</v>
      </c>
      <c r="AF205" s="97">
        <f t="shared" si="80"/>
        <v>1.6671305000000001E-2</v>
      </c>
      <c r="AG205" s="97">
        <f t="shared" si="80"/>
        <v>1.8142302499999999E-2</v>
      </c>
      <c r="AH205" s="97">
        <f t="shared" si="80"/>
        <v>1.8632635000000002E-2</v>
      </c>
      <c r="AI205" s="97">
        <f t="shared" si="80"/>
        <v>1.8632635000000002E-2</v>
      </c>
      <c r="AJ205" s="97">
        <f t="shared" si="80"/>
        <v>1.6671305000000001E-2</v>
      </c>
      <c r="AK205" s="97">
        <f t="shared" si="80"/>
        <v>1.71616375E-2</v>
      </c>
      <c r="AL205" s="97"/>
    </row>
    <row r="206" spans="2:38" s="11" customFormat="1">
      <c r="B206" s="15" t="s">
        <v>109</v>
      </c>
      <c r="C206" s="6" t="s">
        <v>14</v>
      </c>
      <c r="D206" s="11">
        <f t="shared" ref="D206:I206" si="81">AVERAGE(D154:D157)</f>
        <v>5399</v>
      </c>
      <c r="E206" s="11">
        <f t="shared" si="81"/>
        <v>9112</v>
      </c>
      <c r="F206" s="11">
        <f t="shared" si="81"/>
        <v>11268.5</v>
      </c>
      <c r="G206" s="11">
        <f t="shared" si="81"/>
        <v>12216.5</v>
      </c>
      <c r="H206" s="11">
        <f t="shared" si="81"/>
        <v>12860.5</v>
      </c>
      <c r="I206" s="11">
        <f t="shared" si="81"/>
        <v>13468</v>
      </c>
      <c r="M206" s="15" t="str">
        <f t="shared" si="7"/>
        <v>TC Speed</v>
      </c>
      <c r="N206" s="6" t="s">
        <v>14</v>
      </c>
      <c r="O206" s="11">
        <f>AVERAGE(O154:O157)</f>
        <v>9549.5</v>
      </c>
      <c r="P206" s="11">
        <f>AVERAGE(P154:P157)</f>
        <v>9897.5</v>
      </c>
      <c r="Q206" s="11">
        <f>AVERAGE(Q154:Q157)</f>
        <v>12645</v>
      </c>
      <c r="R206" s="11">
        <f>AVERAGE(R154:R157)</f>
        <v>12880</v>
      </c>
      <c r="S206" s="11">
        <f>AVERAGE(S154:S157)</f>
        <v>12960</v>
      </c>
      <c r="X206" s="15" t="str">
        <f t="shared" si="8"/>
        <v>TC Speed</v>
      </c>
      <c r="Y206" s="9" t="str">
        <f t="shared" si="13"/>
        <v>rpm</v>
      </c>
      <c r="Z206" s="97">
        <f t="shared" ref="Z206:AI206" si="82">AVERAGE(Z154:Z157)</f>
        <v>12275</v>
      </c>
      <c r="AA206" s="97">
        <f t="shared" si="82"/>
        <v>12306</v>
      </c>
      <c r="AB206" s="97">
        <f t="shared" si="82"/>
        <v>12405</v>
      </c>
      <c r="AC206" s="97">
        <f t="shared" si="82"/>
        <v>12500</v>
      </c>
      <c r="AD206" s="97">
        <f t="shared" si="82"/>
        <v>12640</v>
      </c>
      <c r="AE206" s="97">
        <f t="shared" si="82"/>
        <v>12375</v>
      </c>
      <c r="AF206" s="97">
        <f t="shared" si="82"/>
        <v>12279</v>
      </c>
      <c r="AG206" s="97">
        <f t="shared" si="82"/>
        <v>12630</v>
      </c>
      <c r="AH206" s="97">
        <f t="shared" si="82"/>
        <v>12862.5</v>
      </c>
      <c r="AI206" s="97">
        <f t="shared" si="82"/>
        <v>12515</v>
      </c>
      <c r="AJ206" s="97">
        <f t="shared" ref="AJ206:AK206" si="83">AVERAGE(AJ154:AJ157)</f>
        <v>12365.5</v>
      </c>
      <c r="AK206" s="97">
        <f t="shared" si="83"/>
        <v>11860</v>
      </c>
      <c r="AL206" s="97"/>
    </row>
    <row r="207" spans="2:38" s="11" customFormat="1">
      <c r="B207" s="15" t="s">
        <v>119</v>
      </c>
      <c r="C207" s="6" t="s">
        <v>26</v>
      </c>
      <c r="D207" s="11">
        <f t="shared" ref="D207:I207" si="84">AVERAGE(D132:D135)</f>
        <v>24</v>
      </c>
      <c r="E207" s="11">
        <f t="shared" si="84"/>
        <v>25</v>
      </c>
      <c r="F207" s="11">
        <f t="shared" si="84"/>
        <v>25</v>
      </c>
      <c r="G207" s="11">
        <f t="shared" si="84"/>
        <v>26</v>
      </c>
      <c r="H207" s="11">
        <f t="shared" si="84"/>
        <v>27</v>
      </c>
      <c r="I207" s="11">
        <f t="shared" si="84"/>
        <v>29</v>
      </c>
      <c r="M207" s="15" t="s">
        <v>119</v>
      </c>
      <c r="N207" s="6" t="s">
        <v>26</v>
      </c>
      <c r="O207" s="11">
        <f>AVERAGE(O132:O135)</f>
        <v>36</v>
      </c>
      <c r="P207" s="11">
        <f>AVERAGE(P132:P135)</f>
        <v>36</v>
      </c>
      <c r="Q207" s="11">
        <f>AVERAGE(Q132:Q135)</f>
        <v>36</v>
      </c>
      <c r="R207" s="11">
        <f>AVERAGE(R132:R135)</f>
        <v>36</v>
      </c>
      <c r="S207" s="11">
        <f>AVERAGE(S132:S135)</f>
        <v>36</v>
      </c>
      <c r="X207" s="15" t="s">
        <v>119</v>
      </c>
      <c r="Y207" s="6" t="s">
        <v>26</v>
      </c>
      <c r="Z207" s="97">
        <f t="shared" ref="Z207:AI207" si="85">AVERAGE(Z132:Z135)</f>
        <v>36</v>
      </c>
      <c r="AA207" s="97">
        <f t="shared" si="85"/>
        <v>34</v>
      </c>
      <c r="AB207" s="97">
        <f t="shared" si="85"/>
        <v>35</v>
      </c>
      <c r="AC207" s="97">
        <f t="shared" si="85"/>
        <v>34</v>
      </c>
      <c r="AD207" s="97">
        <f t="shared" si="85"/>
        <v>37</v>
      </c>
      <c r="AE207" s="97">
        <f t="shared" si="85"/>
        <v>34</v>
      </c>
      <c r="AF207" s="97">
        <f t="shared" si="85"/>
        <v>36</v>
      </c>
      <c r="AG207" s="97">
        <f t="shared" si="85"/>
        <v>34</v>
      </c>
      <c r="AH207" s="97">
        <f t="shared" si="85"/>
        <v>35</v>
      </c>
      <c r="AI207" s="97">
        <f t="shared" si="85"/>
        <v>35</v>
      </c>
      <c r="AJ207" s="97">
        <f t="shared" ref="AJ207:AK207" si="86">AVERAGE(AJ132:AJ135)</f>
        <v>35</v>
      </c>
      <c r="AK207" s="97">
        <f t="shared" si="86"/>
        <v>35</v>
      </c>
      <c r="AL207" s="97"/>
    </row>
    <row r="208" spans="2:38" s="11" customFormat="1">
      <c r="B208" s="15" t="s">
        <v>119</v>
      </c>
      <c r="C208" s="6" t="s">
        <v>76</v>
      </c>
      <c r="D208" s="11">
        <f>D207+273.15</f>
        <v>297.14999999999998</v>
      </c>
      <c r="E208" s="11">
        <f t="shared" ref="E208:I208" si="87">E207+273.15</f>
        <v>298.14999999999998</v>
      </c>
      <c r="F208" s="11">
        <f t="shared" si="87"/>
        <v>298.14999999999998</v>
      </c>
      <c r="G208" s="11">
        <f t="shared" si="87"/>
        <v>299.14999999999998</v>
      </c>
      <c r="H208" s="11">
        <f t="shared" si="87"/>
        <v>300.14999999999998</v>
      </c>
      <c r="I208" s="11">
        <f t="shared" si="87"/>
        <v>302.14999999999998</v>
      </c>
      <c r="M208" s="15" t="str">
        <f t="shared" si="7"/>
        <v>Air Cooler CW Inlet Temp.</v>
      </c>
      <c r="N208" s="6" t="s">
        <v>76</v>
      </c>
      <c r="O208" s="11">
        <f>O207+273.15</f>
        <v>309.14999999999998</v>
      </c>
      <c r="P208" s="11">
        <f t="shared" ref="P208:S208" si="88">P207+273.15</f>
        <v>309.14999999999998</v>
      </c>
      <c r="Q208" s="11">
        <f t="shared" si="88"/>
        <v>309.14999999999998</v>
      </c>
      <c r="R208" s="11">
        <f t="shared" si="88"/>
        <v>309.14999999999998</v>
      </c>
      <c r="S208" s="11">
        <f t="shared" si="88"/>
        <v>309.14999999999998</v>
      </c>
      <c r="X208" s="15" t="str">
        <f t="shared" si="8"/>
        <v>Air Cooler CW Inlet Temp.</v>
      </c>
      <c r="Y208" s="9" t="str">
        <f t="shared" si="13"/>
        <v>K</v>
      </c>
      <c r="Z208" s="97">
        <f>Z207+273.15</f>
        <v>309.14999999999998</v>
      </c>
      <c r="AA208" s="97">
        <f t="shared" ref="AA208:AI208" si="89">AA207+273.15</f>
        <v>307.14999999999998</v>
      </c>
      <c r="AB208" s="97">
        <f t="shared" si="89"/>
        <v>308.14999999999998</v>
      </c>
      <c r="AC208" s="97">
        <f t="shared" si="89"/>
        <v>307.14999999999998</v>
      </c>
      <c r="AD208" s="97">
        <f t="shared" si="89"/>
        <v>310.14999999999998</v>
      </c>
      <c r="AE208" s="97">
        <f t="shared" si="89"/>
        <v>307.14999999999998</v>
      </c>
      <c r="AF208" s="97">
        <f t="shared" si="89"/>
        <v>309.14999999999998</v>
      </c>
      <c r="AG208" s="97">
        <f t="shared" si="89"/>
        <v>307.14999999999998</v>
      </c>
      <c r="AH208" s="97">
        <f t="shared" si="89"/>
        <v>308.14999999999998</v>
      </c>
      <c r="AI208" s="97">
        <f t="shared" si="89"/>
        <v>308.14999999999998</v>
      </c>
      <c r="AJ208" s="97">
        <f t="shared" ref="AJ208:AK208" si="90">AJ207+273.15</f>
        <v>308.14999999999998</v>
      </c>
      <c r="AK208" s="97">
        <f t="shared" si="90"/>
        <v>308.14999999999998</v>
      </c>
      <c r="AL208" s="97"/>
    </row>
    <row r="209" spans="1:38" s="11" customFormat="1">
      <c r="B209" s="15"/>
      <c r="C209" s="6"/>
      <c r="M209" s="15">
        <f t="shared" si="7"/>
        <v>0</v>
      </c>
      <c r="N209" s="6"/>
      <c r="X209" s="15"/>
      <c r="Y209" s="9"/>
      <c r="Z209" s="97"/>
      <c r="AA209" s="97"/>
      <c r="AB209" s="97"/>
      <c r="AC209" s="97"/>
      <c r="AD209" s="97"/>
      <c r="AE209" s="97"/>
      <c r="AF209" s="97"/>
      <c r="AG209" s="97"/>
      <c r="AH209" s="97"/>
      <c r="AI209" s="97"/>
      <c r="AJ209" s="97"/>
      <c r="AK209" s="97"/>
      <c r="AL209" s="97"/>
    </row>
    <row r="210" spans="1:38">
      <c r="A210" s="4">
        <v>1</v>
      </c>
      <c r="B210" s="4" t="s">
        <v>80</v>
      </c>
      <c r="L210" s="4">
        <v>1</v>
      </c>
      <c r="M210" s="4" t="str">
        <f t="shared" si="7"/>
        <v>Fixed Fluid Data</v>
      </c>
      <c r="N210" s="6"/>
      <c r="O210" s="11"/>
      <c r="P210" s="11"/>
      <c r="Q210" s="11"/>
      <c r="R210" s="11"/>
      <c r="S210" s="11"/>
      <c r="W210" s="4">
        <v>1</v>
      </c>
      <c r="X210" s="4" t="str">
        <f t="shared" ref="X210:X218" si="91">B210</f>
        <v>Fixed Fluid Data</v>
      </c>
    </row>
    <row r="211" spans="1:38">
      <c r="B211" t="s">
        <v>59</v>
      </c>
      <c r="C211" s="6" t="s">
        <v>20</v>
      </c>
      <c r="D211">
        <f t="shared" ref="D211:I211" si="92">D189/1000-D194</f>
        <v>1.00677410131</v>
      </c>
      <c r="E211" s="11">
        <f t="shared" si="92"/>
        <v>1.0055405688900001</v>
      </c>
      <c r="F211" s="11">
        <f t="shared" si="92"/>
        <v>1.0041109034700002</v>
      </c>
      <c r="G211" s="11">
        <f t="shared" si="92"/>
        <v>1.0033048929399999</v>
      </c>
      <c r="H211" s="11">
        <f t="shared" si="92"/>
        <v>1.0024145932700002</v>
      </c>
      <c r="I211" s="11">
        <f t="shared" si="92"/>
        <v>1.00095574815</v>
      </c>
      <c r="L211" s="11"/>
      <c r="M211" s="11" t="str">
        <f t="shared" si="7"/>
        <v>P Inlet Fixed Fluid</v>
      </c>
      <c r="N211" s="6" t="s">
        <v>20</v>
      </c>
      <c r="O211" s="11">
        <f>O189/1000-O194</f>
        <v>1.00200529995</v>
      </c>
      <c r="P211" s="11">
        <f>P189/1000-P194</f>
        <v>1.0019562666999999</v>
      </c>
      <c r="Q211" s="11">
        <f>Q189/1000-Q194</f>
        <v>0.99999493670000006</v>
      </c>
      <c r="R211" s="11">
        <f>R189/1000-R194</f>
        <v>0.99974977045000002</v>
      </c>
      <c r="S211" s="11">
        <f>S189/1000-S194</f>
        <v>0.99999493670000006</v>
      </c>
      <c r="W211" s="11"/>
      <c r="X211" s="11" t="str">
        <f t="shared" si="91"/>
        <v>P Inlet Fixed Fluid</v>
      </c>
      <c r="Y211" s="9" t="str">
        <f t="shared" si="13"/>
        <v>bar</v>
      </c>
      <c r="Z211" s="97">
        <f t="shared" ref="Z211:AI211" si="93">Z189/1000-Z194</f>
        <v>1.0270966750000001</v>
      </c>
      <c r="AA211" s="97">
        <f t="shared" si="93"/>
        <v>1.02749930425</v>
      </c>
      <c r="AB211" s="97">
        <f t="shared" si="93"/>
        <v>1.0103522045</v>
      </c>
      <c r="AC211" s="97">
        <f t="shared" si="93"/>
        <v>1.0380773400000001</v>
      </c>
      <c r="AD211" s="97">
        <f t="shared" si="93"/>
        <v>1.0170773399999999</v>
      </c>
      <c r="AE211" s="97">
        <f t="shared" si="93"/>
        <v>1.0195870075</v>
      </c>
      <c r="AF211" s="97">
        <f t="shared" si="93"/>
        <v>1.0172051047499999</v>
      </c>
      <c r="AG211" s="97">
        <f t="shared" si="93"/>
        <v>1.0183225062500001</v>
      </c>
      <c r="AH211" s="97">
        <f t="shared" si="93"/>
        <v>1.0085483374999999</v>
      </c>
      <c r="AI211" s="97">
        <f t="shared" si="93"/>
        <v>1.02026450125</v>
      </c>
      <c r="AJ211" s="97">
        <f t="shared" ref="AJ211:AK211" si="94">AJ189/1000-AJ194</f>
        <v>1.0155676724999998</v>
      </c>
      <c r="AK211" s="97">
        <f t="shared" si="94"/>
        <v>1.0205676724999999</v>
      </c>
    </row>
    <row r="212" spans="1:38">
      <c r="B212" s="11" t="s">
        <v>60</v>
      </c>
      <c r="C212" s="6" t="s">
        <v>76</v>
      </c>
      <c r="D212">
        <f t="shared" ref="D212:I212" si="95">273.15+D195</f>
        <v>286.64999999999998</v>
      </c>
      <c r="E212" s="11">
        <f t="shared" si="95"/>
        <v>288.64999999999998</v>
      </c>
      <c r="F212" s="11">
        <f t="shared" si="95"/>
        <v>288.64999999999998</v>
      </c>
      <c r="G212" s="11">
        <f t="shared" si="95"/>
        <v>289.14999999999998</v>
      </c>
      <c r="H212" s="11">
        <f t="shared" si="95"/>
        <v>290.64999999999998</v>
      </c>
      <c r="I212" s="11">
        <f t="shared" si="95"/>
        <v>291.14999999999998</v>
      </c>
      <c r="L212" s="11"/>
      <c r="M212" s="11" t="str">
        <f t="shared" si="7"/>
        <v>T Inlet Fixed Fluid</v>
      </c>
      <c r="N212" s="6" t="s">
        <v>76</v>
      </c>
      <c r="O212" s="11">
        <f>273.15+O195</f>
        <v>310.64999999999998</v>
      </c>
      <c r="P212" s="11">
        <f>273.15+P195</f>
        <v>309.64999999999998</v>
      </c>
      <c r="Q212" s="11">
        <f>273.15+Q195</f>
        <v>309.89999999999998</v>
      </c>
      <c r="R212" s="11">
        <f>273.15+R195</f>
        <v>310.14999999999998</v>
      </c>
      <c r="S212" s="11">
        <f>273.15+S195</f>
        <v>310.14999999999998</v>
      </c>
      <c r="W212" s="11"/>
      <c r="X212" s="11" t="str">
        <f t="shared" si="91"/>
        <v>T Inlet Fixed Fluid</v>
      </c>
      <c r="Y212" s="9" t="str">
        <f t="shared" si="13"/>
        <v>K</v>
      </c>
      <c r="Z212" s="97">
        <f t="shared" ref="Z212:AI212" si="96">273.15+Z195</f>
        <v>304.14999999999998</v>
      </c>
      <c r="AA212" s="97">
        <f t="shared" si="96"/>
        <v>297.14999999999998</v>
      </c>
      <c r="AB212" s="97">
        <f t="shared" si="96"/>
        <v>304.14999999999998</v>
      </c>
      <c r="AC212" s="97">
        <f t="shared" si="96"/>
        <v>299.14999999999998</v>
      </c>
      <c r="AD212" s="97">
        <f t="shared" si="96"/>
        <v>314.14999999999998</v>
      </c>
      <c r="AE212" s="97">
        <f t="shared" si="96"/>
        <v>307.14999999999998</v>
      </c>
      <c r="AF212" s="97">
        <f t="shared" si="96"/>
        <v>310.14999999999998</v>
      </c>
      <c r="AG212" s="97">
        <f t="shared" si="96"/>
        <v>314.14999999999998</v>
      </c>
      <c r="AH212" s="97">
        <f t="shared" si="96"/>
        <v>310.14999999999998</v>
      </c>
      <c r="AI212" s="97">
        <f t="shared" si="96"/>
        <v>311.14999999999998</v>
      </c>
      <c r="AJ212" s="97">
        <f t="shared" ref="AJ212:AK212" si="97">273.15+AJ195</f>
        <v>308.14999999999998</v>
      </c>
      <c r="AK212" s="97">
        <f t="shared" si="97"/>
        <v>305.14999999999998</v>
      </c>
    </row>
    <row r="213" spans="1:38">
      <c r="B213" s="11" t="s">
        <v>62</v>
      </c>
      <c r="C213" s="6" t="s">
        <v>20</v>
      </c>
      <c r="D213">
        <f t="shared" ref="D213:I213" si="98">D189/1000+D199</f>
        <v>1.00907866406</v>
      </c>
      <c r="E213" s="11">
        <f t="shared" si="98"/>
        <v>1.0116206918899999</v>
      </c>
      <c r="F213" s="11">
        <f t="shared" si="98"/>
        <v>1.0171047147200001</v>
      </c>
      <c r="G213" s="11">
        <f t="shared" si="98"/>
        <v>1.02174139494</v>
      </c>
      <c r="H213" s="11">
        <f t="shared" si="98"/>
        <v>1.02428342277</v>
      </c>
      <c r="I213" s="11">
        <f t="shared" si="98"/>
        <v>1.0256685061500002</v>
      </c>
      <c r="L213" s="11"/>
      <c r="M213" s="11" t="str">
        <f t="shared" si="7"/>
        <v>P Exhaust Fixed Fluid</v>
      </c>
      <c r="N213" s="6" t="s">
        <v>20</v>
      </c>
      <c r="O213" s="11">
        <f>O189/1000+O199</f>
        <v>1.0102919191999999</v>
      </c>
      <c r="P213" s="11">
        <f>P189/1000+P199</f>
        <v>1.0107822517</v>
      </c>
      <c r="Q213" s="11">
        <f>Q189/1000+Q199</f>
        <v>1.0215695667</v>
      </c>
      <c r="R213" s="11">
        <f>R189/1000+R199</f>
        <v>1.02279539795</v>
      </c>
      <c r="S213" s="11">
        <f>S189/1000+S199</f>
        <v>1.0225502316999999</v>
      </c>
      <c r="T213" s="11"/>
      <c r="W213" s="11"/>
      <c r="X213" s="11" t="str">
        <f t="shared" si="91"/>
        <v>P Exhaust Fixed Fluid</v>
      </c>
      <c r="Y213" s="9" t="str">
        <f t="shared" si="13"/>
        <v>bar</v>
      </c>
      <c r="Z213" s="97">
        <f t="shared" ref="Z213:AI213" si="99">Z189/1000+Z199</f>
        <v>1.032</v>
      </c>
      <c r="AA213" s="97">
        <f t="shared" si="99"/>
        <v>1.03</v>
      </c>
      <c r="AB213" s="97">
        <f t="shared" si="99"/>
        <v>1.0129999999999999</v>
      </c>
      <c r="AC213" s="97">
        <f t="shared" si="99"/>
        <v>1.042</v>
      </c>
      <c r="AD213" s="97">
        <f t="shared" si="99"/>
        <v>1.0209999999999999</v>
      </c>
      <c r="AE213" s="97">
        <f t="shared" si="99"/>
        <v>1.024</v>
      </c>
      <c r="AF213" s="97">
        <f t="shared" si="99"/>
        <v>1.02</v>
      </c>
      <c r="AG213" s="97">
        <f t="shared" si="99"/>
        <v>1.022</v>
      </c>
      <c r="AH213" s="97">
        <f t="shared" si="99"/>
        <v>1.0109999999999999</v>
      </c>
      <c r="AI213" s="97">
        <f t="shared" si="99"/>
        <v>1.0209999999999999</v>
      </c>
      <c r="AJ213" s="97">
        <f t="shared" ref="AJ213:AK213" si="100">AJ189/1000+AJ199</f>
        <v>1.0189999999999999</v>
      </c>
      <c r="AK213" s="97">
        <f t="shared" si="100"/>
        <v>1.024</v>
      </c>
    </row>
    <row r="214" spans="1:38">
      <c r="B214" s="11" t="s">
        <v>63</v>
      </c>
      <c r="C214" s="6" t="s">
        <v>76</v>
      </c>
      <c r="D214">
        <f t="shared" ref="D214:I214" si="101">273.15+D197</f>
        <v>490.65</v>
      </c>
      <c r="E214" s="11">
        <f t="shared" si="101"/>
        <v>490.15</v>
      </c>
      <c r="F214" s="11">
        <f t="shared" si="101"/>
        <v>471.15</v>
      </c>
      <c r="G214" s="11">
        <f t="shared" si="101"/>
        <v>471.65</v>
      </c>
      <c r="H214" s="11">
        <f t="shared" si="101"/>
        <v>478.15</v>
      </c>
      <c r="I214" s="11">
        <f t="shared" si="101"/>
        <v>495.15</v>
      </c>
      <c r="L214" s="11"/>
      <c r="M214" s="11" t="str">
        <f t="shared" si="7"/>
        <v>T Exhaust Fixed Fluid</v>
      </c>
      <c r="N214" s="6" t="s">
        <v>76</v>
      </c>
      <c r="O214" s="11">
        <f>273.15+O197</f>
        <v>528.15</v>
      </c>
      <c r="P214" s="11">
        <f>273.15+P197</f>
        <v>523.15</v>
      </c>
      <c r="Q214" s="11">
        <f>273.15+Q197</f>
        <v>503.15</v>
      </c>
      <c r="R214" s="11">
        <f>273.15+R197</f>
        <v>505.65</v>
      </c>
      <c r="S214" s="11">
        <f>273.15+S197</f>
        <v>505.65</v>
      </c>
      <c r="W214" s="11"/>
      <c r="X214" s="11" t="str">
        <f t="shared" si="91"/>
        <v>T Exhaust Fixed Fluid</v>
      </c>
      <c r="Y214" s="9" t="str">
        <f t="shared" si="13"/>
        <v>K</v>
      </c>
      <c r="Z214" s="97">
        <f t="shared" ref="Z214:AI214" si="102">273.15+Z197</f>
        <v>503.15</v>
      </c>
      <c r="AA214" s="97">
        <f t="shared" si="102"/>
        <v>493.15</v>
      </c>
      <c r="AB214" s="97">
        <f t="shared" si="102"/>
        <v>498.15</v>
      </c>
      <c r="AC214" s="97">
        <f t="shared" si="102"/>
        <v>493.15</v>
      </c>
      <c r="AD214" s="97">
        <f t="shared" si="102"/>
        <v>518.15</v>
      </c>
      <c r="AE214" s="97">
        <f t="shared" si="102"/>
        <v>508.15</v>
      </c>
      <c r="AF214" s="97">
        <f t="shared" si="102"/>
        <v>508.15</v>
      </c>
      <c r="AG214" s="97">
        <f t="shared" si="102"/>
        <v>518.15</v>
      </c>
      <c r="AH214" s="97">
        <f t="shared" si="102"/>
        <v>513.15</v>
      </c>
      <c r="AI214" s="97">
        <f t="shared" si="102"/>
        <v>508.15</v>
      </c>
      <c r="AJ214" s="97">
        <f t="shared" ref="AJ214:AK214" si="103">273.15+AJ197</f>
        <v>503.15</v>
      </c>
      <c r="AK214" s="97">
        <f t="shared" si="103"/>
        <v>518.15</v>
      </c>
    </row>
    <row r="215" spans="1:38">
      <c r="B215" t="s">
        <v>61</v>
      </c>
      <c r="C215" s="6" t="s">
        <v>20</v>
      </c>
      <c r="D215">
        <f t="shared" ref="D215:I215" si="104">D200+D189/1000</f>
        <v>1.3971173340599998</v>
      </c>
      <c r="E215" s="11">
        <f t="shared" si="104"/>
        <v>2.1067173668899999</v>
      </c>
      <c r="F215" s="11">
        <f t="shared" si="104"/>
        <v>2.9363173997200001</v>
      </c>
      <c r="G215" s="11">
        <f t="shared" si="104"/>
        <v>3.3760507549400001</v>
      </c>
      <c r="H215" s="11">
        <f t="shared" si="104"/>
        <v>3.7456507877700003</v>
      </c>
      <c r="I215" s="11">
        <f t="shared" si="104"/>
        <v>4.0145842086499997</v>
      </c>
      <c r="L215" s="11"/>
      <c r="M215" s="11" t="str">
        <f t="shared" si="7"/>
        <v>P scavenge receiver</v>
      </c>
      <c r="N215" s="6" t="s">
        <v>20</v>
      </c>
      <c r="O215" s="11">
        <f>O200+O189/1000</f>
        <v>2.1316823466999999</v>
      </c>
      <c r="P215" s="11">
        <f>P200+P189/1000</f>
        <v>2.2297488466999997</v>
      </c>
      <c r="Q215" s="11">
        <f>Q200+Q189/1000</f>
        <v>3.4065468467000004</v>
      </c>
      <c r="R215" s="11">
        <f>R200+R189/1000</f>
        <v>3.5046133466999998</v>
      </c>
      <c r="S215" s="11">
        <f>S200+S189/1000</f>
        <v>3.4555800966999999</v>
      </c>
      <c r="W215" s="11"/>
      <c r="X215" s="11" t="str">
        <f t="shared" si="91"/>
        <v>P scavenge receiver</v>
      </c>
      <c r="Y215" s="9" t="str">
        <f t="shared" si="13"/>
        <v>bar</v>
      </c>
      <c r="Z215" s="97">
        <f t="shared" ref="Z215:AI215" si="105">Z200+Z189/1000</f>
        <v>3.3319999999999999</v>
      </c>
      <c r="AA215" s="97">
        <f t="shared" si="105"/>
        <v>3.4299999999999997</v>
      </c>
      <c r="AB215" s="97">
        <f t="shared" si="105"/>
        <v>3.5129999999999999</v>
      </c>
      <c r="AC215" s="97">
        <f t="shared" si="105"/>
        <v>3.5419999999999998</v>
      </c>
      <c r="AD215" s="97">
        <f t="shared" si="105"/>
        <v>3.3209999999999997</v>
      </c>
      <c r="AE215" s="97">
        <f t="shared" si="105"/>
        <v>3.524</v>
      </c>
      <c r="AF215" s="97">
        <f t="shared" si="105"/>
        <v>3.22</v>
      </c>
      <c r="AG215" s="97">
        <f t="shared" si="105"/>
        <v>3.5220000000000002</v>
      </c>
      <c r="AH215" s="97">
        <f t="shared" si="105"/>
        <v>3.7110000000000003</v>
      </c>
      <c r="AI215" s="97">
        <f t="shared" si="105"/>
        <v>3.621</v>
      </c>
      <c r="AJ215" s="97">
        <f t="shared" ref="AJ215" si="106">AJ200+AJ189/1000</f>
        <v>3.2190000000000003</v>
      </c>
      <c r="AK215" s="97">
        <f>AK200+AK189/1000</f>
        <v>3.1240000000000001</v>
      </c>
    </row>
    <row r="216" spans="1:38">
      <c r="B216" s="11" t="s">
        <v>64</v>
      </c>
      <c r="C216" s="6" t="s">
        <v>76</v>
      </c>
      <c r="D216">
        <f t="shared" ref="D216:I216" si="107">D144+273.15</f>
        <v>303.14999999999998</v>
      </c>
      <c r="E216" s="11">
        <f t="shared" si="107"/>
        <v>301.14999999999998</v>
      </c>
      <c r="F216" s="11">
        <f t="shared" si="107"/>
        <v>301.14999999999998</v>
      </c>
      <c r="G216" s="11">
        <f t="shared" si="107"/>
        <v>303.14999999999998</v>
      </c>
      <c r="H216" s="11">
        <f t="shared" si="107"/>
        <v>305.14999999999998</v>
      </c>
      <c r="I216" s="11">
        <f t="shared" si="107"/>
        <v>309.14999999999998</v>
      </c>
      <c r="L216" s="11"/>
      <c r="M216" s="11" t="str">
        <f t="shared" si="7"/>
        <v>T scavenge receiver</v>
      </c>
      <c r="N216" s="6" t="s">
        <v>76</v>
      </c>
      <c r="O216" s="11">
        <f>O144+273.15</f>
        <v>311.14999999999998</v>
      </c>
      <c r="P216" s="11">
        <f>P144+273.15</f>
        <v>312.14999999999998</v>
      </c>
      <c r="Q216" s="11">
        <f>Q144+273.15</f>
        <v>316.14999999999998</v>
      </c>
      <c r="R216" s="11">
        <f>R144+273.15</f>
        <v>317.14999999999998</v>
      </c>
      <c r="S216" s="11">
        <f>S144+273.15</f>
        <v>315.14999999999998</v>
      </c>
      <c r="W216" s="11"/>
      <c r="X216" s="11" t="str">
        <f t="shared" si="91"/>
        <v>T scavenge receiver</v>
      </c>
      <c r="Y216" s="9" t="str">
        <f t="shared" si="13"/>
        <v>K</v>
      </c>
      <c r="Z216" s="97">
        <f t="shared" ref="Z216:AI216" si="108">Z144+273.15</f>
        <v>316.14999999999998</v>
      </c>
      <c r="AA216" s="97">
        <f t="shared" si="108"/>
        <v>314.14999999999998</v>
      </c>
      <c r="AB216" s="97">
        <f t="shared" si="108"/>
        <v>314.14999999999998</v>
      </c>
      <c r="AC216" s="97">
        <f t="shared" si="108"/>
        <v>315.14999999999998</v>
      </c>
      <c r="AD216" s="97">
        <f t="shared" si="108"/>
        <v>318.14999999999998</v>
      </c>
      <c r="AE216" s="97">
        <f t="shared" si="108"/>
        <v>314.14999999999998</v>
      </c>
      <c r="AF216" s="97">
        <f t="shared" si="108"/>
        <v>314.14999999999998</v>
      </c>
      <c r="AG216" s="97">
        <f t="shared" si="108"/>
        <v>317.14999999999998</v>
      </c>
      <c r="AH216" s="97">
        <f t="shared" si="108"/>
        <v>317.14999999999998</v>
      </c>
      <c r="AI216" s="97">
        <f t="shared" si="108"/>
        <v>316.14999999999998</v>
      </c>
      <c r="AJ216" s="97">
        <f t="shared" ref="AJ216:AK216" si="109">AJ144+273.15</f>
        <v>315.14999999999998</v>
      </c>
      <c r="AK216" s="97">
        <f t="shared" si="109"/>
        <v>313.14999999999998</v>
      </c>
    </row>
    <row r="217" spans="1:38">
      <c r="B217" s="11" t="s">
        <v>65</v>
      </c>
      <c r="C217" s="6" t="s">
        <v>20</v>
      </c>
      <c r="D217" s="11">
        <f t="shared" ref="D217:I217" si="110">D201+D189/1000</f>
        <v>1.31711733406</v>
      </c>
      <c r="E217" s="11">
        <f t="shared" si="110"/>
        <v>1.94671736689</v>
      </c>
      <c r="F217" s="11">
        <f t="shared" si="110"/>
        <v>2.7363173997199999</v>
      </c>
      <c r="G217" s="11">
        <f t="shared" si="110"/>
        <v>3.1660507549400001</v>
      </c>
      <c r="H217" s="11">
        <f t="shared" si="110"/>
        <v>3.48565078777</v>
      </c>
      <c r="I217" s="11">
        <f t="shared" si="110"/>
        <v>3.7945842086499999</v>
      </c>
      <c r="L217" s="11"/>
      <c r="M217" s="11" t="str">
        <f t="shared" si="7"/>
        <v>P Exhaust receiver</v>
      </c>
      <c r="N217" s="6" t="s">
        <v>20</v>
      </c>
      <c r="O217" s="11">
        <f>O201+O189/1000</f>
        <v>1.0039175967</v>
      </c>
      <c r="P217" s="11">
        <f>P201+P189/1000</f>
        <v>1.0039175967</v>
      </c>
      <c r="Q217" s="11">
        <f>Q201+Q189/1000</f>
        <v>1.0039175967</v>
      </c>
      <c r="R217" s="11">
        <f>R201+R189/1000</f>
        <v>1.0039175967</v>
      </c>
      <c r="S217" s="11">
        <f>S201+S189/1000</f>
        <v>1.0039175967</v>
      </c>
      <c r="T217" s="11"/>
      <c r="W217" s="11"/>
      <c r="X217" s="11" t="str">
        <f t="shared" si="91"/>
        <v>P Exhaust receiver</v>
      </c>
      <c r="Y217" s="9" t="str">
        <f t="shared" si="13"/>
        <v>bar</v>
      </c>
      <c r="Z217" s="97">
        <f t="shared" ref="Z217:AI217" si="111">Z201+Z189/1000</f>
        <v>3.2320000000000002</v>
      </c>
      <c r="AA217" s="97">
        <f t="shared" si="111"/>
        <v>3.5300000000000002</v>
      </c>
      <c r="AB217" s="97">
        <f t="shared" si="111"/>
        <v>3.5129999999999999</v>
      </c>
      <c r="AC217" s="97">
        <f t="shared" si="111"/>
        <v>3.1420000000000003</v>
      </c>
      <c r="AD217" s="97">
        <f t="shared" si="111"/>
        <v>3.2210000000000001</v>
      </c>
      <c r="AE217" s="97">
        <f t="shared" si="111"/>
        <v>1.024</v>
      </c>
      <c r="AF217" s="97">
        <f t="shared" si="111"/>
        <v>3.02</v>
      </c>
      <c r="AG217" s="97">
        <f t="shared" si="111"/>
        <v>1.022</v>
      </c>
      <c r="AH217" s="97">
        <f t="shared" si="111"/>
        <v>1.0109999999999999</v>
      </c>
      <c r="AI217" s="97">
        <f t="shared" si="111"/>
        <v>3.3209999999999997</v>
      </c>
      <c r="AJ217" s="97">
        <f t="shared" ref="AJ217:AK217" si="112">AJ201+AJ189/1000</f>
        <v>2.819</v>
      </c>
      <c r="AK217" s="97">
        <f t="shared" si="112"/>
        <v>2.6240000000000001</v>
      </c>
    </row>
    <row r="218" spans="1:38">
      <c r="B218" s="11" t="s">
        <v>66</v>
      </c>
      <c r="C218" s="6" t="s">
        <v>76</v>
      </c>
      <c r="D218">
        <f t="shared" ref="D218:I218" si="113">D196+273.15</f>
        <v>526.65</v>
      </c>
      <c r="E218" s="11">
        <f t="shared" si="113"/>
        <v>582.65</v>
      </c>
      <c r="F218" s="11">
        <f t="shared" si="113"/>
        <v>603.15</v>
      </c>
      <c r="G218" s="11">
        <f t="shared" si="113"/>
        <v>623.65</v>
      </c>
      <c r="H218" s="11">
        <f t="shared" si="113"/>
        <v>642.65</v>
      </c>
      <c r="I218" s="11">
        <f t="shared" si="113"/>
        <v>670.15</v>
      </c>
      <c r="L218" s="11"/>
      <c r="M218" s="11" t="str">
        <f t="shared" si="7"/>
        <v>T Exhaust receiver</v>
      </c>
      <c r="N218" s="6" t="s">
        <v>76</v>
      </c>
      <c r="O218" s="11">
        <f>O196+273.15</f>
        <v>623.15</v>
      </c>
      <c r="P218" s="11">
        <f>P196+273.15</f>
        <v>633.15</v>
      </c>
      <c r="Q218" s="11">
        <f>Q196+273.15</f>
        <v>665.15</v>
      </c>
      <c r="R218" s="11">
        <f>R196+273.15</f>
        <v>668.15</v>
      </c>
      <c r="S218" s="11">
        <f>S196+273.15</f>
        <v>669.65</v>
      </c>
      <c r="W218" s="11"/>
      <c r="X218" s="11" t="str">
        <f t="shared" si="91"/>
        <v>T Exhaust receiver</v>
      </c>
      <c r="Y218" s="9" t="str">
        <f t="shared" si="13"/>
        <v>K</v>
      </c>
      <c r="Z218" s="97">
        <f t="shared" ref="Z218:AI218" si="114">Z196+273.15</f>
        <v>643.15</v>
      </c>
      <c r="AA218" s="97">
        <f t="shared" si="114"/>
        <v>630.65</v>
      </c>
      <c r="AB218" s="97">
        <f t="shared" si="114"/>
        <v>640.65</v>
      </c>
      <c r="AC218" s="97">
        <f t="shared" si="114"/>
        <v>638.15</v>
      </c>
      <c r="AD218" s="97">
        <f t="shared" si="114"/>
        <v>663.15</v>
      </c>
      <c r="AE218" s="97">
        <f t="shared" si="114"/>
        <v>645.65</v>
      </c>
      <c r="AF218" s="97">
        <f t="shared" si="114"/>
        <v>648.15</v>
      </c>
      <c r="AG218" s="97">
        <f t="shared" si="114"/>
        <v>660.65</v>
      </c>
      <c r="AH218" s="97">
        <f t="shared" si="114"/>
        <v>664.15</v>
      </c>
      <c r="AI218" s="97">
        <f t="shared" si="114"/>
        <v>658.15</v>
      </c>
      <c r="AJ218" s="97">
        <f t="shared" ref="AJ218:AK218" si="115">AJ196+273.15</f>
        <v>649.65</v>
      </c>
      <c r="AK218" s="97">
        <f t="shared" si="115"/>
        <v>648.15</v>
      </c>
    </row>
    <row r="219" spans="1:38" s="11" customFormat="1">
      <c r="C219" s="6"/>
      <c r="M219" s="11">
        <f t="shared" si="7"/>
        <v>0</v>
      </c>
      <c r="N219" s="6"/>
      <c r="Y219" s="9"/>
      <c r="Z219" s="97"/>
      <c r="AA219" s="97"/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</row>
    <row r="220" spans="1:38">
      <c r="A220" s="4">
        <v>2</v>
      </c>
      <c r="B220" s="4" t="s">
        <v>67</v>
      </c>
      <c r="L220" s="4">
        <v>2</v>
      </c>
      <c r="M220" s="4" t="str">
        <f t="shared" si="7"/>
        <v>Cylinder Data</v>
      </c>
      <c r="N220" s="6"/>
      <c r="O220" s="11"/>
      <c r="P220" s="11"/>
      <c r="Q220" s="11"/>
      <c r="R220" s="11"/>
      <c r="S220" s="11"/>
      <c r="W220" s="4">
        <v>2</v>
      </c>
      <c r="X220" s="4" t="str">
        <f>B220</f>
        <v>Cylinder Data</v>
      </c>
    </row>
    <row r="221" spans="1:38">
      <c r="B221" t="s">
        <v>68</v>
      </c>
      <c r="C221" s="6" t="s">
        <v>69</v>
      </c>
      <c r="D221">
        <f t="shared" ref="D221:I221" si="116">D148/60/D27/$C$6</f>
        <v>3.7935540069686406E-2</v>
      </c>
      <c r="E221" s="11">
        <f t="shared" si="116"/>
        <v>5.6839557399723378E-2</v>
      </c>
      <c r="F221" s="11">
        <f t="shared" si="116"/>
        <v>7.3069963811821473E-2</v>
      </c>
      <c r="G221" s="11">
        <f t="shared" si="116"/>
        <v>8.2013651877133095E-2</v>
      </c>
      <c r="H221" s="11">
        <f t="shared" si="116"/>
        <v>8.9285714285714288E-2</v>
      </c>
      <c r="I221" s="11">
        <f t="shared" si="116"/>
        <v>9.6895390070921975E-2</v>
      </c>
      <c r="L221" s="11"/>
      <c r="M221" s="11" t="str">
        <f t="shared" si="7"/>
        <v>WFCY</v>
      </c>
      <c r="N221" s="6" t="s">
        <v>69</v>
      </c>
      <c r="O221" s="11">
        <f>O148/60/O27/$C$6</f>
        <v>0</v>
      </c>
      <c r="P221" s="11">
        <f>P148/60/P27/$C$6</f>
        <v>0</v>
      </c>
      <c r="Q221" s="11">
        <f>Q148/60/Q27/$C$6</f>
        <v>0</v>
      </c>
      <c r="R221" s="11">
        <f>R148/60/R27/$C$6</f>
        <v>0</v>
      </c>
      <c r="S221" s="11">
        <f>S148/60/S27/$C$6</f>
        <v>0</v>
      </c>
      <c r="W221" s="11"/>
      <c r="X221" s="11" t="str">
        <f>B221</f>
        <v>WFCY</v>
      </c>
      <c r="Y221" s="9" t="str">
        <f t="shared" ref="Y221:Y254" si="117">N221</f>
        <v>kg/cycle</v>
      </c>
      <c r="Z221" s="97">
        <f t="shared" ref="Z221:AI221" si="118">Z148/60/Z27/$C$6</f>
        <v>9.1103071257998255E-2</v>
      </c>
      <c r="AA221" s="97">
        <f t="shared" si="118"/>
        <v>8.2120749101441945E-2</v>
      </c>
      <c r="AB221" s="97">
        <f t="shared" si="118"/>
        <v>8.234869445878619E-2</v>
      </c>
      <c r="AC221" s="97">
        <f t="shared" si="118"/>
        <v>9.6276338754419807E-2</v>
      </c>
      <c r="AD221" s="97">
        <f t="shared" si="118"/>
        <v>9.6260691175033053E-2</v>
      </c>
      <c r="AE221" s="97">
        <f t="shared" si="118"/>
        <v>8.5020665237788631E-2</v>
      </c>
      <c r="AF221" s="97">
        <f t="shared" si="118"/>
        <v>8.463022095751388E-2</v>
      </c>
      <c r="AG221" s="97">
        <f t="shared" si="118"/>
        <v>9.6667310074639343E-2</v>
      </c>
      <c r="AH221" s="97">
        <f t="shared" si="118"/>
        <v>9.7995297116490229E-2</v>
      </c>
      <c r="AI221" s="97">
        <f t="shared" si="118"/>
        <v>9.5067174674043686E-2</v>
      </c>
      <c r="AJ221" s="97">
        <f t="shared" ref="AJ221:AK221" si="119">AJ148/60/AJ27/$C$6</f>
        <v>9.3662496732003789E-2</v>
      </c>
      <c r="AK221" s="97">
        <f t="shared" si="119"/>
        <v>8.7788205795165608E-2</v>
      </c>
    </row>
    <row r="222" spans="1:38">
      <c r="B222" s="11" t="s">
        <v>75</v>
      </c>
      <c r="C222" s="6" t="s">
        <v>69</v>
      </c>
      <c r="D222">
        <f t="shared" ref="D222:I222" si="120">D221*D202/42700</f>
        <v>3.7393515296330442E-2</v>
      </c>
      <c r="E222" s="11">
        <f t="shared" si="120"/>
        <v>5.6027431141321776E-2</v>
      </c>
      <c r="F222" s="11">
        <f t="shared" si="120"/>
        <v>7.2025936746397429E-2</v>
      </c>
      <c r="G222" s="11">
        <f t="shared" si="120"/>
        <v>8.0841836977723763E-2</v>
      </c>
      <c r="H222" s="11">
        <f t="shared" si="120"/>
        <v>8.8009995817999329E-2</v>
      </c>
      <c r="I222" s="11">
        <f t="shared" si="120"/>
        <v>9.5510944199162867E-2</v>
      </c>
      <c r="L222" s="11"/>
      <c r="M222" s="11" t="str">
        <f t="shared" si="7"/>
        <v>WFCY corrected</v>
      </c>
      <c r="N222" s="6" t="s">
        <v>69</v>
      </c>
      <c r="O222" s="11">
        <f>O221*O202/42700</f>
        <v>0</v>
      </c>
      <c r="P222" s="11">
        <f>P221*P202/42700</f>
        <v>0</v>
      </c>
      <c r="Q222" s="11">
        <f>Q221*Q202/42700</f>
        <v>0</v>
      </c>
      <c r="R222" s="11">
        <f>R221*R202/42700</f>
        <v>0</v>
      </c>
      <c r="S222" s="11">
        <f>S221*S202/42700</f>
        <v>0</v>
      </c>
      <c r="W222" s="11"/>
      <c r="X222" s="11" t="str">
        <f>B222</f>
        <v>WFCY corrected</v>
      </c>
      <c r="Y222" s="9" t="str">
        <f t="shared" si="117"/>
        <v>kg/cycle</v>
      </c>
      <c r="Z222" s="97">
        <f t="shared" ref="Z222:AI222" si="121">Z221*Z202/42700</f>
        <v>8.7881393562457805E-2</v>
      </c>
      <c r="AA222" s="97">
        <f t="shared" si="121"/>
        <v>7.9062857038882398E-2</v>
      </c>
      <c r="AB222" s="97">
        <f t="shared" si="121"/>
        <v>7.9378741543879153E-2</v>
      </c>
      <c r="AC222" s="97">
        <f t="shared" si="121"/>
        <v>9.2804077356719417E-2</v>
      </c>
      <c r="AD222" s="97">
        <f t="shared" si="121"/>
        <v>9.6328321637216927E-2</v>
      </c>
      <c r="AE222" s="97">
        <f t="shared" si="121"/>
        <v>8.5080398726246093E-2</v>
      </c>
      <c r="AF222" s="97">
        <f t="shared" si="121"/>
        <v>8.4689680129146794E-2</v>
      </c>
      <c r="AG222" s="97">
        <f t="shared" si="121"/>
        <v>9.8048271647134186E-2</v>
      </c>
      <c r="AH222" s="97">
        <f t="shared" si="121"/>
        <v>9.4828235991882351E-2</v>
      </c>
      <c r="AI222" s="97">
        <f t="shared" si="121"/>
        <v>9.1994746078020731E-2</v>
      </c>
      <c r="AJ222" s="97">
        <f t="shared" ref="AJ222:AK222" si="122">AJ221*AJ202/42700</f>
        <v>9.0635465221695466E-2</v>
      </c>
      <c r="AK222" s="97">
        <f t="shared" si="122"/>
        <v>8.9247916008621517E-2</v>
      </c>
    </row>
    <row r="223" spans="1:38">
      <c r="B223" t="s">
        <v>131</v>
      </c>
      <c r="C223" s="6" t="s">
        <v>76</v>
      </c>
      <c r="D223">
        <f t="shared" ref="D223:I223" si="123">D111+273.15</f>
        <v>343.84999999999997</v>
      </c>
      <c r="E223" s="11">
        <f t="shared" si="123"/>
        <v>347.84999999999997</v>
      </c>
      <c r="F223" s="11">
        <f t="shared" si="123"/>
        <v>347.95</v>
      </c>
      <c r="G223" s="11">
        <f t="shared" si="123"/>
        <v>348.84999999999997</v>
      </c>
      <c r="H223" s="11">
        <f t="shared" si="123"/>
        <v>349.65</v>
      </c>
      <c r="I223" s="11">
        <f t="shared" si="123"/>
        <v>350.95</v>
      </c>
      <c r="L223" s="11"/>
      <c r="M223" s="11" t="str">
        <f t="shared" si="7"/>
        <v>Cooling Water Temperature</v>
      </c>
      <c r="N223" s="6" t="s">
        <v>76</v>
      </c>
      <c r="O223" s="11">
        <f>O111+273.15</f>
        <v>354.65</v>
      </c>
      <c r="P223" s="11">
        <f>P111+273.15</f>
        <v>354.45</v>
      </c>
      <c r="Q223" s="11">
        <f>Q111+273.15</f>
        <v>351.65</v>
      </c>
      <c r="R223" s="11">
        <f>R111+273.15</f>
        <v>352.15</v>
      </c>
      <c r="S223" s="11">
        <f>S111+273.15</f>
        <v>352.15</v>
      </c>
      <c r="W223" s="11"/>
      <c r="X223" s="11" t="str">
        <f>B223</f>
        <v>Cooling Water Temperature</v>
      </c>
      <c r="Y223" s="9" t="str">
        <f t="shared" si="117"/>
        <v>K</v>
      </c>
      <c r="Z223" s="97">
        <f t="shared" ref="Z223:AI223" si="124">Z111+273.15</f>
        <v>353.81666666666666</v>
      </c>
      <c r="AA223" s="97">
        <f t="shared" si="124"/>
        <v>354.15</v>
      </c>
      <c r="AB223" s="97">
        <f t="shared" si="124"/>
        <v>354.15</v>
      </c>
      <c r="AC223" s="97">
        <f t="shared" si="124"/>
        <v>354.15</v>
      </c>
      <c r="AD223" s="97">
        <f t="shared" si="124"/>
        <v>353.48333333333329</v>
      </c>
      <c r="AE223" s="97">
        <f t="shared" si="124"/>
        <v>353.31666666666666</v>
      </c>
      <c r="AF223" s="97">
        <f t="shared" si="124"/>
        <v>353.31666666666666</v>
      </c>
      <c r="AG223" s="97">
        <f t="shared" si="124"/>
        <v>353.15</v>
      </c>
      <c r="AH223" s="97">
        <f t="shared" si="124"/>
        <v>352.98333333333329</v>
      </c>
      <c r="AI223" s="97">
        <f t="shared" si="124"/>
        <v>352.65</v>
      </c>
      <c r="AJ223" s="97">
        <f t="shared" ref="AJ223:AK223" si="125">AJ111+273.15</f>
        <v>353.98333333333329</v>
      </c>
      <c r="AK223" s="97">
        <f t="shared" si="125"/>
        <v>353.98333333333329</v>
      </c>
    </row>
    <row r="224" spans="1:38">
      <c r="B224" t="s">
        <v>258</v>
      </c>
      <c r="C224" s="6" t="s">
        <v>76</v>
      </c>
      <c r="D224" s="11">
        <f>D113+273.15</f>
        <v>315.95</v>
      </c>
      <c r="E224" s="11">
        <f t="shared" ref="E224:I224" si="126">E113+273.15</f>
        <v>318.14999999999998</v>
      </c>
      <c r="F224" s="11">
        <f t="shared" si="126"/>
        <v>319.14999999999998</v>
      </c>
      <c r="G224" s="11">
        <f t="shared" si="126"/>
        <v>320.14999999999998</v>
      </c>
      <c r="H224" s="11">
        <f t="shared" si="126"/>
        <v>321.14999999999998</v>
      </c>
      <c r="I224" s="11">
        <f t="shared" si="126"/>
        <v>323.95</v>
      </c>
      <c r="L224" s="11"/>
      <c r="M224" s="11" t="str">
        <f t="shared" si="7"/>
        <v>Piston Cooling Oil Temperature</v>
      </c>
      <c r="N224" s="6" t="s">
        <v>76</v>
      </c>
      <c r="O224" s="11">
        <f>O113+273.15</f>
        <v>322.34999999999997</v>
      </c>
      <c r="P224" s="11">
        <f>P113+273.15</f>
        <v>322.34999999999997</v>
      </c>
      <c r="Q224" s="11">
        <f>Q113+273.15</f>
        <v>324.34999999999997</v>
      </c>
      <c r="R224" s="11">
        <f>R113+273.15</f>
        <v>323.84999999999997</v>
      </c>
      <c r="S224" s="11">
        <f>S113+273.15</f>
        <v>324.14999999999998</v>
      </c>
      <c r="W224" s="11"/>
      <c r="X224" s="11" t="str">
        <f>B224</f>
        <v>Piston Cooling Oil Temperature</v>
      </c>
      <c r="Y224" s="9" t="str">
        <f t="shared" si="117"/>
        <v>K</v>
      </c>
      <c r="Z224" s="97">
        <f t="shared" ref="Z224:AI224" si="127">Z113+273.15</f>
        <v>323.98333333333329</v>
      </c>
      <c r="AA224" s="97">
        <f t="shared" si="127"/>
        <v>323.81666666666666</v>
      </c>
      <c r="AB224" s="97">
        <f t="shared" si="127"/>
        <v>323.98333333333329</v>
      </c>
      <c r="AC224" s="97">
        <f t="shared" si="127"/>
        <v>323.64999999999998</v>
      </c>
      <c r="AD224" s="97">
        <f t="shared" si="127"/>
        <v>324.98333333333329</v>
      </c>
      <c r="AE224" s="97">
        <f t="shared" si="127"/>
        <v>324.31666666666666</v>
      </c>
      <c r="AF224" s="97">
        <f t="shared" si="127"/>
        <v>324.14999999999998</v>
      </c>
      <c r="AG224" s="97">
        <f t="shared" si="127"/>
        <v>324.14999999999998</v>
      </c>
      <c r="AH224" s="97">
        <f t="shared" si="127"/>
        <v>325.98333333333329</v>
      </c>
      <c r="AI224" s="97">
        <f t="shared" si="127"/>
        <v>326.81666666666666</v>
      </c>
      <c r="AJ224" s="97">
        <f t="shared" ref="AJ224:AK224" si="128">AJ113+273.15</f>
        <v>326.64999999999998</v>
      </c>
      <c r="AK224" s="97">
        <f t="shared" si="128"/>
        <v>325.64999999999998</v>
      </c>
    </row>
    <row r="225" spans="1:38" s="11" customFormat="1">
      <c r="C225" s="6"/>
      <c r="M225" s="11">
        <f t="shared" si="7"/>
        <v>0</v>
      </c>
      <c r="N225" s="6"/>
      <c r="Y225" s="9"/>
      <c r="Z225" s="97"/>
      <c r="AA225" s="97"/>
      <c r="AB225" s="97"/>
      <c r="AC225" s="97"/>
      <c r="AD225" s="97"/>
      <c r="AE225" s="97"/>
      <c r="AF225" s="97"/>
      <c r="AG225" s="97"/>
      <c r="AH225" s="97"/>
      <c r="AI225" s="97"/>
      <c r="AJ225" s="97"/>
      <c r="AK225" s="97"/>
      <c r="AL225" s="97"/>
    </row>
    <row r="226" spans="1:38">
      <c r="A226" s="4">
        <v>3</v>
      </c>
      <c r="B226" s="4" t="s">
        <v>81</v>
      </c>
      <c r="E226" s="11"/>
      <c r="F226" s="11"/>
      <c r="G226" s="11"/>
      <c r="H226" s="11"/>
      <c r="I226" s="11"/>
      <c r="L226" s="4">
        <v>3</v>
      </c>
      <c r="M226" s="4" t="str">
        <f t="shared" si="7"/>
        <v>Performance Data</v>
      </c>
      <c r="N226" s="6"/>
      <c r="O226" s="11"/>
      <c r="P226" s="11"/>
      <c r="Q226" s="11"/>
      <c r="R226" s="11"/>
      <c r="S226" s="11"/>
      <c r="W226" s="4">
        <v>3</v>
      </c>
      <c r="X226" s="4" t="str">
        <f t="shared" ref="X226:X254" si="129">B226</f>
        <v>Performance Data</v>
      </c>
    </row>
    <row r="227" spans="1:38">
      <c r="B227" t="s">
        <v>10</v>
      </c>
      <c r="C227" s="6" t="s">
        <v>82</v>
      </c>
      <c r="D227" s="9">
        <f t="shared" ref="D227:I227" si="130">IF($C$29="bhp",D29*$J$3,IF($C$29="kW",D29,D29*$J$2))</f>
        <v>4265.4032678399999</v>
      </c>
      <c r="E227" s="9">
        <f t="shared" si="130"/>
        <v>8553.9232317120004</v>
      </c>
      <c r="F227" s="9">
        <f t="shared" si="130"/>
        <v>12836.477596608</v>
      </c>
      <c r="G227" s="9">
        <f t="shared" si="130"/>
        <v>15401.685156288</v>
      </c>
      <c r="H227" s="9">
        <f t="shared" si="130"/>
        <v>17089.949666495999</v>
      </c>
      <c r="I227" s="9">
        <f t="shared" si="130"/>
        <v>18872.172360575998</v>
      </c>
      <c r="L227" s="11"/>
      <c r="M227" s="11" t="str">
        <f t="shared" si="7"/>
        <v>Brake Power</v>
      </c>
      <c r="N227" s="6" t="s">
        <v>82</v>
      </c>
      <c r="O227" s="9">
        <f>IF($N$29="bhp",O29*$J$3,IF($N$29="kW",O29,O29*$J$2))</f>
        <v>8265.3373812480004</v>
      </c>
      <c r="P227" s="9">
        <f>IF($N$29="bhp",P29*$J$3,IF($N$29="kW",P29,P29*$J$2))</f>
        <v>8826.8493848639991</v>
      </c>
      <c r="Q227" s="9">
        <f>IF($N$29="bhp",Q29*$J$3,IF($N$29="kW",Q29,Q29*$J$2))</f>
        <v>15227.19138624</v>
      </c>
      <c r="R227" s="9">
        <f>IF($N$29="bhp",R29*$J$3,IF($N$29="kW",R29,R29*$J$2))</f>
        <v>15769.315193184</v>
      </c>
      <c r="S227" s="9">
        <f>IF($N$29="bhp",S29*$J$3,IF($N$29="kW",S29,S29*$J$2))</f>
        <v>15644.78331456</v>
      </c>
      <c r="W227" s="11"/>
      <c r="X227" s="11" t="str">
        <f t="shared" si="129"/>
        <v>Brake Power</v>
      </c>
      <c r="Y227" s="9" t="str">
        <f t="shared" si="117"/>
        <v>kW</v>
      </c>
      <c r="Z227" s="114">
        <f t="shared" ref="Z227:AK227" si="131">IF($Y$29="bhp",Z29*$J$3,IF($Y$29="kW",Z29,Z29*$J$2))</f>
        <v>13977.389675683591</v>
      </c>
      <c r="AA227" s="114">
        <f t="shared" si="131"/>
        <v>13653.287507279116</v>
      </c>
      <c r="AB227" s="114">
        <f t="shared" si="131"/>
        <v>13271.045603280067</v>
      </c>
      <c r="AC227" s="114">
        <f t="shared" si="131"/>
        <v>14304.778478060769</v>
      </c>
      <c r="AD227" s="114">
        <f t="shared" si="131"/>
        <v>13815.525228590603</v>
      </c>
      <c r="AE227" s="114">
        <f t="shared" si="131"/>
        <v>13272.271642176616</v>
      </c>
      <c r="AF227" s="114">
        <f t="shared" si="131"/>
        <v>13252.34244060811</v>
      </c>
      <c r="AG227" s="114">
        <f t="shared" si="131"/>
        <v>13984.627553822911</v>
      </c>
      <c r="AH227" s="114">
        <f t="shared" si="131"/>
        <v>14533.865666731961</v>
      </c>
      <c r="AI227" s="114">
        <f t="shared" si="131"/>
        <v>14392.953131871192</v>
      </c>
      <c r="AJ227" s="114">
        <f t="shared" si="131"/>
        <v>13882.122811721558</v>
      </c>
      <c r="AK227" s="114">
        <f t="shared" si="131"/>
        <v>14241.412903407119</v>
      </c>
    </row>
    <row r="228" spans="1:38">
      <c r="B228" s="11" t="s">
        <v>83</v>
      </c>
      <c r="C228" s="6" t="s">
        <v>82</v>
      </c>
      <c r="D228" s="9">
        <f>D227/$C$6</f>
        <v>710.90054464000002</v>
      </c>
      <c r="E228" s="9">
        <f t="shared" ref="E228:I228" si="132">E227/$C$6</f>
        <v>1425.6538719520001</v>
      </c>
      <c r="F228" s="9">
        <f t="shared" si="132"/>
        <v>2139.4129327679998</v>
      </c>
      <c r="G228" s="9">
        <f t="shared" si="132"/>
        <v>2566.9475260479999</v>
      </c>
      <c r="H228" s="9">
        <f t="shared" si="132"/>
        <v>2848.3249444159997</v>
      </c>
      <c r="I228" s="9">
        <f t="shared" si="132"/>
        <v>3145.3620600959998</v>
      </c>
      <c r="L228" s="11"/>
      <c r="M228" s="11" t="str">
        <f t="shared" si="7"/>
        <v>Brake Power/cylinder</v>
      </c>
      <c r="N228" s="6" t="s">
        <v>82</v>
      </c>
      <c r="O228" s="9">
        <f>O227/$C$6</f>
        <v>1377.556230208</v>
      </c>
      <c r="P228" s="9">
        <f t="shared" ref="P228:S228" si="133">P227/$C$6</f>
        <v>1471.1415641439999</v>
      </c>
      <c r="Q228" s="9">
        <f t="shared" si="133"/>
        <v>2537.8652310399998</v>
      </c>
      <c r="R228" s="9">
        <f t="shared" si="133"/>
        <v>2628.2191988640002</v>
      </c>
      <c r="S228" s="9">
        <f t="shared" si="133"/>
        <v>2607.4638857599998</v>
      </c>
      <c r="W228" s="11"/>
      <c r="X228" s="11" t="str">
        <f t="shared" si="129"/>
        <v>Brake Power/cylinder</v>
      </c>
      <c r="Y228" s="9" t="str">
        <f t="shared" si="117"/>
        <v>kW</v>
      </c>
      <c r="Z228" s="114">
        <f t="shared" ref="Z228:AD228" si="134">Z227/$C$6</f>
        <v>2329.5649459472652</v>
      </c>
      <c r="AA228" s="114">
        <f t="shared" si="134"/>
        <v>2275.5479178798528</v>
      </c>
      <c r="AB228" s="114">
        <f t="shared" si="134"/>
        <v>2211.8409338800111</v>
      </c>
      <c r="AC228" s="114">
        <f t="shared" si="134"/>
        <v>2384.1297463434616</v>
      </c>
      <c r="AD228" s="114">
        <f t="shared" si="134"/>
        <v>2302.5875380984339</v>
      </c>
      <c r="AE228" s="114">
        <f t="shared" ref="AE228:AI228" si="135">AE227/$C$6</f>
        <v>2212.0452736961029</v>
      </c>
      <c r="AF228" s="114">
        <f t="shared" si="135"/>
        <v>2208.7237401013517</v>
      </c>
      <c r="AG228" s="114">
        <f t="shared" si="135"/>
        <v>2330.7712589704852</v>
      </c>
      <c r="AH228" s="114">
        <f t="shared" si="135"/>
        <v>2422.310944455327</v>
      </c>
      <c r="AI228" s="114">
        <f t="shared" si="135"/>
        <v>2398.8255219785319</v>
      </c>
      <c r="AJ228" s="114">
        <f t="shared" ref="AJ228:AK228" si="136">AJ227/$C$6</f>
        <v>2313.6871352869262</v>
      </c>
      <c r="AK228" s="114">
        <f t="shared" si="136"/>
        <v>2373.5688172345199</v>
      </c>
    </row>
    <row r="229" spans="1:38">
      <c r="B229" t="s">
        <v>84</v>
      </c>
      <c r="C229" s="6" t="s">
        <v>20</v>
      </c>
      <c r="D229" s="18">
        <f>60*D228/100/D27/$C$11</f>
        <v>6.8961105063648249</v>
      </c>
      <c r="E229" s="18">
        <f t="shared" ref="E229:I229" si="137">60*E228/100/E27/$C$11</f>
        <v>10.979512519955041</v>
      </c>
      <c r="F229" s="18">
        <f t="shared" si="137"/>
        <v>14.3696881724691</v>
      </c>
      <c r="G229" s="18">
        <f t="shared" si="137"/>
        <v>16.260555326045075</v>
      </c>
      <c r="H229" s="18">
        <f t="shared" si="137"/>
        <v>17.428314911187815</v>
      </c>
      <c r="I229" s="18">
        <f t="shared" si="137"/>
        <v>18.631595546603275</v>
      </c>
      <c r="L229" s="11"/>
      <c r="M229" s="11" t="str">
        <f t="shared" si="7"/>
        <v>BMEP</v>
      </c>
      <c r="N229" s="6" t="s">
        <v>20</v>
      </c>
      <c r="O229" s="18">
        <f>60*O228/100/O27/$C$11</f>
        <v>10.242188450137684</v>
      </c>
      <c r="P229" s="18">
        <f>60*P228/100/P27/$C$11</f>
        <v>10.936538992933329</v>
      </c>
      <c r="Q229" s="18">
        <f>60*Q228/100/Q27/$C$11</f>
        <v>15.578320933217329</v>
      </c>
      <c r="R229" s="18">
        <f>60*R228/100/R27/$C$11</f>
        <v>16.134724492491895</v>
      </c>
      <c r="S229" s="18">
        <f>60*S228/100/S27/$C$11</f>
        <v>15.989677746971083</v>
      </c>
      <c r="W229" s="11"/>
      <c r="X229" s="11" t="str">
        <f t="shared" si="129"/>
        <v>BMEP</v>
      </c>
      <c r="Y229" s="9" t="str">
        <f t="shared" si="117"/>
        <v>bar</v>
      </c>
      <c r="Z229" s="115">
        <f t="shared" ref="Z229:AI229" si="138">60*Z228/100/Z27/$C$11</f>
        <v>14.701085171991846</v>
      </c>
      <c r="AA229" s="115">
        <f t="shared" si="138"/>
        <v>14.008275411012919</v>
      </c>
      <c r="AB229" s="115">
        <f t="shared" si="138"/>
        <v>13.822399621481983</v>
      </c>
      <c r="AC229" s="115">
        <f t="shared" si="138"/>
        <v>14.532107181509183</v>
      </c>
      <c r="AD229" s="115">
        <f t="shared" si="138"/>
        <v>14.143457803399048</v>
      </c>
      <c r="AE229" s="115">
        <f t="shared" si="138"/>
        <v>13.721012827192386</v>
      </c>
      <c r="AF229" s="115">
        <f t="shared" si="138"/>
        <v>13.805501822433717</v>
      </c>
      <c r="AG229" s="115">
        <f t="shared" si="138"/>
        <v>14.380026990074784</v>
      </c>
      <c r="AH229" s="115">
        <f t="shared" si="138"/>
        <v>15.07283675105371</v>
      </c>
      <c r="AI229" s="115">
        <f t="shared" si="138"/>
        <v>14.95455215771584</v>
      </c>
      <c r="AJ229" s="115">
        <f t="shared" ref="AJ229:AK229" si="139">60*AJ228/100/AJ27/$C$11</f>
        <v>14.396924789123046</v>
      </c>
      <c r="AK229" s="115">
        <f t="shared" si="139"/>
        <v>15.191121344391572</v>
      </c>
    </row>
    <row r="230" spans="1:38" s="11" customFormat="1">
      <c r="B230" s="11" t="s">
        <v>39</v>
      </c>
      <c r="C230" s="6" t="s">
        <v>87</v>
      </c>
      <c r="D230" s="16">
        <f t="shared" ref="D230:I230" si="140">IF($C$149="g/kWh",D149,D149/$J$18)</f>
        <v>183.78707727604385</v>
      </c>
      <c r="E230" s="16">
        <f t="shared" si="140"/>
        <v>172.95161879818588</v>
      </c>
      <c r="F230" s="16">
        <f t="shared" si="140"/>
        <v>169.88067821473356</v>
      </c>
      <c r="G230" s="16">
        <f t="shared" si="140"/>
        <v>168.49942546322444</v>
      </c>
      <c r="H230" s="16">
        <f t="shared" si="140"/>
        <v>171.15464919913518</v>
      </c>
      <c r="I230" s="16">
        <f t="shared" si="140"/>
        <v>173.74282183060373</v>
      </c>
      <c r="M230" s="11" t="str">
        <f t="shared" si="7"/>
        <v>bsfc</v>
      </c>
      <c r="N230" s="6" t="s">
        <v>87</v>
      </c>
      <c r="O230" s="16">
        <f>IF($N$149="g/kWh",O149,O149/$J$18)</f>
        <v>0</v>
      </c>
      <c r="P230" s="16">
        <f>IF($N$149="g/kWh",P149,P149/$J$18)</f>
        <v>0</v>
      </c>
      <c r="Q230" s="16">
        <f>IF($N$149="g/kWh",Q149,Q149/$J$18)</f>
        <v>0</v>
      </c>
      <c r="R230" s="16">
        <f>IF($N$149="g/kWh",R149,R149/$J$18)</f>
        <v>0</v>
      </c>
      <c r="S230" s="16">
        <f>IF($N$149="g/kWh",S149,S149/$J$18)</f>
        <v>174.98997237322848</v>
      </c>
      <c r="X230" s="11" t="str">
        <f t="shared" si="129"/>
        <v>bsfc</v>
      </c>
      <c r="Y230" s="9" t="str">
        <f t="shared" si="117"/>
        <v>g/kWh</v>
      </c>
      <c r="Z230" s="113">
        <f t="shared" ref="Z230:AK230" si="141">IF($Y$149="g/kWh",Z149,Z149/$J$18)</f>
        <v>207.03421901969185</v>
      </c>
      <c r="AA230" s="113">
        <f t="shared" si="141"/>
        <v>195.8514263187916</v>
      </c>
      <c r="AB230" s="113">
        <f t="shared" si="141"/>
        <v>199.03606712097911</v>
      </c>
      <c r="AC230" s="113">
        <f t="shared" si="141"/>
        <v>221.33468764537409</v>
      </c>
      <c r="AD230" s="113">
        <f t="shared" si="141"/>
        <v>227.37980234765905</v>
      </c>
      <c r="AE230" s="113">
        <f t="shared" si="141"/>
        <v>207.01262691861166</v>
      </c>
      <c r="AF230" s="113">
        <f t="shared" si="141"/>
        <v>204.80086432047617</v>
      </c>
      <c r="AG230" s="113">
        <f t="shared" si="141"/>
        <v>224.58380763000503</v>
      </c>
      <c r="AH230" s="113">
        <f t="shared" si="141"/>
        <v>217.20446395321946</v>
      </c>
      <c r="AI230" s="113">
        <f t="shared" si="141"/>
        <v>212.38101079481487</v>
      </c>
      <c r="AJ230" s="113">
        <f t="shared" si="141"/>
        <v>217.3474266613691</v>
      </c>
      <c r="AK230" s="113">
        <f t="shared" si="141"/>
        <v>193.06557742222262</v>
      </c>
      <c r="AL230" s="97"/>
    </row>
    <row r="231" spans="1:38" s="11" customFormat="1">
      <c r="B231" s="11" t="s">
        <v>102</v>
      </c>
      <c r="C231" s="6" t="s">
        <v>87</v>
      </c>
      <c r="D231" s="16">
        <f t="shared" ref="D231:I231" si="142">IF($C$150="g/kWh",D150,D150/$J$18)</f>
        <v>181.68167259655905</v>
      </c>
      <c r="E231" s="16">
        <f t="shared" si="142"/>
        <v>170.80598345603579</v>
      </c>
      <c r="F231" s="16">
        <f t="shared" si="142"/>
        <v>167.77527353524877</v>
      </c>
      <c r="G231" s="16">
        <f t="shared" si="142"/>
        <v>166.3001492375206</v>
      </c>
      <c r="H231" s="16">
        <f t="shared" si="142"/>
        <v>168.75421966010475</v>
      </c>
      <c r="I231" s="16">
        <f t="shared" si="142"/>
        <v>171.08759809469299</v>
      </c>
      <c r="M231" s="11" t="str">
        <f t="shared" si="7"/>
        <v>bsfc corrected (recorded)</v>
      </c>
      <c r="N231" s="6" t="s">
        <v>87</v>
      </c>
      <c r="O231" s="16">
        <f>IF($N$150="g/kWh",O150,O150/$J$18)</f>
        <v>0</v>
      </c>
      <c r="P231" s="16">
        <f>IF($N$150="g/kWh",P150,P150/$J$18)</f>
        <v>0</v>
      </c>
      <c r="Q231" s="16">
        <f>IF($N$150="g/kWh",Q150,Q150/$J$18)</f>
        <v>0</v>
      </c>
      <c r="R231" s="16">
        <f>IF($N$150="g/kWh",R150,R150/$J$18)</f>
        <v>0</v>
      </c>
      <c r="S231" s="16">
        <f>IF($N$150="g/kWh",S150,S150/$J$18)</f>
        <v>174.18535911992217</v>
      </c>
      <c r="X231" s="11" t="str">
        <f t="shared" si="129"/>
        <v>bsfc corrected (recorded)</v>
      </c>
      <c r="Y231" s="9" t="str">
        <f t="shared" si="117"/>
        <v>g/kWh</v>
      </c>
      <c r="Z231" s="113">
        <f t="shared" ref="Z231:AK231" si="143">IF($Y$150="g/kWh",Z150,Z150/$J$18)</f>
        <v>199.6801339691645</v>
      </c>
      <c r="AA231" s="113">
        <f t="shared" si="143"/>
        <v>188.52769185298715</v>
      </c>
      <c r="AB231" s="113">
        <f t="shared" si="143"/>
        <v>191.82627022969302</v>
      </c>
      <c r="AC231" s="113">
        <f t="shared" si="143"/>
        <v>213.31715511470244</v>
      </c>
      <c r="AD231" s="113">
        <f t="shared" si="143"/>
        <v>227.50225851301829</v>
      </c>
      <c r="AE231" s="113">
        <f t="shared" si="143"/>
        <v>207.12411427242083</v>
      </c>
      <c r="AF231" s="113">
        <f t="shared" si="143"/>
        <v>204.91116052202091</v>
      </c>
      <c r="AG231" s="113">
        <f t="shared" si="143"/>
        <v>227.7548108847617</v>
      </c>
      <c r="AH231" s="113">
        <f t="shared" si="143"/>
        <v>210.15029036333689</v>
      </c>
      <c r="AI231" s="113">
        <f t="shared" si="143"/>
        <v>205.48348903087904</v>
      </c>
      <c r="AJ231" s="113">
        <f t="shared" si="143"/>
        <v>210.28861005567634</v>
      </c>
      <c r="AK231" s="113">
        <f t="shared" si="143"/>
        <v>196.243630222181</v>
      </c>
      <c r="AL231" s="97"/>
    </row>
    <row r="232" spans="1:38" s="11" customFormat="1">
      <c r="B232" s="11" t="s">
        <v>236</v>
      </c>
      <c r="C232" s="6" t="s">
        <v>87</v>
      </c>
      <c r="D232" s="16">
        <f t="shared" ref="D232:I232" si="144">D233*(1+(25-D24)*0.0002-(1000-D189)*0.00002+(25-D207)*0.0006)</f>
        <v>181.92242073443367</v>
      </c>
      <c r="E232" s="16">
        <f t="shared" si="144"/>
        <v>171.07960558191274</v>
      </c>
      <c r="F232" s="16">
        <f t="shared" si="144"/>
        <v>168.01712159563075</v>
      </c>
      <c r="G232" s="16">
        <f t="shared" si="144"/>
        <v>166.53054898978638</v>
      </c>
      <c r="H232" s="16">
        <f t="shared" si="144"/>
        <v>169.03530106465874</v>
      </c>
      <c r="I232" s="16">
        <f t="shared" si="144"/>
        <v>171.34800747844241</v>
      </c>
      <c r="M232" s="11" t="s">
        <v>236</v>
      </c>
      <c r="N232" s="6" t="s">
        <v>87</v>
      </c>
      <c r="O232" s="16">
        <f>O233*(1+(25-O24)*0.0002-(1000-O189)*0.00002+(25-O207)*0.0006)</f>
        <v>0</v>
      </c>
      <c r="P232" s="16">
        <f>P233*(1+(25-P24)*0.0002-(1000-P189)*0.00002+(25-P207)*0.0006)</f>
        <v>0</v>
      </c>
      <c r="Q232" s="16">
        <f>Q233*(1+(25-Q24)*0.0002-(1000-Q189)*0.00002+(25-Q207)*0.0006)</f>
        <v>0</v>
      </c>
      <c r="R232" s="16">
        <f>R233*(1+(25-R24)*0.0002-(1000-R189)*0.00002+(25-R207)*0.0006)</f>
        <v>0</v>
      </c>
      <c r="S232" s="16">
        <f>S233*(1+(25-S24)*0.0002-(1000-S189)*0.00002+(25-S207)*0.0006)</f>
        <v>162.90517346952944</v>
      </c>
      <c r="X232" s="11" t="s">
        <v>236</v>
      </c>
      <c r="Y232" s="6" t="s">
        <v>87</v>
      </c>
      <c r="Z232" s="113">
        <f t="shared" ref="Z232:AK232" si="145">Z233*(1+(25-Z24)*0.0002-(1000-Z189)*0.00002+(25-Z207)*0.0006)</f>
        <v>198.28292427948784</v>
      </c>
      <c r="AA232" s="113">
        <f t="shared" si="145"/>
        <v>187.69122848103234</v>
      </c>
      <c r="AB232" s="113">
        <f t="shared" si="145"/>
        <v>190.52622460215377</v>
      </c>
      <c r="AC232" s="113">
        <f t="shared" si="145"/>
        <v>212.33656902446407</v>
      </c>
      <c r="AD232" s="113">
        <f t="shared" si="145"/>
        <v>225.26870921666045</v>
      </c>
      <c r="AE232" s="113">
        <f t="shared" si="145"/>
        <v>205.76596682126828</v>
      </c>
      <c r="AF232" s="113">
        <f t="shared" si="145"/>
        <v>203.18222764391538</v>
      </c>
      <c r="AG232" s="113">
        <f t="shared" si="145"/>
        <v>225.93336381345486</v>
      </c>
      <c r="AH232" s="113">
        <f t="shared" si="145"/>
        <v>208.4654300473432</v>
      </c>
      <c r="AI232" s="113">
        <f t="shared" si="145"/>
        <v>203.83604435849011</v>
      </c>
      <c r="AJ232" s="113">
        <f t="shared" si="145"/>
        <v>208.72042170128938</v>
      </c>
      <c r="AK232" s="113">
        <f t="shared" si="145"/>
        <v>194.91757276404368</v>
      </c>
      <c r="AL232" s="97"/>
    </row>
    <row r="233" spans="1:38" s="11" customFormat="1">
      <c r="B233" s="11" t="s">
        <v>235</v>
      </c>
      <c r="C233" s="6" t="s">
        <v>87</v>
      </c>
      <c r="D233" s="16">
        <f t="shared" ref="D233:I233" si="146">D230*D202/42700</f>
        <v>181.16111890762971</v>
      </c>
      <c r="E233" s="16">
        <f t="shared" si="146"/>
        <v>170.48047796801899</v>
      </c>
      <c r="F233" s="16">
        <f t="shared" si="146"/>
        <v>167.453415127461</v>
      </c>
      <c r="G233" s="16">
        <f t="shared" si="146"/>
        <v>166.09189777996113</v>
      </c>
      <c r="H233" s="16">
        <f t="shared" si="146"/>
        <v>168.70918355476672</v>
      </c>
      <c r="I233" s="16">
        <f t="shared" si="146"/>
        <v>171.26037625445096</v>
      </c>
      <c r="M233" s="11" t="str">
        <f t="shared" si="7"/>
        <v>bsfc corrected (LHV)</v>
      </c>
      <c r="N233" s="6" t="s">
        <v>87</v>
      </c>
      <c r="O233" s="16">
        <f>O230*O202/42700</f>
        <v>0</v>
      </c>
      <c r="P233" s="16">
        <f>P230*P202/42700</f>
        <v>0</v>
      </c>
      <c r="Q233" s="16">
        <f>Q230*Q202/42700</f>
        <v>0</v>
      </c>
      <c r="R233" s="16">
        <f>R230*R202/42700</f>
        <v>0</v>
      </c>
      <c r="S233" s="16">
        <f>S230*S202/42700</f>
        <v>164.30532562991715</v>
      </c>
      <c r="X233" s="11" t="str">
        <f t="shared" si="129"/>
        <v>bsfc corrected (LHV)</v>
      </c>
      <c r="Y233" s="9" t="str">
        <f t="shared" si="117"/>
        <v>g/kWh</v>
      </c>
      <c r="Z233" s="113">
        <f t="shared" ref="Z233:AI233" si="147">Z230*Z202/42700</f>
        <v>199.71286841735613</v>
      </c>
      <c r="AA233" s="113">
        <f t="shared" si="147"/>
        <v>188.55859803197944</v>
      </c>
      <c r="AB233" s="113">
        <f t="shared" si="147"/>
        <v>191.85771715923889</v>
      </c>
      <c r="AC233" s="113">
        <f t="shared" si="147"/>
        <v>213.35212514013108</v>
      </c>
      <c r="AD233" s="113">
        <f t="shared" si="147"/>
        <v>227.53955396523349</v>
      </c>
      <c r="AE233" s="113">
        <f t="shared" si="147"/>
        <v>207.15806904525238</v>
      </c>
      <c r="AF233" s="113">
        <f t="shared" si="147"/>
        <v>204.94475251554911</v>
      </c>
      <c r="AG233" s="113">
        <f t="shared" si="147"/>
        <v>227.79214773900512</v>
      </c>
      <c r="AH233" s="113">
        <f t="shared" si="147"/>
        <v>210.18474123060957</v>
      </c>
      <c r="AI233" s="113">
        <f t="shared" si="147"/>
        <v>205.51717484875292</v>
      </c>
      <c r="AJ233" s="113">
        <f t="shared" ref="AJ233:AK233" si="148">AJ230*AJ202/42700</f>
        <v>210.32308359830847</v>
      </c>
      <c r="AK233" s="113">
        <f t="shared" si="148"/>
        <v>196.27580130910266</v>
      </c>
      <c r="AL233" s="97"/>
    </row>
    <row r="234" spans="1:38">
      <c r="B234" t="s">
        <v>11</v>
      </c>
      <c r="C234" s="6" t="s">
        <v>82</v>
      </c>
      <c r="D234" s="9">
        <f t="shared" ref="D234:I234" si="149">IF($C$30="bhp",D30*$J$3,IF($C$30="kW",D30,D30*$J$2))</f>
        <v>4894.7739598079997</v>
      </c>
      <c r="E234" s="9">
        <f t="shared" si="149"/>
        <v>9345.8564957759991</v>
      </c>
      <c r="F234" s="9">
        <f t="shared" si="149"/>
        <v>13746.231440448</v>
      </c>
      <c r="G234" s="9">
        <f t="shared" si="149"/>
        <v>16356.926692319999</v>
      </c>
      <c r="H234" s="9">
        <f t="shared" si="149"/>
        <v>18088.441795104001</v>
      </c>
      <c r="I234" s="9">
        <f t="shared" si="149"/>
        <v>19905.712383168</v>
      </c>
      <c r="L234" s="11"/>
      <c r="M234" s="11" t="str">
        <f t="shared" si="7"/>
        <v>Indicated Power</v>
      </c>
      <c r="N234" s="6" t="s">
        <v>82</v>
      </c>
      <c r="O234" s="9">
        <f>IF($N$30="bhp",O30*$J$3,IF($N$30="kW",O30,O30*$J$2))</f>
        <v>0</v>
      </c>
      <c r="P234" s="9">
        <f>IF($N$30="bhp",P30*$J$3,IF($N$30="kW",P30,P30*$J$2))</f>
        <v>0</v>
      </c>
      <c r="Q234" s="9">
        <f>IF($N$30="bhp",Q30*$J$3,IF($N$30="kW",Q30,Q30*$J$2))</f>
        <v>0</v>
      </c>
      <c r="R234" s="9">
        <f>IF($N$30="bhp",R30*$J$3,IF($N$30="kW",R30,R30*$J$2))</f>
        <v>0</v>
      </c>
      <c r="S234" s="9">
        <f>IF($N$30="bhp",S30*$J$3,IF($N$30="kW",S30,S30*$J$2))</f>
        <v>0</v>
      </c>
      <c r="T234" s="9"/>
      <c r="W234" s="11"/>
      <c r="X234" s="11" t="str">
        <f t="shared" si="129"/>
        <v>Indicated Power</v>
      </c>
      <c r="Y234" s="9" t="str">
        <f t="shared" si="117"/>
        <v>kW</v>
      </c>
      <c r="Z234" s="114">
        <f t="shared" ref="Z234:AK234" si="150">IF($Y$30="bhp",Z30*$J$3,IF($Y$30="kW",Z30,Z30*$J$2))</f>
        <v>14941.402209846818</v>
      </c>
      <c r="AA234" s="114">
        <f t="shared" si="150"/>
        <v>14641.581074143671</v>
      </c>
      <c r="AB234" s="114">
        <f t="shared" si="150"/>
        <v>14244.362680158238</v>
      </c>
      <c r="AC234" s="114">
        <f t="shared" si="150"/>
        <v>15302.786278855705</v>
      </c>
      <c r="AD234" s="114">
        <f t="shared" si="150"/>
        <v>14805.821730286169</v>
      </c>
      <c r="AE234" s="114">
        <f t="shared" si="150"/>
        <v>14253.539763383938</v>
      </c>
      <c r="AF234" s="114">
        <f t="shared" si="150"/>
        <v>14225.680760734489</v>
      </c>
      <c r="AG234" s="114">
        <f t="shared" si="150"/>
        <v>14970.645058379507</v>
      </c>
      <c r="AH234" s="114">
        <f t="shared" si="150"/>
        <v>15511.364628757294</v>
      </c>
      <c r="AI234" s="114">
        <f t="shared" si="150"/>
        <v>15368.719251792729</v>
      </c>
      <c r="AJ234" s="114">
        <f t="shared" si="150"/>
        <v>14859.718885738695</v>
      </c>
      <c r="AK234" s="114">
        <f t="shared" si="150"/>
        <v>15191.896523211824</v>
      </c>
    </row>
    <row r="235" spans="1:38">
      <c r="B235" s="11" t="s">
        <v>85</v>
      </c>
      <c r="C235" s="6" t="s">
        <v>82</v>
      </c>
      <c r="D235" s="9">
        <f>D234/$C$6</f>
        <v>815.795659968</v>
      </c>
      <c r="E235" s="9">
        <f t="shared" ref="E235:I235" si="151">E234/$C$6</f>
        <v>1557.6427492959999</v>
      </c>
      <c r="F235" s="9">
        <f t="shared" si="151"/>
        <v>2291.038573408</v>
      </c>
      <c r="G235" s="9">
        <f t="shared" si="151"/>
        <v>2726.1544487199999</v>
      </c>
      <c r="H235" s="9">
        <f t="shared" si="151"/>
        <v>3014.7402991840004</v>
      </c>
      <c r="I235" s="9">
        <f t="shared" si="151"/>
        <v>3317.618730528</v>
      </c>
      <c r="L235" s="11"/>
      <c r="M235" s="11" t="str">
        <f t="shared" si="7"/>
        <v>Indicated Power/cylinder</v>
      </c>
      <c r="N235" s="6" t="s">
        <v>82</v>
      </c>
      <c r="O235" s="9">
        <f>O234/$C$6</f>
        <v>0</v>
      </c>
      <c r="P235" s="9">
        <f t="shared" ref="P235:S235" si="152">P234/$C$6</f>
        <v>0</v>
      </c>
      <c r="Q235" s="9">
        <f t="shared" si="152"/>
        <v>0</v>
      </c>
      <c r="R235" s="9">
        <f t="shared" si="152"/>
        <v>0</v>
      </c>
      <c r="S235" s="9">
        <f t="shared" si="152"/>
        <v>0</v>
      </c>
      <c r="W235" s="11"/>
      <c r="X235" s="11" t="str">
        <f t="shared" si="129"/>
        <v>Indicated Power/cylinder</v>
      </c>
      <c r="Y235" s="9" t="str">
        <f t="shared" si="117"/>
        <v>kW</v>
      </c>
      <c r="Z235" s="114">
        <f t="shared" ref="Z235:AD235" si="153">Z234/$C$6</f>
        <v>2490.2337016411361</v>
      </c>
      <c r="AA235" s="114">
        <f t="shared" si="153"/>
        <v>2440.2635123572786</v>
      </c>
      <c r="AB235" s="114">
        <f t="shared" si="153"/>
        <v>2374.0604466930395</v>
      </c>
      <c r="AC235" s="114">
        <f t="shared" si="153"/>
        <v>2550.4643798092843</v>
      </c>
      <c r="AD235" s="114">
        <f t="shared" si="153"/>
        <v>2467.6369550476948</v>
      </c>
      <c r="AE235" s="114">
        <f t="shared" ref="AE235:AI235" si="154">AE234/$C$6</f>
        <v>2375.5899605639897</v>
      </c>
      <c r="AF235" s="114">
        <f t="shared" si="154"/>
        <v>2370.9467934557483</v>
      </c>
      <c r="AG235" s="114">
        <f t="shared" si="154"/>
        <v>2495.1075097299176</v>
      </c>
      <c r="AH235" s="114">
        <f t="shared" si="154"/>
        <v>2585.2274381262155</v>
      </c>
      <c r="AI235" s="114">
        <f t="shared" si="154"/>
        <v>2561.4532086321215</v>
      </c>
      <c r="AJ235" s="114">
        <f t="shared" ref="AJ235:AK235" si="155">AJ234/$C$6</f>
        <v>2476.6198142897824</v>
      </c>
      <c r="AK235" s="114">
        <f t="shared" si="155"/>
        <v>2531.9827538686372</v>
      </c>
    </row>
    <row r="236" spans="1:38">
      <c r="B236" t="s">
        <v>22</v>
      </c>
      <c r="C236" s="6" t="s">
        <v>20</v>
      </c>
      <c r="D236" s="18">
        <f t="shared" ref="D236:I236" si="156">60*D235/100/D27/$C$11</f>
        <v>7.9136484901711039</v>
      </c>
      <c r="E236" s="18">
        <f t="shared" si="156"/>
        <v>11.996009974073447</v>
      </c>
      <c r="F236" s="18">
        <f t="shared" si="156"/>
        <v>15.388104552764926</v>
      </c>
      <c r="G236" s="18">
        <f t="shared" si="156"/>
        <v>17.269065608443821</v>
      </c>
      <c r="H236" s="18">
        <f t="shared" si="156"/>
        <v>18.446576263229034</v>
      </c>
      <c r="I236" s="18">
        <f t="shared" si="156"/>
        <v>19.65196030982408</v>
      </c>
      <c r="L236" s="11"/>
      <c r="M236" s="11" t="str">
        <f t="shared" si="7"/>
        <v>IMEP</v>
      </c>
      <c r="N236" s="6" t="s">
        <v>20</v>
      </c>
      <c r="O236" s="18">
        <f>60*O235/100/O27/$C$11</f>
        <v>0</v>
      </c>
      <c r="P236" s="18">
        <f>60*P235/100/P27/$C$11</f>
        <v>0</v>
      </c>
      <c r="Q236" s="18">
        <f>60*Q235/100/Q27/$C$11</f>
        <v>0</v>
      </c>
      <c r="R236" s="18">
        <f>60*R235/100/R27/$C$11</f>
        <v>0</v>
      </c>
      <c r="S236" s="18">
        <f>60*S235/100/S27/$C$11</f>
        <v>0</v>
      </c>
      <c r="W236" s="11"/>
      <c r="X236" s="11" t="str">
        <f t="shared" si="129"/>
        <v>IMEP</v>
      </c>
      <c r="Y236" s="9" t="str">
        <f t="shared" si="117"/>
        <v>bar</v>
      </c>
      <c r="Z236" s="115">
        <f>60*Z235/100/Z27/$C$11</f>
        <v>15.715010568681349</v>
      </c>
      <c r="AA236" s="115">
        <f t="shared" ref="AA236:AI236" si="157">60*AA235/100/AA27/$C$11</f>
        <v>15.022264786406216</v>
      </c>
      <c r="AB236" s="115">
        <f t="shared" si="157"/>
        <v>14.836153774485394</v>
      </c>
      <c r="AC236" s="115">
        <f t="shared" si="157"/>
        <v>15.545975124405166</v>
      </c>
      <c r="AD236" s="115">
        <f t="shared" si="157"/>
        <v>15.157260503827672</v>
      </c>
      <c r="AE236" s="115">
        <f t="shared" si="157"/>
        <v>14.735458043579818</v>
      </c>
      <c r="AF236" s="115">
        <f t="shared" si="157"/>
        <v>14.819467769402769</v>
      </c>
      <c r="AG236" s="115">
        <f t="shared" si="157"/>
        <v>15.393923017955338</v>
      </c>
      <c r="AH236" s="115">
        <f t="shared" si="157"/>
        <v>16.086585096936503</v>
      </c>
      <c r="AI236" s="115">
        <f t="shared" si="157"/>
        <v>15.968391722147295</v>
      </c>
      <c r="AJ236" s="115">
        <f t="shared" ref="AJ236:AK236" si="158">60*AJ235/100/AJ27/$C$11</f>
        <v>15.41077384828011</v>
      </c>
      <c r="AK236" s="115">
        <f t="shared" si="158"/>
        <v>16.204989287287564</v>
      </c>
    </row>
    <row r="237" spans="1:38" s="11" customFormat="1">
      <c r="B237" s="11" t="s">
        <v>88</v>
      </c>
      <c r="C237" s="6" t="s">
        <v>87</v>
      </c>
      <c r="D237" s="16">
        <f t="shared" ref="D237:I237" si="159">D148/D234*1000</f>
        <v>160.15039845287339</v>
      </c>
      <c r="E237" s="16">
        <f t="shared" si="159"/>
        <v>158.29688810957521</v>
      </c>
      <c r="F237" s="16">
        <f t="shared" si="159"/>
        <v>158.63984317791531</v>
      </c>
      <c r="G237" s="16">
        <f t="shared" si="159"/>
        <v>158.66305748124017</v>
      </c>
      <c r="H237" s="16">
        <f t="shared" si="159"/>
        <v>161.70547099262635</v>
      </c>
      <c r="I237" s="16">
        <f t="shared" si="159"/>
        <v>164.7235696408749</v>
      </c>
      <c r="M237" s="11" t="str">
        <f t="shared" si="7"/>
        <v>isfc</v>
      </c>
      <c r="N237" s="6" t="s">
        <v>87</v>
      </c>
      <c r="O237" s="16" t="e">
        <f>O148/O234*1000</f>
        <v>#DIV/0!</v>
      </c>
      <c r="P237" s="16" t="e">
        <f>P148/P234*1000</f>
        <v>#DIV/0!</v>
      </c>
      <c r="Q237" s="16" t="e">
        <f>Q148/Q234*1000</f>
        <v>#DIV/0!</v>
      </c>
      <c r="R237" s="16" t="e">
        <f>R148/R234*1000</f>
        <v>#DIV/0!</v>
      </c>
      <c r="S237" s="16" t="e">
        <f>S148/S234*1000</f>
        <v>#DIV/0!</v>
      </c>
      <c r="X237" s="11" t="str">
        <f t="shared" si="129"/>
        <v>isfc</v>
      </c>
      <c r="Y237" s="9" t="str">
        <f t="shared" si="117"/>
        <v>g/kWh</v>
      </c>
      <c r="Z237" s="113">
        <f t="shared" ref="Z237:AI237" si="160">Z148/Z234*1000</f>
        <v>193.67646455109545</v>
      </c>
      <c r="AA237" s="113">
        <f t="shared" si="160"/>
        <v>182.63163101718138</v>
      </c>
      <c r="AB237" s="113">
        <f t="shared" si="160"/>
        <v>185.43593579931812</v>
      </c>
      <c r="AC237" s="113">
        <f t="shared" si="160"/>
        <v>206.89981671198015</v>
      </c>
      <c r="AD237" s="113">
        <f t="shared" si="160"/>
        <v>212.17136428032026</v>
      </c>
      <c r="AE237" s="113">
        <f t="shared" si="160"/>
        <v>192.76108696048465</v>
      </c>
      <c r="AF237" s="113">
        <f t="shared" si="160"/>
        <v>190.78814095131841</v>
      </c>
      <c r="AG237" s="113">
        <f t="shared" si="160"/>
        <v>209.79195566239673</v>
      </c>
      <c r="AH237" s="113">
        <f t="shared" si="160"/>
        <v>203.51662003084039</v>
      </c>
      <c r="AI237" s="113">
        <f t="shared" si="160"/>
        <v>198.89685564479501</v>
      </c>
      <c r="AJ237" s="113">
        <f t="shared" ref="AJ237:AK237" si="161">AJ148/AJ234*1000</f>
        <v>203.04850266181731</v>
      </c>
      <c r="AK237" s="113">
        <f t="shared" si="161"/>
        <v>180.98639635305324</v>
      </c>
      <c r="AL237" s="97"/>
    </row>
    <row r="238" spans="1:38" s="11" customFormat="1">
      <c r="B238" s="11" t="s">
        <v>89</v>
      </c>
      <c r="C238" s="6" t="s">
        <v>87</v>
      </c>
      <c r="D238" s="16">
        <f t="shared" ref="D238:I238" si="162">D237*D202/42700</f>
        <v>157.86216205858912</v>
      </c>
      <c r="E238" s="16">
        <f t="shared" si="162"/>
        <v>156.03513475789143</v>
      </c>
      <c r="F238" s="16">
        <f t="shared" si="162"/>
        <v>156.37318966815164</v>
      </c>
      <c r="G238" s="16">
        <f t="shared" si="162"/>
        <v>156.39607228442327</v>
      </c>
      <c r="H238" s="16">
        <f t="shared" si="162"/>
        <v>159.39501564905694</v>
      </c>
      <c r="I238" s="16">
        <f t="shared" si="162"/>
        <v>162.36999156245639</v>
      </c>
      <c r="M238" s="11" t="str">
        <f t="shared" si="7"/>
        <v>Isfc corrected</v>
      </c>
      <c r="N238" s="6" t="s">
        <v>87</v>
      </c>
      <c r="O238" s="16" t="e">
        <f>O237*O202/42700</f>
        <v>#DIV/0!</v>
      </c>
      <c r="P238" s="16" t="e">
        <f>P237*P202/42700</f>
        <v>#DIV/0!</v>
      </c>
      <c r="Q238" s="16" t="e">
        <f>Q237*Q202/42700</f>
        <v>#DIV/0!</v>
      </c>
      <c r="R238" s="16" t="e">
        <f>R237*R202/42700</f>
        <v>#DIV/0!</v>
      </c>
      <c r="S238" s="16" t="e">
        <f>S237*S202/42700</f>
        <v>#DIV/0!</v>
      </c>
      <c r="X238" s="11" t="str">
        <f t="shared" si="129"/>
        <v>Isfc corrected</v>
      </c>
      <c r="Y238" s="9" t="str">
        <f t="shared" si="117"/>
        <v>g/kWh</v>
      </c>
      <c r="Z238" s="113">
        <f t="shared" ref="Z238:AI238" si="163">Z237*Z202/42700</f>
        <v>186.82748418874993</v>
      </c>
      <c r="AA238" s="113">
        <f t="shared" si="163"/>
        <v>175.83106208703342</v>
      </c>
      <c r="AB238" s="113">
        <f t="shared" si="163"/>
        <v>178.74808237704764</v>
      </c>
      <c r="AC238" s="113">
        <f t="shared" si="163"/>
        <v>199.437856109253</v>
      </c>
      <c r="AD238" s="113">
        <f t="shared" si="163"/>
        <v>212.32043081260153</v>
      </c>
      <c r="AE238" s="113">
        <f t="shared" si="163"/>
        <v>192.89651629558568</v>
      </c>
      <c r="AF238" s="113">
        <f t="shared" si="163"/>
        <v>190.92218414168232</v>
      </c>
      <c r="AG238" s="113">
        <f t="shared" si="163"/>
        <v>212.78898360043095</v>
      </c>
      <c r="AH238" s="113">
        <f t="shared" si="163"/>
        <v>196.93926790806381</v>
      </c>
      <c r="AI238" s="113">
        <f t="shared" si="163"/>
        <v>192.46880738273842</v>
      </c>
      <c r="AJ238" s="113">
        <f t="shared" ref="AJ238:AK238" si="164">AJ237*AJ202/42700</f>
        <v>196.48627939077966</v>
      </c>
      <c r="AK238" s="113">
        <f t="shared" si="164"/>
        <v>183.99577203011805</v>
      </c>
      <c r="AL238" s="97"/>
    </row>
    <row r="239" spans="1:38">
      <c r="B239" t="s">
        <v>86</v>
      </c>
      <c r="C239" s="6" t="s">
        <v>20</v>
      </c>
      <c r="D239" s="18">
        <f t="shared" ref="D239:I239" si="165">D236-D229</f>
        <v>1.017537983806279</v>
      </c>
      <c r="E239" s="18">
        <f t="shared" si="165"/>
        <v>1.0164974541184062</v>
      </c>
      <c r="F239" s="18">
        <f t="shared" si="165"/>
        <v>1.0184163802958253</v>
      </c>
      <c r="G239" s="18">
        <f t="shared" si="165"/>
        <v>1.0085102823987455</v>
      </c>
      <c r="H239" s="18">
        <f t="shared" si="165"/>
        <v>1.0182613520412183</v>
      </c>
      <c r="I239" s="18">
        <f t="shared" si="165"/>
        <v>1.0203647632208046</v>
      </c>
      <c r="L239" s="11"/>
      <c r="M239" s="11" t="str">
        <f t="shared" si="7"/>
        <v>FMEP</v>
      </c>
      <c r="N239" s="6" t="s">
        <v>20</v>
      </c>
      <c r="O239" s="18">
        <f>O236-O229</f>
        <v>-10.242188450137684</v>
      </c>
      <c r="P239" s="18">
        <f>P236-P229</f>
        <v>-10.936538992933329</v>
      </c>
      <c r="Q239" s="18">
        <f>Q236-Q229</f>
        <v>-15.578320933217329</v>
      </c>
      <c r="R239" s="18">
        <f>R236-R229</f>
        <v>-16.134724492491895</v>
      </c>
      <c r="S239" s="18">
        <f>S236-S229</f>
        <v>-15.989677746971083</v>
      </c>
      <c r="W239" s="11"/>
      <c r="X239" s="11" t="str">
        <f t="shared" si="129"/>
        <v>FMEP</v>
      </c>
      <c r="Y239" s="9" t="str">
        <f t="shared" si="117"/>
        <v>bar</v>
      </c>
      <c r="Z239" s="115">
        <f t="shared" ref="Z239:AI239" si="166">Z236-Z229</f>
        <v>1.013925396689503</v>
      </c>
      <c r="AA239" s="115">
        <f t="shared" si="166"/>
        <v>1.0139893753932974</v>
      </c>
      <c r="AB239" s="115">
        <f t="shared" si="166"/>
        <v>1.0137541530034113</v>
      </c>
      <c r="AC239" s="115">
        <f t="shared" si="166"/>
        <v>1.0138679428959829</v>
      </c>
      <c r="AD239" s="115">
        <f t="shared" si="166"/>
        <v>1.0138027004286236</v>
      </c>
      <c r="AE239" s="115">
        <f t="shared" si="166"/>
        <v>1.0144452163874327</v>
      </c>
      <c r="AF239" s="115">
        <f t="shared" si="166"/>
        <v>1.0139659469690514</v>
      </c>
      <c r="AG239" s="115">
        <f t="shared" si="166"/>
        <v>1.0138960278805538</v>
      </c>
      <c r="AH239" s="115">
        <f t="shared" si="166"/>
        <v>1.0137483458827923</v>
      </c>
      <c r="AI239" s="115">
        <f t="shared" si="166"/>
        <v>1.0138395644314553</v>
      </c>
      <c r="AJ239" s="115">
        <f t="shared" ref="AJ239:AK239" si="167">AJ236-AJ229</f>
        <v>1.0138490591570637</v>
      </c>
      <c r="AK239" s="115">
        <f t="shared" si="167"/>
        <v>1.0138679428959918</v>
      </c>
    </row>
    <row r="240" spans="1:38" s="11" customFormat="1">
      <c r="B240" s="11" t="s">
        <v>19</v>
      </c>
      <c r="C240" s="6" t="s">
        <v>20</v>
      </c>
      <c r="D240" s="16">
        <f t="shared" ref="D240:I240" si="168">AVERAGE(D46:D57)+D189/1000</f>
        <v>76.17378400072667</v>
      </c>
      <c r="E240" s="16">
        <f t="shared" si="168"/>
        <v>105.50671736689</v>
      </c>
      <c r="F240" s="16">
        <f t="shared" si="168"/>
        <v>135.67298406638665</v>
      </c>
      <c r="G240" s="16">
        <f t="shared" si="168"/>
        <v>151.00605075493999</v>
      </c>
      <c r="H240" s="16">
        <f t="shared" si="168"/>
        <v>151.00565078777001</v>
      </c>
      <c r="I240" s="16">
        <f t="shared" si="168"/>
        <v>151.33791754198333</v>
      </c>
      <c r="M240" s="11" t="s">
        <v>19</v>
      </c>
      <c r="N240" s="6" t="s">
        <v>20</v>
      </c>
      <c r="O240" s="16">
        <f>AVERAGE(O46:O57)+O189/1000</f>
        <v>99.170584263366678</v>
      </c>
      <c r="P240" s="16">
        <f>AVERAGE(P46:P57)+P189/1000</f>
        <v>101.67058426336668</v>
      </c>
      <c r="Q240" s="16">
        <f>AVERAGE(Q46:Q57)+Q189/1000</f>
        <v>135.17058426336666</v>
      </c>
      <c r="R240" s="16">
        <f>AVERAGE(R46:R57)+R189/1000</f>
        <v>142.00391759670001</v>
      </c>
      <c r="S240" s="16">
        <f>AVERAGE(S46:S57)+S189/1000</f>
        <v>141.17058426336666</v>
      </c>
      <c r="T240" s="16"/>
      <c r="X240" s="11" t="s">
        <v>19</v>
      </c>
      <c r="Y240" s="6" t="s">
        <v>20</v>
      </c>
      <c r="Z240" s="113">
        <f t="shared" ref="Z240:AI240" si="169">AVERAGE(Z46:Z57)+Z189/1000</f>
        <v>135.36533333333335</v>
      </c>
      <c r="AA240" s="113">
        <f t="shared" si="169"/>
        <v>138.69666666666666</v>
      </c>
      <c r="AB240" s="113">
        <f t="shared" si="169"/>
        <v>135.51300000000001</v>
      </c>
      <c r="AC240" s="113">
        <f t="shared" si="169"/>
        <v>139.542</v>
      </c>
      <c r="AD240" s="113">
        <f t="shared" si="169"/>
        <v>134.52099999999999</v>
      </c>
      <c r="AE240" s="113">
        <f t="shared" si="169"/>
        <v>134.35733333333334</v>
      </c>
      <c r="AF240" s="113">
        <f t="shared" si="169"/>
        <v>132.02000000000001</v>
      </c>
      <c r="AG240" s="113">
        <f t="shared" si="169"/>
        <v>134.02199999999999</v>
      </c>
      <c r="AH240" s="113">
        <f t="shared" si="169"/>
        <v>136.511</v>
      </c>
      <c r="AI240" s="113">
        <f t="shared" si="169"/>
        <v>143.52099999999999</v>
      </c>
      <c r="AJ240" s="113">
        <f t="shared" ref="AJ240:AK240" si="170">AVERAGE(AJ46:AJ57)+AJ189/1000</f>
        <v>142.51900000000001</v>
      </c>
      <c r="AK240" s="113">
        <f t="shared" si="170"/>
        <v>137.35733333333334</v>
      </c>
      <c r="AL240" s="97"/>
    </row>
    <row r="241" spans="1:38" s="11" customFormat="1">
      <c r="B241" s="11" t="s">
        <v>21</v>
      </c>
      <c r="C241" s="6" t="s">
        <v>20</v>
      </c>
      <c r="D241" s="16">
        <f t="shared" ref="D241:I241" si="171">AVERAGE(D59:D70)+D189/1000</f>
        <v>49.007117334059998</v>
      </c>
      <c r="E241" s="16">
        <f t="shared" si="171"/>
        <v>75.673384033556673</v>
      </c>
      <c r="F241" s="16">
        <f t="shared" si="171"/>
        <v>106.17298406638668</v>
      </c>
      <c r="G241" s="16">
        <f t="shared" si="171"/>
        <v>124.17271742160668</v>
      </c>
      <c r="H241" s="16">
        <f t="shared" si="171"/>
        <v>137.17231745443667</v>
      </c>
      <c r="I241" s="16">
        <f t="shared" si="171"/>
        <v>146.83791754198333</v>
      </c>
      <c r="M241" s="11" t="s">
        <v>21</v>
      </c>
      <c r="N241" s="6" t="s">
        <v>20</v>
      </c>
      <c r="O241" s="16">
        <f>AVERAGE(O59:O70)+O189/1000</f>
        <v>75.003917596700006</v>
      </c>
      <c r="P241" s="16">
        <f>AVERAGE(P59:P70)+P189/1000</f>
        <v>78.670584263366678</v>
      </c>
      <c r="Q241" s="16">
        <f>AVERAGE(Q59:Q70)+Q189/1000</f>
        <v>121.33725093003333</v>
      </c>
      <c r="R241" s="16">
        <f>AVERAGE(R59:R70)+R189/1000</f>
        <v>125.17058426336668</v>
      </c>
      <c r="S241" s="16">
        <f>AVERAGE(S59:S70)+S189/1000</f>
        <v>124.83725093003333</v>
      </c>
      <c r="T241" s="16"/>
      <c r="X241" s="11" t="s">
        <v>21</v>
      </c>
      <c r="Y241" s="6" t="s">
        <v>20</v>
      </c>
      <c r="Z241" s="113">
        <f t="shared" ref="Z241:AI241" si="172">AVERAGE(Z59:Z70)+Z189/1000</f>
        <v>117.49866666666665</v>
      </c>
      <c r="AA241" s="113">
        <f t="shared" si="172"/>
        <v>121.51333333333334</v>
      </c>
      <c r="AB241" s="113">
        <f t="shared" si="172"/>
        <v>116.87966666666668</v>
      </c>
      <c r="AC241" s="113">
        <f t="shared" si="172"/>
        <v>127.84200000000001</v>
      </c>
      <c r="AD241" s="113">
        <f t="shared" si="172"/>
        <v>117.93766666666667</v>
      </c>
      <c r="AE241" s="113">
        <f t="shared" si="172"/>
        <v>117.09066666666666</v>
      </c>
      <c r="AF241" s="113">
        <f t="shared" si="172"/>
        <v>113.77</v>
      </c>
      <c r="AG241" s="113">
        <f t="shared" si="172"/>
        <v>118.43866666666668</v>
      </c>
      <c r="AH241" s="113">
        <f t="shared" si="172"/>
        <v>123.84433333333332</v>
      </c>
      <c r="AI241" s="113">
        <f t="shared" si="172"/>
        <v>119.70433333333332</v>
      </c>
      <c r="AJ241" s="113">
        <f t="shared" ref="AJ241:AK241" si="173">AVERAGE(AJ59:AJ70)+AJ189/1000</f>
        <v>117.03566666666667</v>
      </c>
      <c r="AK241" s="113">
        <f t="shared" si="173"/>
        <v>109.50733333333334</v>
      </c>
      <c r="AL241" s="97"/>
    </row>
    <row r="242" spans="1:38" s="11" customFormat="1">
      <c r="C242" s="6"/>
      <c r="M242" s="11">
        <f t="shared" si="7"/>
        <v>0</v>
      </c>
      <c r="N242" s="6"/>
      <c r="Y242" s="9"/>
      <c r="Z242" s="97"/>
      <c r="AA242" s="97"/>
      <c r="AB242" s="97"/>
      <c r="AC242" s="97"/>
      <c r="AD242" s="97"/>
      <c r="AE242" s="97"/>
      <c r="AF242" s="97"/>
      <c r="AG242" s="97"/>
      <c r="AH242" s="97"/>
      <c r="AI242" s="97"/>
      <c r="AJ242" s="97"/>
      <c r="AK242" s="97"/>
      <c r="AL242" s="97"/>
    </row>
    <row r="243" spans="1:38">
      <c r="A243" s="4">
        <v>4</v>
      </c>
      <c r="B243" s="4" t="s">
        <v>79</v>
      </c>
      <c r="L243" s="4">
        <v>4</v>
      </c>
      <c r="M243" s="4" t="str">
        <f t="shared" si="7"/>
        <v>Turbocharger Data</v>
      </c>
      <c r="N243" s="6"/>
      <c r="O243" s="11"/>
      <c r="P243" s="11"/>
      <c r="Q243" s="11"/>
      <c r="R243" s="11"/>
      <c r="S243" s="11"/>
      <c r="W243" s="4">
        <v>4</v>
      </c>
      <c r="X243" s="4" t="str">
        <f t="shared" si="129"/>
        <v>Turbocharger Data</v>
      </c>
    </row>
    <row r="244" spans="1:38" s="11" customFormat="1">
      <c r="A244" s="4"/>
      <c r="B244" s="13" t="s">
        <v>159</v>
      </c>
      <c r="C244" s="6" t="s">
        <v>20</v>
      </c>
      <c r="D244" s="11">
        <f>D205</f>
        <v>6.0310897500000004E-3</v>
      </c>
      <c r="E244" s="11">
        <f t="shared" ref="E244:I244" si="174">E205</f>
        <v>1.1179580999999999E-2</v>
      </c>
      <c r="F244" s="11">
        <f t="shared" si="174"/>
        <v>1.5690639999999999E-2</v>
      </c>
      <c r="G244" s="11">
        <f t="shared" si="174"/>
        <v>1.7897136250000001E-2</v>
      </c>
      <c r="H244" s="11">
        <f t="shared" si="174"/>
        <v>1.9368133749999999E-2</v>
      </c>
      <c r="I244" s="11">
        <f t="shared" si="174"/>
        <v>2.0103632499999999E-2</v>
      </c>
      <c r="L244" s="4"/>
      <c r="M244" s="13" t="str">
        <f t="shared" si="7"/>
        <v xml:space="preserve">Air Cooler Pressure Drop </v>
      </c>
      <c r="N244" s="6" t="s">
        <v>20</v>
      </c>
      <c r="O244" s="11">
        <f>O205</f>
        <v>1.12776475E-2</v>
      </c>
      <c r="P244" s="11">
        <f t="shared" ref="P244:S244" si="175">P205</f>
        <v>1.201314625E-2</v>
      </c>
      <c r="Q244" s="11">
        <f t="shared" si="175"/>
        <v>1.8142302499999999E-2</v>
      </c>
      <c r="R244" s="11">
        <f t="shared" si="175"/>
        <v>1.8877801249999999E-2</v>
      </c>
      <c r="S244" s="11">
        <f t="shared" si="175"/>
        <v>1.8632635000000002E-2</v>
      </c>
      <c r="W244" s="4"/>
      <c r="X244" s="13" t="str">
        <f t="shared" si="129"/>
        <v xml:space="preserve">Air Cooler Pressure Drop </v>
      </c>
      <c r="Y244" s="9" t="str">
        <f t="shared" si="117"/>
        <v>bar</v>
      </c>
      <c r="Z244" s="97">
        <f>Z205</f>
        <v>1.96133E-2</v>
      </c>
      <c r="AA244" s="97">
        <f t="shared" ref="AA244:AI244" si="176">AA205</f>
        <v>1.8632635000000002E-2</v>
      </c>
      <c r="AB244" s="97">
        <f t="shared" si="176"/>
        <v>1.8632635000000002E-2</v>
      </c>
      <c r="AC244" s="97">
        <f t="shared" si="176"/>
        <v>2.1084297500000002E-2</v>
      </c>
      <c r="AD244" s="97">
        <f t="shared" si="176"/>
        <v>1.6671305000000001E-2</v>
      </c>
      <c r="AE244" s="97">
        <f t="shared" si="176"/>
        <v>1.8632635000000002E-2</v>
      </c>
      <c r="AF244" s="97">
        <f t="shared" si="176"/>
        <v>1.6671305000000001E-2</v>
      </c>
      <c r="AG244" s="97">
        <f t="shared" si="176"/>
        <v>1.8142302499999999E-2</v>
      </c>
      <c r="AH244" s="97">
        <f t="shared" si="176"/>
        <v>1.8632635000000002E-2</v>
      </c>
      <c r="AI244" s="97">
        <f t="shared" si="176"/>
        <v>1.8632635000000002E-2</v>
      </c>
      <c r="AJ244" s="97">
        <f t="shared" ref="AJ244:AK244" si="177">AJ205</f>
        <v>1.6671305000000001E-2</v>
      </c>
      <c r="AK244" s="97">
        <f t="shared" si="177"/>
        <v>1.71616375E-2</v>
      </c>
      <c r="AL244" s="97"/>
    </row>
    <row r="245" spans="1:38">
      <c r="B245" t="s">
        <v>106</v>
      </c>
      <c r="C245" s="6" t="s">
        <v>20</v>
      </c>
      <c r="D245">
        <f t="shared" ref="D245:I245" si="178">D215+D244</f>
        <v>1.4031484238099998</v>
      </c>
      <c r="E245" s="11">
        <f t="shared" si="178"/>
        <v>2.1178969478899998</v>
      </c>
      <c r="F245" s="11">
        <f t="shared" si="178"/>
        <v>2.9520080397199999</v>
      </c>
      <c r="G245" s="11">
        <f t="shared" si="178"/>
        <v>3.3939478911899998</v>
      </c>
      <c r="H245" s="11">
        <f t="shared" si="178"/>
        <v>3.7650189215200003</v>
      </c>
      <c r="I245" s="11">
        <f t="shared" si="178"/>
        <v>4.0346878411499993</v>
      </c>
      <c r="L245" s="11"/>
      <c r="M245" s="11" t="str">
        <f t="shared" si="7"/>
        <v>Compressor Outlet Pressure</v>
      </c>
      <c r="N245" s="6" t="s">
        <v>20</v>
      </c>
      <c r="O245" s="11">
        <f>O215+O244</f>
        <v>2.1429599941999999</v>
      </c>
      <c r="P245" s="11">
        <f>P215+P244</f>
        <v>2.2417619929499999</v>
      </c>
      <c r="Q245" s="11">
        <f>Q215+Q244</f>
        <v>3.4246891492000002</v>
      </c>
      <c r="R245" s="11">
        <f>R215+R244</f>
        <v>3.5234911479499997</v>
      </c>
      <c r="S245" s="11">
        <f>S215+S244</f>
        <v>3.4742127316999998</v>
      </c>
      <c r="W245" s="11"/>
      <c r="X245" s="11" t="str">
        <f t="shared" si="129"/>
        <v>Compressor Outlet Pressure</v>
      </c>
      <c r="Y245" s="9" t="str">
        <f t="shared" si="117"/>
        <v>bar</v>
      </c>
      <c r="Z245" s="97">
        <f t="shared" ref="Z245:AI245" si="179">Z215+Z244</f>
        <v>3.3516132999999999</v>
      </c>
      <c r="AA245" s="97">
        <f t="shared" si="179"/>
        <v>3.4486326349999996</v>
      </c>
      <c r="AB245" s="97">
        <f t="shared" si="179"/>
        <v>3.5316326349999998</v>
      </c>
      <c r="AC245" s="97">
        <f t="shared" si="179"/>
        <v>3.5630842974999997</v>
      </c>
      <c r="AD245" s="97">
        <f t="shared" si="179"/>
        <v>3.3376713049999998</v>
      </c>
      <c r="AE245" s="97">
        <f t="shared" si="179"/>
        <v>3.5426326349999999</v>
      </c>
      <c r="AF245" s="97">
        <f t="shared" si="179"/>
        <v>3.2366713050000002</v>
      </c>
      <c r="AG245" s="97">
        <f t="shared" si="179"/>
        <v>3.5401423025000001</v>
      </c>
      <c r="AH245" s="97">
        <f t="shared" si="179"/>
        <v>3.7296326350000002</v>
      </c>
      <c r="AI245" s="97">
        <f t="shared" si="179"/>
        <v>3.6396326349999999</v>
      </c>
      <c r="AJ245" s="97">
        <f t="shared" ref="AJ245:AK245" si="180">AJ215+AJ244</f>
        <v>3.2356713050000003</v>
      </c>
      <c r="AK245" s="97">
        <f t="shared" si="180"/>
        <v>3.1411616375000002</v>
      </c>
    </row>
    <row r="246" spans="1:38">
      <c r="B246" t="s">
        <v>103</v>
      </c>
      <c r="C246" s="6" t="s">
        <v>76</v>
      </c>
      <c r="D246">
        <f t="shared" ref="D246:I246" si="181">D203+273.15</f>
        <v>296.14999999999998</v>
      </c>
      <c r="E246" s="11">
        <f t="shared" si="181"/>
        <v>355.65</v>
      </c>
      <c r="F246" s="11">
        <f t="shared" si="181"/>
        <v>400.65</v>
      </c>
      <c r="G246" s="11">
        <f t="shared" si="181"/>
        <v>425.65</v>
      </c>
      <c r="H246" s="11">
        <f t="shared" si="181"/>
        <v>443.15</v>
      </c>
      <c r="I246" s="11">
        <f t="shared" si="181"/>
        <v>458.15</v>
      </c>
      <c r="L246" s="11"/>
      <c r="M246" s="11" t="str">
        <f t="shared" si="7"/>
        <v>Compressor Delivery Temp</v>
      </c>
      <c r="N246" s="6" t="s">
        <v>76</v>
      </c>
      <c r="O246" s="11">
        <f>O203+273.15</f>
        <v>383.15</v>
      </c>
      <c r="P246" s="11">
        <f>P203+273.15</f>
        <v>390.65</v>
      </c>
      <c r="Q246" s="11">
        <f>Q203+273.15</f>
        <v>453.15</v>
      </c>
      <c r="R246" s="11">
        <f>R203+273.15</f>
        <v>460.15</v>
      </c>
      <c r="S246" s="11">
        <f>S203+273.15</f>
        <v>456.65</v>
      </c>
      <c r="W246" s="11"/>
      <c r="X246" s="11" t="str">
        <f t="shared" si="129"/>
        <v>Compressor Delivery Temp</v>
      </c>
      <c r="Y246" s="9" t="str">
        <f t="shared" si="117"/>
        <v>K</v>
      </c>
      <c r="Z246" s="97">
        <f t="shared" ref="Z246:AI246" si="182">Z203+273.15</f>
        <v>435.65</v>
      </c>
      <c r="AA246" s="97">
        <f t="shared" si="182"/>
        <v>430.65</v>
      </c>
      <c r="AB246" s="97">
        <f t="shared" si="182"/>
        <v>428.15</v>
      </c>
      <c r="AC246" s="97">
        <f t="shared" si="182"/>
        <v>435.65</v>
      </c>
      <c r="AD246" s="97">
        <f t="shared" si="182"/>
        <v>438.15</v>
      </c>
      <c r="AE246" s="97">
        <f t="shared" si="182"/>
        <v>445.65</v>
      </c>
      <c r="AF246" s="97">
        <f t="shared" si="182"/>
        <v>443.15</v>
      </c>
      <c r="AG246" s="97">
        <f t="shared" si="182"/>
        <v>450.65</v>
      </c>
      <c r="AH246" s="97">
        <f t="shared" si="182"/>
        <v>435.65</v>
      </c>
      <c r="AI246" s="97">
        <f t="shared" si="182"/>
        <v>450.65</v>
      </c>
      <c r="AJ246" s="97">
        <f t="shared" ref="AJ246:AK246" si="183">AJ203+273.15</f>
        <v>443.15</v>
      </c>
      <c r="AK246" s="97">
        <f t="shared" si="183"/>
        <v>425.65</v>
      </c>
    </row>
    <row r="247" spans="1:38">
      <c r="B247" t="s">
        <v>105</v>
      </c>
      <c r="D247" s="18">
        <f t="shared" ref="D247:I247" si="184">D245/D211</f>
        <v>1.3937073093003121</v>
      </c>
      <c r="E247" s="18">
        <f t="shared" si="184"/>
        <v>2.1062272507094488</v>
      </c>
      <c r="F247" s="18">
        <f t="shared" si="184"/>
        <v>2.9399223029233812</v>
      </c>
      <c r="G247" s="18">
        <f t="shared" si="184"/>
        <v>3.3827682044335114</v>
      </c>
      <c r="H247" s="18">
        <f t="shared" si="184"/>
        <v>3.7559498303372099</v>
      </c>
      <c r="I247" s="18">
        <f t="shared" si="184"/>
        <v>4.0308353776948129</v>
      </c>
      <c r="L247" s="11"/>
      <c r="M247" s="11" t="str">
        <f t="shared" si="7"/>
        <v>Compressor Pressure Ratio (π)</v>
      </c>
      <c r="N247" s="6"/>
      <c r="O247" s="18">
        <f>O245/O211</f>
        <v>2.138671316715524</v>
      </c>
      <c r="P247" s="18">
        <f>P245/P211</f>
        <v>2.2373850710404466</v>
      </c>
      <c r="Q247" s="18">
        <f>Q245/Q211</f>
        <v>3.4247064895163684</v>
      </c>
      <c r="R247" s="18">
        <f>R245/R211</f>
        <v>3.5243730502323913</v>
      </c>
      <c r="S247" s="18">
        <f>S245/S211</f>
        <v>3.474230322770393</v>
      </c>
      <c r="W247" s="11"/>
      <c r="X247" s="11" t="str">
        <f t="shared" si="129"/>
        <v>Compressor Pressure Ratio (π)</v>
      </c>
      <c r="Z247" s="115">
        <f>Z245/Z211</f>
        <v>3.2631916562284649</v>
      </c>
      <c r="AA247" s="115">
        <f t="shared" ref="AA247:AI247" si="185">AA245/AA211</f>
        <v>3.3563357373923006</v>
      </c>
      <c r="AB247" s="115">
        <f t="shared" si="185"/>
        <v>3.4954470522957126</v>
      </c>
      <c r="AC247" s="115">
        <f t="shared" si="185"/>
        <v>3.4323880892150092</v>
      </c>
      <c r="AD247" s="115">
        <f t="shared" si="185"/>
        <v>3.2816297971990998</v>
      </c>
      <c r="AE247" s="115">
        <f t="shared" si="185"/>
        <v>3.4745760871222164</v>
      </c>
      <c r="AF247" s="115">
        <f t="shared" si="185"/>
        <v>3.1819259359649812</v>
      </c>
      <c r="AG247" s="115">
        <f t="shared" si="185"/>
        <v>3.4764451151498839</v>
      </c>
      <c r="AH247" s="115">
        <f t="shared" si="185"/>
        <v>3.6980207059237755</v>
      </c>
      <c r="AI247" s="115">
        <f t="shared" si="185"/>
        <v>3.5673422240417283</v>
      </c>
      <c r="AJ247" s="115">
        <f t="shared" ref="AJ247:AK247" si="186">AJ245/AJ211</f>
        <v>3.1860715859877877</v>
      </c>
      <c r="AK247" s="115">
        <f t="shared" si="186"/>
        <v>3.0778572770244206</v>
      </c>
    </row>
    <row r="248" spans="1:38" s="11" customFormat="1">
      <c r="B248" s="11" t="s">
        <v>34</v>
      </c>
      <c r="C248" s="6" t="s">
        <v>26</v>
      </c>
      <c r="D248" s="9">
        <f t="shared" ref="D248:I248" si="187">D144</f>
        <v>30</v>
      </c>
      <c r="E248" s="9">
        <f t="shared" si="187"/>
        <v>28</v>
      </c>
      <c r="F248" s="9">
        <f t="shared" si="187"/>
        <v>28</v>
      </c>
      <c r="G248" s="9">
        <f t="shared" si="187"/>
        <v>30</v>
      </c>
      <c r="H248" s="9">
        <f t="shared" si="187"/>
        <v>32</v>
      </c>
      <c r="I248" s="9">
        <f t="shared" si="187"/>
        <v>36</v>
      </c>
      <c r="M248" s="11" t="str">
        <f t="shared" si="7"/>
        <v xml:space="preserve">Scavenge Temperature </v>
      </c>
      <c r="N248" s="6" t="s">
        <v>26</v>
      </c>
      <c r="O248" s="9">
        <f>O144</f>
        <v>38</v>
      </c>
      <c r="P248" s="9">
        <f>P144</f>
        <v>39</v>
      </c>
      <c r="Q248" s="9">
        <f>Q144</f>
        <v>43</v>
      </c>
      <c r="R248" s="9">
        <f>R144</f>
        <v>44</v>
      </c>
      <c r="S248" s="9">
        <f>S144</f>
        <v>42</v>
      </c>
      <c r="X248" s="11" t="str">
        <f t="shared" si="129"/>
        <v xml:space="preserve">Scavenge Temperature </v>
      </c>
      <c r="Y248" s="9" t="str">
        <f t="shared" si="117"/>
        <v>°C</v>
      </c>
      <c r="Z248" s="114">
        <f t="shared" ref="Z248:AI248" si="188">Z144</f>
        <v>43</v>
      </c>
      <c r="AA248" s="114">
        <f t="shared" si="188"/>
        <v>41</v>
      </c>
      <c r="AB248" s="114">
        <f t="shared" si="188"/>
        <v>41</v>
      </c>
      <c r="AC248" s="114">
        <f t="shared" si="188"/>
        <v>42</v>
      </c>
      <c r="AD248" s="114">
        <f t="shared" si="188"/>
        <v>45</v>
      </c>
      <c r="AE248" s="114">
        <f t="shared" si="188"/>
        <v>41</v>
      </c>
      <c r="AF248" s="114">
        <f t="shared" si="188"/>
        <v>41</v>
      </c>
      <c r="AG248" s="114">
        <f t="shared" si="188"/>
        <v>44</v>
      </c>
      <c r="AH248" s="114">
        <f t="shared" si="188"/>
        <v>44</v>
      </c>
      <c r="AI248" s="114">
        <f t="shared" si="188"/>
        <v>43</v>
      </c>
      <c r="AJ248" s="114">
        <f t="shared" ref="AJ248:AK248" si="189">AJ144</f>
        <v>42</v>
      </c>
      <c r="AK248" s="114">
        <f t="shared" si="189"/>
        <v>40</v>
      </c>
      <c r="AL248" s="97"/>
    </row>
    <row r="249" spans="1:38">
      <c r="B249" t="s">
        <v>108</v>
      </c>
      <c r="C249" s="6" t="s">
        <v>14</v>
      </c>
      <c r="D249" s="9">
        <f t="shared" ref="D249:I249" si="190">D206*SQRT($J$8/D212)</f>
        <v>5506.2352357876762</v>
      </c>
      <c r="E249" s="9">
        <f t="shared" si="190"/>
        <v>9260.7324442013396</v>
      </c>
      <c r="F249" s="9">
        <f t="shared" si="190"/>
        <v>11452.432347177655</v>
      </c>
      <c r="G249" s="9">
        <f t="shared" si="190"/>
        <v>12405.166790630559</v>
      </c>
      <c r="H249" s="9">
        <f t="shared" si="190"/>
        <v>13025.370844924732</v>
      </c>
      <c r="I249" s="9">
        <f t="shared" si="190"/>
        <v>13628.941184128962</v>
      </c>
      <c r="L249" s="11"/>
      <c r="M249" s="11" t="str">
        <f t="shared" si="7"/>
        <v>TC speed corrected</v>
      </c>
      <c r="N249" s="6" t="s">
        <v>14</v>
      </c>
      <c r="O249" s="9">
        <f>O206*SQRT($J$8/O212)</f>
        <v>9355.399999395011</v>
      </c>
      <c r="P249" s="9">
        <f>P206*SQRT($J$8/P212)</f>
        <v>9711.9709589639297</v>
      </c>
      <c r="Q249" s="9">
        <f>Q206*SQRT($J$8/Q212)</f>
        <v>12402.963121922738</v>
      </c>
      <c r="R249" s="9">
        <f>R206*SQRT($J$8/R212)</f>
        <v>12628.372304884435</v>
      </c>
      <c r="S249" s="9">
        <f>S206*SQRT($J$8/S212)</f>
        <v>12706.809399945829</v>
      </c>
      <c r="W249" s="11"/>
      <c r="X249" s="11" t="str">
        <f t="shared" si="129"/>
        <v>TC speed corrected</v>
      </c>
      <c r="Y249" s="9" t="str">
        <f t="shared" si="117"/>
        <v>rpm</v>
      </c>
      <c r="Z249" s="114">
        <f t="shared" ref="Z249:AI249" si="191">Z206*SQRT($J$8/Z212)</f>
        <v>12153.321793741245</v>
      </c>
      <c r="AA249" s="114">
        <f t="shared" si="191"/>
        <v>12326.689321937822</v>
      </c>
      <c r="AB249" s="114">
        <f t="shared" si="191"/>
        <v>12282.033144713656</v>
      </c>
      <c r="AC249" s="114">
        <f t="shared" si="191"/>
        <v>12479.089982014224</v>
      </c>
      <c r="AD249" s="114">
        <f t="shared" si="191"/>
        <v>12313.909253416832</v>
      </c>
      <c r="AE249" s="114">
        <f t="shared" si="191"/>
        <v>12192.34812912085</v>
      </c>
      <c r="AF249" s="114">
        <f t="shared" si="191"/>
        <v>12039.113628235711</v>
      </c>
      <c r="AG249" s="114">
        <f t="shared" si="191"/>
        <v>12304.167236602421</v>
      </c>
      <c r="AH249" s="114">
        <f t="shared" si="191"/>
        <v>12611.214190339755</v>
      </c>
      <c r="AI249" s="114">
        <f t="shared" si="191"/>
        <v>12250.769203730797</v>
      </c>
      <c r="AJ249" s="114">
        <f t="shared" ref="AJ249:AK249" si="192">AJ206*SQRT($J$8/AJ212)</f>
        <v>12163.204331803001</v>
      </c>
      <c r="AK249" s="114">
        <f t="shared" si="192"/>
        <v>11723.179337119982</v>
      </c>
    </row>
    <row r="250" spans="1:38" s="16" customFormat="1" ht="17.25">
      <c r="B250" s="16" t="s">
        <v>111</v>
      </c>
      <c r="C250" s="38" t="s">
        <v>110</v>
      </c>
      <c r="D250" s="39"/>
      <c r="E250" s="39"/>
      <c r="F250" s="39"/>
      <c r="G250" s="39"/>
      <c r="H250" s="39"/>
      <c r="I250" s="39"/>
      <c r="M250" s="16" t="str">
        <f t="shared" si="7"/>
        <v>Corrected flow rate - map</v>
      </c>
      <c r="N250" s="38" t="s">
        <v>110</v>
      </c>
      <c r="O250" s="39"/>
      <c r="P250" s="39"/>
      <c r="Q250" s="39"/>
      <c r="R250" s="39"/>
      <c r="S250" s="39"/>
      <c r="X250" s="16" t="str">
        <f t="shared" si="129"/>
        <v>Corrected flow rate - map</v>
      </c>
      <c r="Y250" s="9" t="str">
        <f t="shared" si="117"/>
        <v>m3/s</v>
      </c>
      <c r="Z250" s="116"/>
      <c r="AA250" s="116"/>
      <c r="AB250" s="116"/>
      <c r="AC250" s="116"/>
      <c r="AD250" s="116"/>
      <c r="AE250" s="116"/>
      <c r="AF250" s="116"/>
      <c r="AG250" s="116"/>
      <c r="AH250" s="116"/>
      <c r="AI250" s="116"/>
      <c r="AJ250" s="116"/>
      <c r="AK250" s="116"/>
      <c r="AL250" s="113"/>
    </row>
    <row r="251" spans="1:38" ht="17.25">
      <c r="B251" t="s">
        <v>112</v>
      </c>
      <c r="C251" s="6" t="s">
        <v>110</v>
      </c>
      <c r="D251" s="18">
        <f t="shared" ref="D251:I251" si="193">D250*SQRT(D216/$J$8)</f>
        <v>0</v>
      </c>
      <c r="E251" s="18">
        <f t="shared" si="193"/>
        <v>0</v>
      </c>
      <c r="F251" s="18">
        <f t="shared" si="193"/>
        <v>0</v>
      </c>
      <c r="G251" s="18">
        <f t="shared" si="193"/>
        <v>0</v>
      </c>
      <c r="H251" s="18">
        <f t="shared" si="193"/>
        <v>0</v>
      </c>
      <c r="I251" s="18">
        <f t="shared" si="193"/>
        <v>0</v>
      </c>
      <c r="L251" s="11"/>
      <c r="M251" s="11" t="str">
        <f t="shared" si="7"/>
        <v>Actual volumetric rate</v>
      </c>
      <c r="N251" s="6" t="s">
        <v>110</v>
      </c>
      <c r="O251" s="18">
        <f>O250*SQRT(O216/$J$8)</f>
        <v>0</v>
      </c>
      <c r="P251" s="18">
        <f>P250*SQRT(P216/$J$8)</f>
        <v>0</v>
      </c>
      <c r="Q251" s="18">
        <f>Q250*SQRT(Q216/$J$8)</f>
        <v>0</v>
      </c>
      <c r="R251" s="18">
        <f>R250*SQRT(R216/$J$8)</f>
        <v>0</v>
      </c>
      <c r="S251" s="18">
        <f>S250*SQRT(S216/$J$8)</f>
        <v>0</v>
      </c>
      <c r="W251" s="11"/>
      <c r="X251" s="11" t="str">
        <f t="shared" si="129"/>
        <v>Actual volumetric rate</v>
      </c>
      <c r="Y251" s="9" t="str">
        <f t="shared" si="117"/>
        <v>m3/s</v>
      </c>
      <c r="Z251" s="115">
        <f t="shared" ref="Z251:AI251" si="194">Z250*SQRT(Z216/$J$8)</f>
        <v>0</v>
      </c>
      <c r="AA251" s="115">
        <f t="shared" si="194"/>
        <v>0</v>
      </c>
      <c r="AB251" s="115">
        <f t="shared" si="194"/>
        <v>0</v>
      </c>
      <c r="AC251" s="115">
        <f t="shared" si="194"/>
        <v>0</v>
      </c>
      <c r="AD251" s="115">
        <f t="shared" si="194"/>
        <v>0</v>
      </c>
      <c r="AE251" s="115">
        <f t="shared" si="194"/>
        <v>0</v>
      </c>
      <c r="AF251" s="115">
        <f t="shared" si="194"/>
        <v>0</v>
      </c>
      <c r="AG251" s="115">
        <f t="shared" si="194"/>
        <v>0</v>
      </c>
      <c r="AH251" s="115">
        <f t="shared" si="194"/>
        <v>0</v>
      </c>
      <c r="AI251" s="115">
        <f t="shared" si="194"/>
        <v>0</v>
      </c>
      <c r="AJ251" s="115">
        <f t="shared" ref="AJ251:AK251" si="195">AJ250*SQRT(AJ216/$J$8)</f>
        <v>0</v>
      </c>
      <c r="AK251" s="115">
        <f t="shared" si="195"/>
        <v>0</v>
      </c>
    </row>
    <row r="252" spans="1:38" ht="17.25">
      <c r="B252" t="s">
        <v>113</v>
      </c>
      <c r="C252" s="6" t="s">
        <v>114</v>
      </c>
      <c r="D252" s="18">
        <f>D189/287/D212*100</f>
        <v>1.2241826725522693</v>
      </c>
      <c r="E252" s="18">
        <f t="shared" ref="E252:I252" si="196">E189/287/E212*100</f>
        <v>1.2152177436474372</v>
      </c>
      <c r="F252" s="18">
        <f t="shared" si="196"/>
        <v>1.2147349396173828</v>
      </c>
      <c r="G252" s="18">
        <f t="shared" si="196"/>
        <v>1.212313099539019</v>
      </c>
      <c r="H252" s="18">
        <f t="shared" si="196"/>
        <v>1.2055770560758028</v>
      </c>
      <c r="I252" s="18">
        <f t="shared" si="196"/>
        <v>1.2022302627272246</v>
      </c>
      <c r="L252" s="11"/>
      <c r="M252" s="11" t="str">
        <f t="shared" ref="M252:M254" si="197">B252</f>
        <v>Air Density</v>
      </c>
      <c r="N252" s="6" t="s">
        <v>114</v>
      </c>
      <c r="O252" s="18">
        <f>O189/287/O212*100</f>
        <v>1.1260166490291517</v>
      </c>
      <c r="P252" s="18">
        <f t="shared" ref="P252:S252" si="198">P189/287/P212*100</f>
        <v>1.1296530664327658</v>
      </c>
      <c r="Q252" s="18">
        <f t="shared" si="198"/>
        <v>1.1287417619261244</v>
      </c>
      <c r="R252" s="18">
        <f t="shared" si="198"/>
        <v>1.1278319265545895</v>
      </c>
      <c r="S252" s="18">
        <f t="shared" si="198"/>
        <v>1.1278319265545895</v>
      </c>
      <c r="W252" s="11"/>
      <c r="X252" s="11" t="str">
        <f t="shared" si="129"/>
        <v>Air Density</v>
      </c>
      <c r="Y252" s="9" t="str">
        <f t="shared" si="117"/>
        <v>kg/m3</v>
      </c>
      <c r="Z252" s="115">
        <f>Z189/287/Z212*100</f>
        <v>1.1822517886999873</v>
      </c>
      <c r="AA252" s="115">
        <f t="shared" ref="AA252:AI252" si="199">AA189/287/AA212*100</f>
        <v>1.2077570837004974</v>
      </c>
      <c r="AB252" s="115">
        <f t="shared" si="199"/>
        <v>1.1604855251483401</v>
      </c>
      <c r="AC252" s="115">
        <f t="shared" si="199"/>
        <v>1.21365937519837</v>
      </c>
      <c r="AD252" s="115">
        <f t="shared" si="199"/>
        <v>1.1324180452645571</v>
      </c>
      <c r="AE252" s="115">
        <f t="shared" si="199"/>
        <v>1.1616292530916752</v>
      </c>
      <c r="AF252" s="115">
        <f t="shared" si="199"/>
        <v>1.1458993934035515</v>
      </c>
      <c r="AG252" s="115">
        <f t="shared" si="199"/>
        <v>1.1335271716556097</v>
      </c>
      <c r="AH252" s="115">
        <f t="shared" si="199"/>
        <v>1.1357885164029322</v>
      </c>
      <c r="AI252" s="115">
        <f t="shared" si="199"/>
        <v>1.1433364259034569</v>
      </c>
      <c r="AJ252" s="115">
        <f t="shared" ref="AJ252:AK252" si="200">AJ189/287/AJ212*100</f>
        <v>1.1522059542702008</v>
      </c>
      <c r="AK252" s="115">
        <f t="shared" si="200"/>
        <v>1.1692427497529347</v>
      </c>
    </row>
    <row r="253" spans="1:38">
      <c r="B253" t="s">
        <v>115</v>
      </c>
      <c r="C253" s="6" t="s">
        <v>116</v>
      </c>
      <c r="D253" s="17">
        <f>D251*D252</f>
        <v>0</v>
      </c>
      <c r="E253" s="17">
        <f t="shared" ref="E253:I253" si="201">E251*E252</f>
        <v>0</v>
      </c>
      <c r="F253" s="17">
        <f t="shared" si="201"/>
        <v>0</v>
      </c>
      <c r="G253" s="17">
        <f t="shared" si="201"/>
        <v>0</v>
      </c>
      <c r="H253" s="17">
        <f t="shared" si="201"/>
        <v>0</v>
      </c>
      <c r="I253" s="17">
        <f t="shared" si="201"/>
        <v>0</v>
      </c>
      <c r="L253" s="11"/>
      <c r="M253" s="11" t="str">
        <f t="shared" si="197"/>
        <v>Compressor Flow Rate</v>
      </c>
      <c r="N253" s="6" t="s">
        <v>116</v>
      </c>
      <c r="O253" s="17">
        <f>O251*O252</f>
        <v>0</v>
      </c>
      <c r="P253" s="17">
        <f t="shared" ref="P253:S253" si="202">P251*P252</f>
        <v>0</v>
      </c>
      <c r="Q253" s="17">
        <f t="shared" si="202"/>
        <v>0</v>
      </c>
      <c r="R253" s="17">
        <f t="shared" si="202"/>
        <v>0</v>
      </c>
      <c r="S253" s="17">
        <f t="shared" si="202"/>
        <v>0</v>
      </c>
      <c r="W253" s="11"/>
      <c r="X253" s="11" t="str">
        <f t="shared" si="129"/>
        <v>Compressor Flow Rate</v>
      </c>
      <c r="Y253" s="9" t="str">
        <f t="shared" si="117"/>
        <v>kg/s</v>
      </c>
      <c r="Z253" s="117">
        <f t="shared" ref="Z253:AD253" si="203">Z251*Z252</f>
        <v>0</v>
      </c>
      <c r="AA253" s="117">
        <f t="shared" si="203"/>
        <v>0</v>
      </c>
      <c r="AB253" s="117">
        <f t="shared" si="203"/>
        <v>0</v>
      </c>
      <c r="AC253" s="117">
        <f t="shared" si="203"/>
        <v>0</v>
      </c>
      <c r="AD253" s="117">
        <f t="shared" si="203"/>
        <v>0</v>
      </c>
      <c r="AE253" s="117">
        <f t="shared" ref="AE253:AI253" si="204">AE251*AE252</f>
        <v>0</v>
      </c>
      <c r="AF253" s="117">
        <f t="shared" si="204"/>
        <v>0</v>
      </c>
      <c r="AG253" s="117">
        <f t="shared" si="204"/>
        <v>0</v>
      </c>
      <c r="AH253" s="117">
        <f t="shared" si="204"/>
        <v>0</v>
      </c>
      <c r="AI253" s="117">
        <f t="shared" si="204"/>
        <v>0</v>
      </c>
      <c r="AJ253" s="117">
        <f t="shared" ref="AJ253:AK253" si="205">AJ251*AJ252</f>
        <v>0</v>
      </c>
      <c r="AK253" s="117">
        <f t="shared" si="205"/>
        <v>0</v>
      </c>
    </row>
    <row r="254" spans="1:38">
      <c r="B254" t="s">
        <v>118</v>
      </c>
      <c r="C254" s="6" t="s">
        <v>116</v>
      </c>
      <c r="D254" s="17">
        <f>D251*D252*$C$12/$C$6</f>
        <v>0</v>
      </c>
      <c r="E254" s="17">
        <f t="shared" ref="E254:I254" si="206">E251*E252*$C$12/$C$6</f>
        <v>0</v>
      </c>
      <c r="F254" s="17">
        <f t="shared" si="206"/>
        <v>0</v>
      </c>
      <c r="G254" s="17">
        <f t="shared" si="206"/>
        <v>0</v>
      </c>
      <c r="H254" s="17">
        <f t="shared" si="206"/>
        <v>0</v>
      </c>
      <c r="I254" s="17">
        <f t="shared" si="206"/>
        <v>0</v>
      </c>
      <c r="L254" s="11"/>
      <c r="M254" s="11" t="str">
        <f t="shared" si="197"/>
        <v>Actual Flow Rate/cylinder</v>
      </c>
      <c r="N254" s="6" t="s">
        <v>116</v>
      </c>
      <c r="O254" s="17">
        <f>O251*O252*$C$12/$C$6</f>
        <v>0</v>
      </c>
      <c r="P254" s="17">
        <f t="shared" ref="P254:S254" si="207">P251*P252*$C$12/$C$6</f>
        <v>0</v>
      </c>
      <c r="Q254" s="17">
        <f t="shared" si="207"/>
        <v>0</v>
      </c>
      <c r="R254" s="17">
        <f t="shared" si="207"/>
        <v>0</v>
      </c>
      <c r="S254" s="17">
        <f t="shared" si="207"/>
        <v>0</v>
      </c>
      <c r="W254" s="11"/>
      <c r="X254" s="11" t="str">
        <f t="shared" si="129"/>
        <v>Actual Flow Rate/cylinder</v>
      </c>
      <c r="Y254" s="9" t="str">
        <f t="shared" si="117"/>
        <v>kg/s</v>
      </c>
      <c r="Z254" s="117">
        <f t="shared" ref="Z254:AD254" si="208">Z251*Z252*$C$12/$C$6</f>
        <v>0</v>
      </c>
      <c r="AA254" s="117">
        <f t="shared" si="208"/>
        <v>0</v>
      </c>
      <c r="AB254" s="117">
        <f t="shared" si="208"/>
        <v>0</v>
      </c>
      <c r="AC254" s="117">
        <f t="shared" si="208"/>
        <v>0</v>
      </c>
      <c r="AD254" s="117">
        <f t="shared" si="208"/>
        <v>0</v>
      </c>
      <c r="AE254" s="117">
        <f t="shared" ref="AE254:AI254" si="209">AE251*AE252*$C$12/$C$6</f>
        <v>0</v>
      </c>
      <c r="AF254" s="117">
        <f t="shared" si="209"/>
        <v>0</v>
      </c>
      <c r="AG254" s="117">
        <f t="shared" si="209"/>
        <v>0</v>
      </c>
      <c r="AH254" s="117">
        <f t="shared" si="209"/>
        <v>0</v>
      </c>
      <c r="AI254" s="117">
        <f t="shared" si="209"/>
        <v>0</v>
      </c>
      <c r="AJ254" s="117">
        <f t="shared" ref="AJ254:AK254" si="210">AJ251*AJ252*$C$12/$C$6</f>
        <v>0</v>
      </c>
      <c r="AK254" s="117">
        <f t="shared" si="210"/>
        <v>0</v>
      </c>
    </row>
    <row r="258" spans="1:3">
      <c r="A258" s="4"/>
      <c r="B258" s="4"/>
    </row>
    <row r="260" spans="1:3">
      <c r="B260" s="16"/>
      <c r="C260" s="16"/>
    </row>
    <row r="261" spans="1:3">
      <c r="B261" s="12"/>
      <c r="C261" s="12"/>
    </row>
    <row r="262" spans="1:3">
      <c r="B262" s="11"/>
      <c r="C262" s="11"/>
    </row>
    <row r="263" spans="1:3">
      <c r="B263" s="11"/>
      <c r="C263" s="11"/>
    </row>
    <row r="264" spans="1:3">
      <c r="B264" s="16"/>
      <c r="C264" s="16"/>
    </row>
    <row r="265" spans="1:3">
      <c r="B265" s="16"/>
      <c r="C265" s="16"/>
    </row>
    <row r="266" spans="1:3">
      <c r="B266" s="46"/>
      <c r="C266" s="46"/>
    </row>
    <row r="267" spans="1:3">
      <c r="B267" s="46"/>
      <c r="C267" s="46"/>
    </row>
    <row r="268" spans="1:3">
      <c r="B268" s="46"/>
      <c r="C268" s="46"/>
    </row>
  </sheetData>
  <sortState ref="B14">
    <sortCondition descending="1" ref="B14"/>
  </sortState>
  <mergeCells count="16">
    <mergeCell ref="H18:I18"/>
    <mergeCell ref="H8:I8"/>
    <mergeCell ref="H9:I9"/>
    <mergeCell ref="H10:I10"/>
    <mergeCell ref="H11:I11"/>
    <mergeCell ref="H12:I12"/>
    <mergeCell ref="H13:I13"/>
    <mergeCell ref="H7:I7"/>
    <mergeCell ref="B1:B2"/>
    <mergeCell ref="C1:D2"/>
    <mergeCell ref="C13:E13"/>
    <mergeCell ref="H2:I2"/>
    <mergeCell ref="H3:I3"/>
    <mergeCell ref="H4:I4"/>
    <mergeCell ref="H5:I5"/>
    <mergeCell ref="H6:I6"/>
  </mergeCells>
  <dataValidations disablePrompts="1" xWindow="195" yWindow="354" count="6">
    <dataValidation type="list" allowBlank="1" showInputMessage="1" showErrorMessage="1" error="Pick a unit from the drop down list" prompt="Select power units" sqref="C29:C30 N29:N30 Y29:Y30 D4">
      <formula1>Power</formula1>
    </dataValidation>
    <dataValidation type="list" allowBlank="1" showInputMessage="1" showErrorMessage="1" error="Select a unit from the drop down list" prompt="Select pressure unit" sqref="C116 C163 C178 N116 N163 N178 Y116 Y163 Y178">
      <formula1>pressure_drop</formula1>
    </dataValidation>
    <dataValidation type="list" allowBlank="1" showInputMessage="1" showErrorMessage="1" error="Select a unit from the drop down list" prompt="Select pressure unit" sqref="C143 C145 N143 N145 Y143 Y145">
      <formula1>Pressure_con</formula1>
    </dataValidation>
    <dataValidation type="list" allowBlank="1" showInputMessage="1" showErrorMessage="1" prompt="Select bsfc unit" sqref="C149:C150 N149:N150 Y149:Y150">
      <formula1>bsfc_con</formula1>
    </dataValidation>
    <dataValidation type="list" allowBlank="1" showInputMessage="1" showErrorMessage="1" error="Please select a unit from the list" prompt="Select LHV units" sqref="C42 N42 Y42">
      <formula1>LHV</formula1>
    </dataValidation>
    <dataValidation type="list" errorStyle="warning" allowBlank="1" showInputMessage="1" showErrorMessage="1" error="Select from the drop down list" sqref="B41 M41 X41">
      <formula1>viscosity</formula1>
    </dataValidation>
  </dataValidations>
  <pageMargins left="0.25" right="0.25" top="0.75" bottom="0.75" header="0.3" footer="0.3"/>
  <pageSetup paperSize="9" orientation="portrait" r:id="rId1"/>
  <ignoredErrors>
    <ignoredError sqref="H192:I192 D192:G192" formulaRange="1"/>
  </ignoredErrors>
  <extLst>
    <ext xmlns:x14="http://schemas.microsoft.com/office/spreadsheetml/2009/9/main" uri="{CCE6A557-97BC-4b89-ADB6-D9C93CAAB3DF}">
      <x14:dataValidations xmlns:xm="http://schemas.microsoft.com/office/excel/2006/main" disablePrompts="1" xWindow="195" yWindow="354" count="1">
        <x14:dataValidation type="list" allowBlank="1" showInputMessage="1" showErrorMessage="1">
          <x14:formula1>
            <xm:f>Sheet1!$E$2:$E$3</xm:f>
          </x14:formula1>
          <xm:sqref>C25 N25 Y25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-0.249977111117893"/>
  </sheetPr>
  <dimension ref="A1:AQ244"/>
  <sheetViews>
    <sheetView tabSelected="1" topLeftCell="V70" workbookViewId="0">
      <selection activeCell="AM12" sqref="AM12:AM13"/>
    </sheetView>
  </sheetViews>
  <sheetFormatPr defaultRowHeight="15"/>
  <cols>
    <col min="1" max="1" width="2.7109375" bestFit="1" customWidth="1"/>
    <col min="2" max="2" width="30.5703125" bestFit="1" customWidth="1"/>
    <col min="3" max="3" width="8.28515625" bestFit="1" customWidth="1"/>
    <col min="4" max="4" width="11.140625" bestFit="1" customWidth="1"/>
    <col min="5" max="7" width="8.5703125" bestFit="1" customWidth="1"/>
    <col min="8" max="9" width="8.5703125" style="11" bestFit="1" customWidth="1"/>
    <col min="10" max="11" width="9.140625" customWidth="1"/>
    <col min="12" max="12" width="2.140625" bestFit="1" customWidth="1"/>
    <col min="13" max="13" width="28.28515625" bestFit="1" customWidth="1"/>
    <col min="14" max="14" width="10" bestFit="1" customWidth="1"/>
    <col min="20" max="20" width="9.140625" style="11" customWidth="1"/>
    <col min="21" max="22" width="9.140625" customWidth="1"/>
    <col min="23" max="23" width="2.140625" customWidth="1"/>
    <col min="24" max="24" width="28.28515625" customWidth="1"/>
    <col min="25" max="25" width="10" bestFit="1" customWidth="1"/>
    <col min="26" max="31" width="9.140625" customWidth="1"/>
    <col min="32" max="35" width="9.5703125" bestFit="1" customWidth="1"/>
    <col min="38" max="38" width="8.42578125" bestFit="1" customWidth="1"/>
    <col min="39" max="40" width="12.7109375" bestFit="1" customWidth="1"/>
    <col min="41" max="41" width="15.28515625" bestFit="1" customWidth="1"/>
    <col min="42" max="42" width="13.85546875" bestFit="1" customWidth="1"/>
    <col min="43" max="43" width="12.7109375" bestFit="1" customWidth="1"/>
  </cols>
  <sheetData>
    <row r="1" spans="1:37" s="20" customFormat="1" ht="18.75">
      <c r="B1" s="20" t="str">
        <f>'INPUT DATA'!B1</f>
        <v>MAN 6s70mcc7</v>
      </c>
      <c r="C1" s="126" t="str">
        <f>'INPUT DATA'!C1</f>
        <v>CAP GUILLAUME</v>
      </c>
      <c r="D1" s="126"/>
      <c r="M1" s="20" t="str">
        <f>B1</f>
        <v>MAN 6s70mcc7</v>
      </c>
      <c r="N1" s="20" t="str">
        <f>C1</f>
        <v>CAP GUILLAUME</v>
      </c>
      <c r="X1" s="20" t="str">
        <f>M1</f>
        <v>MAN 6s70mcc7</v>
      </c>
      <c r="Y1" s="20" t="str">
        <f>N1</f>
        <v>CAP GUILLAUME</v>
      </c>
    </row>
    <row r="2" spans="1:37" s="20" customFormat="1" ht="18.75"/>
    <row r="3" spans="1:37" s="20" customFormat="1" ht="18.75">
      <c r="B3" s="37" t="str">
        <f>'INPUT DATA'!B19</f>
        <v>SHOP TESTS</v>
      </c>
      <c r="M3" s="37" t="str">
        <f>'INPUT DATA'!M19</f>
        <v>SEA TRIALS</v>
      </c>
      <c r="X3" s="37" t="str">
        <f>'INPUT DATA'!X19</f>
        <v>OPERATION</v>
      </c>
    </row>
    <row r="4" spans="1:37">
      <c r="J4" s="11"/>
      <c r="K4" s="11"/>
      <c r="L4" s="11"/>
      <c r="M4" s="11"/>
      <c r="N4" s="11"/>
      <c r="O4" s="11"/>
      <c r="P4" s="11"/>
      <c r="Q4" s="11"/>
      <c r="R4" s="11"/>
      <c r="S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7" s="29" customFormat="1" ht="15.75">
      <c r="B5" s="29" t="str">
        <f>'INPUT DATA'!B184</f>
        <v>RESULTS</v>
      </c>
      <c r="M5" s="29" t="str">
        <f>B5</f>
        <v>RESULTS</v>
      </c>
      <c r="X5" s="29" t="str">
        <f>B5</f>
        <v>RESULTS</v>
      </c>
    </row>
    <row r="6" spans="1:37" s="54" customFormat="1">
      <c r="B6" s="54" t="str">
        <f>'INPUT DATA'!B185</f>
        <v>Load</v>
      </c>
      <c r="D6" s="54">
        <f>'INPUT DATA'!D185</f>
        <v>0.25</v>
      </c>
      <c r="E6" s="54">
        <f>'INPUT DATA'!E185</f>
        <v>0.5</v>
      </c>
      <c r="F6" s="54">
        <f>'INPUT DATA'!F185</f>
        <v>0.75</v>
      </c>
      <c r="G6" s="54">
        <f>'INPUT DATA'!G185</f>
        <v>0.9</v>
      </c>
      <c r="H6" s="54">
        <f>'INPUT DATA'!H185</f>
        <v>1</v>
      </c>
      <c r="I6" s="54">
        <f>'INPUT DATA'!I185</f>
        <v>1.1000000000000001</v>
      </c>
      <c r="M6" s="54" t="str">
        <f>'INPUT DATA'!M185</f>
        <v>Load</v>
      </c>
      <c r="O6" s="54">
        <f>'INPUT DATA'!O185</f>
        <v>0.5</v>
      </c>
      <c r="P6" s="54">
        <f>'INPUT DATA'!P185</f>
        <v>0.5</v>
      </c>
      <c r="Q6" s="54">
        <f>'INPUT DATA'!Q185</f>
        <v>0.9</v>
      </c>
      <c r="R6" s="54">
        <f>'INPUT DATA'!R185</f>
        <v>0.9</v>
      </c>
      <c r="S6" s="54">
        <f>'INPUT DATA'!S185</f>
        <v>0.9</v>
      </c>
      <c r="X6" s="54" t="str">
        <f>'INPUT DATA'!X185</f>
        <v>Load</v>
      </c>
      <c r="Z6" s="54">
        <f>'INPUT DATA'!Z185</f>
        <v>0.81780053662605068</v>
      </c>
      <c r="AA6" s="54">
        <f>'INPUT DATA'!AA185</f>
        <v>0.79883770212026628</v>
      </c>
      <c r="AB6" s="54">
        <f>'INPUT DATA'!AB185</f>
        <v>0.77647318045602376</v>
      </c>
      <c r="AC6" s="54">
        <f>'INPUT DATA'!AC185</f>
        <v>0.83695566819794931</v>
      </c>
      <c r="AD6" s="54">
        <f>'INPUT DATA'!AD185</f>
        <v>0.80833003928965508</v>
      </c>
      <c r="AE6" s="54">
        <f>'INPUT DATA'!AE185</f>
        <v>0.77654491454162822</v>
      </c>
      <c r="AF6" s="54">
        <f>'INPUT DATA'!AF185</f>
        <v>0.77537888053131476</v>
      </c>
      <c r="AG6" s="54">
        <f>'INPUT DATA'!AG185</f>
        <v>0.81822401631458408</v>
      </c>
      <c r="AH6" s="54">
        <f>'INPUT DATA'!AH185</f>
        <v>0.8503592886289788</v>
      </c>
      <c r="AI6" s="54">
        <f>'INPUT DATA'!AI185</f>
        <v>0.84211466289410686</v>
      </c>
      <c r="AJ6" s="54">
        <f>'INPUT DATA'!AJ185</f>
        <v>0.8122265851030156</v>
      </c>
      <c r="AK6" s="54">
        <f>'INPUT DATA'!AK185</f>
        <v>0.83324822337758164</v>
      </c>
    </row>
    <row r="7" spans="1:37" s="3" customFormat="1">
      <c r="B7" s="3" t="str">
        <f>'INPUT DATA'!B186</f>
        <v>DATE</v>
      </c>
      <c r="D7" s="3">
        <f>'INPUT DATA'!D186</f>
        <v>38805</v>
      </c>
      <c r="E7" s="3">
        <f>'INPUT DATA'!E186</f>
        <v>38805</v>
      </c>
      <c r="F7" s="3">
        <f>'INPUT DATA'!F186</f>
        <v>38805</v>
      </c>
      <c r="G7" s="3">
        <f>'INPUT DATA'!G186</f>
        <v>38805</v>
      </c>
      <c r="H7" s="3">
        <f>'INPUT DATA'!H186</f>
        <v>38805</v>
      </c>
      <c r="I7" s="3">
        <f>'INPUT DATA'!I186</f>
        <v>38805</v>
      </c>
      <c r="M7" s="3" t="str">
        <f>'INPUT DATA'!M186</f>
        <v>DATE</v>
      </c>
      <c r="O7" s="3">
        <f>'INPUT DATA'!O186</f>
        <v>38966</v>
      </c>
      <c r="P7" s="3">
        <f>'INPUT DATA'!P186</f>
        <v>38966</v>
      </c>
      <c r="Q7" s="3">
        <f>'INPUT DATA'!Q186</f>
        <v>38966</v>
      </c>
      <c r="R7" s="3">
        <f>'INPUT DATA'!R186</f>
        <v>38966</v>
      </c>
      <c r="S7" s="3">
        <f>'INPUT DATA'!S186</f>
        <v>38966</v>
      </c>
      <c r="X7" s="3" t="str">
        <f>'INPUT DATA'!X186</f>
        <v>DATE</v>
      </c>
      <c r="Z7" s="3">
        <f>'INPUT DATA'!Z186</f>
        <v>41288</v>
      </c>
      <c r="AA7" s="3">
        <f>'INPUT DATA'!AA186</f>
        <v>41330</v>
      </c>
      <c r="AB7" s="3">
        <f>'INPUT DATA'!AB186</f>
        <v>41339</v>
      </c>
      <c r="AC7" s="3">
        <f>'INPUT DATA'!AC186</f>
        <v>0</v>
      </c>
      <c r="AD7" s="3">
        <f>'INPUT DATA'!AD186</f>
        <v>0</v>
      </c>
      <c r="AE7" s="3">
        <f>'INPUT DATA'!AE186</f>
        <v>41451</v>
      </c>
      <c r="AF7" s="3">
        <f>'INPUT DATA'!AF186</f>
        <v>41485</v>
      </c>
      <c r="AG7" s="3">
        <f>'INPUT DATA'!AG186</f>
        <v>41508</v>
      </c>
      <c r="AH7" s="3">
        <f>'INPUT DATA'!AH186</f>
        <v>41533</v>
      </c>
      <c r="AI7" s="3">
        <f>'INPUT DATA'!AI186</f>
        <v>41558</v>
      </c>
      <c r="AJ7" s="3">
        <f>'INPUT DATA'!AJ186</f>
        <v>41587</v>
      </c>
      <c r="AK7" s="3">
        <f>'INPUT DATA'!AK186</f>
        <v>41638</v>
      </c>
    </row>
    <row r="8" spans="1:37" s="4" customFormat="1">
      <c r="B8" s="4" t="str">
        <f>'INPUT DATA'!B187</f>
        <v>Engine Speed</v>
      </c>
      <c r="C8" s="4" t="str">
        <f>'INPUT DATA'!C187</f>
        <v>rpm</v>
      </c>
      <c r="D8" s="4">
        <f>'INPUT DATA'!D187</f>
        <v>57.4</v>
      </c>
      <c r="E8" s="4">
        <f>'INPUT DATA'!E187</f>
        <v>72.3</v>
      </c>
      <c r="F8" s="4">
        <f>'INPUT DATA'!F187</f>
        <v>82.9</v>
      </c>
      <c r="G8" s="4">
        <f>'INPUT DATA'!G187</f>
        <v>87.9</v>
      </c>
      <c r="H8" s="4">
        <f>'INPUT DATA'!H187</f>
        <v>91</v>
      </c>
      <c r="I8" s="4">
        <f>'INPUT DATA'!I187</f>
        <v>94</v>
      </c>
      <c r="M8" s="4" t="str">
        <f>'INPUT DATA'!M187</f>
        <v>Engine Speed</v>
      </c>
      <c r="N8" s="4" t="str">
        <f>'INPUT DATA'!N187</f>
        <v>rpm</v>
      </c>
      <c r="O8" s="4">
        <f>'INPUT DATA'!O187</f>
        <v>74.89</v>
      </c>
      <c r="P8" s="4">
        <f>'INPUT DATA'!P187</f>
        <v>74.900000000000006</v>
      </c>
      <c r="Q8" s="4">
        <f>'INPUT DATA'!Q187</f>
        <v>90.71</v>
      </c>
      <c r="R8" s="4">
        <f>'INPUT DATA'!R187</f>
        <v>90.7</v>
      </c>
      <c r="S8" s="4">
        <f>'INPUT DATA'!S187</f>
        <v>90.8</v>
      </c>
      <c r="X8" s="4" t="str">
        <f>'INPUT DATA'!X187</f>
        <v>Engine Speed</v>
      </c>
      <c r="Y8" s="4" t="str">
        <f>'INPUT DATA'!Y187</f>
        <v>rpm</v>
      </c>
      <c r="Z8" s="119">
        <f>'INPUT DATA'!Z187</f>
        <v>88.233333333333334</v>
      </c>
      <c r="AA8" s="119">
        <f>'INPUT DATA'!AA187</f>
        <v>90.45</v>
      </c>
      <c r="AB8" s="119">
        <f>'INPUT DATA'!AB187</f>
        <v>89.100000000000009</v>
      </c>
      <c r="AC8" s="119">
        <f>'INPUT DATA'!AC187</f>
        <v>91.350000000000009</v>
      </c>
      <c r="AD8" s="119">
        <f>'INPUT DATA'!AD187</f>
        <v>90.649999999999991</v>
      </c>
      <c r="AE8" s="119">
        <f>'INPUT DATA'!AE187</f>
        <v>89.766666666666652</v>
      </c>
      <c r="AF8" s="119">
        <f>'INPUT DATA'!AF187</f>
        <v>89.083333333333329</v>
      </c>
      <c r="AG8" s="119">
        <f>'INPUT DATA'!AG187</f>
        <v>90.25</v>
      </c>
      <c r="AH8" s="119">
        <f>'INPUT DATA'!AH187</f>
        <v>89.483333333333334</v>
      </c>
      <c r="AI8" s="119">
        <f>'INPUT DATA'!AI187</f>
        <v>89.316666666666663</v>
      </c>
      <c r="AJ8" s="119">
        <f>'INPUT DATA'!AJ187</f>
        <v>89.483333333333334</v>
      </c>
      <c r="AK8" s="119">
        <f>'INPUT DATA'!AK187</f>
        <v>87</v>
      </c>
    </row>
    <row r="9" spans="1:37">
      <c r="A9" s="11"/>
      <c r="B9" s="11" t="str">
        <f>'INPUT DATA'!B188</f>
        <v>E/R Temperature</v>
      </c>
      <c r="C9" s="11" t="str">
        <f>'INPUT DATA'!C188</f>
        <v>K</v>
      </c>
      <c r="D9" s="11">
        <f>'INPUT DATA'!D188</f>
        <v>280.84999999999997</v>
      </c>
      <c r="E9" s="11">
        <f>'INPUT DATA'!E188</f>
        <v>281.25</v>
      </c>
      <c r="F9" s="11">
        <f>'INPUT DATA'!F188</f>
        <v>281.95</v>
      </c>
      <c r="G9" s="11">
        <f>'INPUT DATA'!G188</f>
        <v>282.54999999999995</v>
      </c>
      <c r="H9" s="11">
        <f>'INPUT DATA'!H188</f>
        <v>283.04999999999995</v>
      </c>
      <c r="I9" s="11">
        <f>'INPUT DATA'!I188</f>
        <v>284.04999999999995</v>
      </c>
      <c r="J9" s="11"/>
      <c r="K9" s="11"/>
      <c r="L9" s="11"/>
      <c r="M9" s="11" t="str">
        <f>'INPUT DATA'!M188</f>
        <v>E/R Temperature</v>
      </c>
      <c r="N9" s="11" t="str">
        <f>'INPUT DATA'!N188</f>
        <v>K</v>
      </c>
      <c r="O9" s="11">
        <f>'INPUT DATA'!O188</f>
        <v>308.14999999999998</v>
      </c>
      <c r="P9" s="11">
        <f>'INPUT DATA'!P188</f>
        <v>308.14999999999998</v>
      </c>
      <c r="Q9" s="11">
        <f>'INPUT DATA'!Q188</f>
        <v>307.14999999999998</v>
      </c>
      <c r="R9" s="11">
        <f>'INPUT DATA'!R188</f>
        <v>308.14999999999998</v>
      </c>
      <c r="S9" s="11">
        <f>'INPUT DATA'!S188</f>
        <v>308.14999999999998</v>
      </c>
      <c r="U9" s="11"/>
      <c r="V9" s="11"/>
      <c r="W9" s="11"/>
      <c r="X9" s="11" t="str">
        <f>'INPUT DATA'!X188</f>
        <v>E/R Temperature</v>
      </c>
      <c r="Y9" s="11" t="str">
        <f>'INPUT DATA'!Y188</f>
        <v>K</v>
      </c>
      <c r="Z9" s="11">
        <f>'INPUT DATA'!Z188</f>
        <v>304.14999999999998</v>
      </c>
      <c r="AA9" s="11">
        <f>'INPUT DATA'!AA188</f>
        <v>297.14999999999998</v>
      </c>
      <c r="AB9" s="11">
        <f>'INPUT DATA'!AB188</f>
        <v>304.14999999999998</v>
      </c>
      <c r="AC9" s="11">
        <f>'INPUT DATA'!AC188</f>
        <v>299.14999999999998</v>
      </c>
      <c r="AD9" s="11">
        <f>'INPUT DATA'!AD188</f>
        <v>314.14999999999998</v>
      </c>
      <c r="AE9" s="11">
        <f>'INPUT DATA'!AE188</f>
        <v>307.14999999999998</v>
      </c>
      <c r="AF9" s="11">
        <f>'INPUT DATA'!AF188</f>
        <v>310.14999999999998</v>
      </c>
      <c r="AG9" s="11">
        <f>'INPUT DATA'!AG188</f>
        <v>314.14999999999998</v>
      </c>
      <c r="AH9" s="11">
        <f>'INPUT DATA'!AH188</f>
        <v>310.14999999999998</v>
      </c>
      <c r="AI9" s="11">
        <f>'INPUT DATA'!AI188</f>
        <v>311.14999999999998</v>
      </c>
      <c r="AJ9" s="11">
        <f>'INPUT DATA'!AJ188</f>
        <v>308.14999999999998</v>
      </c>
      <c r="AK9" s="11">
        <f>'INPUT DATA'!AK188</f>
        <v>305.14999999999998</v>
      </c>
    </row>
    <row r="10" spans="1:37" s="9" customFormat="1">
      <c r="B10" s="9" t="str">
        <f>'INPUT DATA'!B189</f>
        <v xml:space="preserve">Ambient Pressure </v>
      </c>
      <c r="C10" s="9" t="str">
        <f>'INPUT DATA'!C189</f>
        <v>mbar</v>
      </c>
      <c r="D10" s="9">
        <f>'INPUT DATA'!D189</f>
        <v>1007.11733406</v>
      </c>
      <c r="E10" s="9">
        <f>'INPUT DATA'!E189</f>
        <v>1006.71736689</v>
      </c>
      <c r="F10" s="9">
        <f>'INPUT DATA'!F189</f>
        <v>1006.31739972</v>
      </c>
      <c r="G10" s="9">
        <f>'INPUT DATA'!G189</f>
        <v>1006.05075494</v>
      </c>
      <c r="H10" s="9">
        <f>'INPUT DATA'!H189</f>
        <v>1005.65078777</v>
      </c>
      <c r="I10" s="9">
        <f>'INPUT DATA'!I189</f>
        <v>1004.5842086500001</v>
      </c>
      <c r="M10" s="9" t="str">
        <f>'INPUT DATA'!M189</f>
        <v xml:space="preserve">Ambient Pressure </v>
      </c>
      <c r="N10" s="9" t="str">
        <f>'INPUT DATA'!N189</f>
        <v>mbar</v>
      </c>
      <c r="O10" s="9">
        <f>'INPUT DATA'!O189</f>
        <v>1003.9175967</v>
      </c>
      <c r="P10" s="9">
        <f>'INPUT DATA'!P189</f>
        <v>1003.9175967</v>
      </c>
      <c r="Q10" s="9">
        <f>'INPUT DATA'!Q189</f>
        <v>1003.9175967</v>
      </c>
      <c r="R10" s="9">
        <f>'INPUT DATA'!R189</f>
        <v>1003.9175967</v>
      </c>
      <c r="S10" s="9">
        <f>'INPUT DATA'!S189</f>
        <v>1003.9175967</v>
      </c>
      <c r="X10" s="9" t="str">
        <f>'INPUT DATA'!X189</f>
        <v xml:space="preserve">Ambient Pressure </v>
      </c>
      <c r="Y10" s="9" t="str">
        <f>'INPUT DATA'!Y189</f>
        <v>mbar</v>
      </c>
      <c r="Z10" s="9">
        <f>'INPUT DATA'!Z189</f>
        <v>1032</v>
      </c>
      <c r="AA10" s="9">
        <f>'INPUT DATA'!AA189</f>
        <v>1030</v>
      </c>
      <c r="AB10" s="9">
        <f>'INPUT DATA'!AB189</f>
        <v>1013</v>
      </c>
      <c r="AC10" s="9">
        <f>'INPUT DATA'!AC189</f>
        <v>1042</v>
      </c>
      <c r="AD10" s="9">
        <f>'INPUT DATA'!AD189</f>
        <v>1021</v>
      </c>
      <c r="AE10" s="9">
        <f>'INPUT DATA'!AE189</f>
        <v>1024</v>
      </c>
      <c r="AF10" s="9">
        <f>'INPUT DATA'!AF189</f>
        <v>1020</v>
      </c>
      <c r="AG10" s="9">
        <f>'INPUT DATA'!AG189</f>
        <v>1022</v>
      </c>
      <c r="AH10" s="9">
        <f>'INPUT DATA'!AH189</f>
        <v>1011</v>
      </c>
      <c r="AI10" s="9">
        <f>'INPUT DATA'!AI189</f>
        <v>1021</v>
      </c>
      <c r="AJ10" s="9">
        <f>'INPUT DATA'!AJ189</f>
        <v>1019</v>
      </c>
      <c r="AK10" s="9">
        <f>'INPUT DATA'!AK189</f>
        <v>1024</v>
      </c>
    </row>
    <row r="11" spans="1:37" s="16" customFormat="1">
      <c r="B11" s="16" t="str">
        <f>'INPUT DATA'!B190</f>
        <v>IMEP</v>
      </c>
      <c r="C11" s="16" t="str">
        <f>'INPUT DATA'!C190</f>
        <v>bar</v>
      </c>
      <c r="D11" s="16">
        <f>'INPUT DATA'!D190</f>
        <v>7.8049999999999997</v>
      </c>
      <c r="E11" s="16">
        <f>'INPUT DATA'!E190</f>
        <v>11.831666666666665</v>
      </c>
      <c r="F11" s="16">
        <f>'INPUT DATA'!F190</f>
        <v>15.178333333333333</v>
      </c>
      <c r="G11" s="16">
        <f>'INPUT DATA'!G190</f>
        <v>17.033333333333331</v>
      </c>
      <c r="H11" s="16">
        <f>'INPUT DATA'!H190</f>
        <v>18.195</v>
      </c>
      <c r="I11" s="16">
        <f>'INPUT DATA'!I190</f>
        <v>19.383333333333333</v>
      </c>
      <c r="M11" s="16" t="str">
        <f>'INPUT DATA'!M190</f>
        <v>IMEP</v>
      </c>
      <c r="N11" s="16" t="str">
        <f>'INPUT DATA'!N190</f>
        <v>bar</v>
      </c>
      <c r="O11" s="16" t="str">
        <f>'INPUT DATA'!O190</f>
        <v xml:space="preserve"> </v>
      </c>
      <c r="P11" s="16" t="str">
        <f>'INPUT DATA'!P190</f>
        <v xml:space="preserve"> </v>
      </c>
      <c r="Q11" s="16" t="str">
        <f>'INPUT DATA'!Q190</f>
        <v xml:space="preserve"> </v>
      </c>
      <c r="R11" s="16" t="str">
        <f>'INPUT DATA'!R190</f>
        <v xml:space="preserve"> </v>
      </c>
      <c r="S11" s="16" t="str">
        <f>'INPUT DATA'!S190</f>
        <v xml:space="preserve"> </v>
      </c>
      <c r="X11" s="16" t="str">
        <f>'INPUT DATA'!X190</f>
        <v>IMEP</v>
      </c>
      <c r="Y11" s="16" t="str">
        <f>'INPUT DATA'!Y190</f>
        <v>bar</v>
      </c>
      <c r="Z11" s="16">
        <f>'INPUT DATA'!Z190</f>
        <v>15.5</v>
      </c>
      <c r="AA11" s="16">
        <f>'INPUT DATA'!AA190</f>
        <v>14.816666666666668</v>
      </c>
      <c r="AB11" s="16">
        <f>'INPUT DATA'!AB190</f>
        <v>14.633333333333333</v>
      </c>
      <c r="AC11" s="16">
        <f>'INPUT DATA'!AC190</f>
        <v>15.333333333333334</v>
      </c>
      <c r="AD11" s="16">
        <f>'INPUT DATA'!AD190</f>
        <v>14.950000000000001</v>
      </c>
      <c r="AE11" s="16">
        <f>'INPUT DATA'!AE190</f>
        <v>14.533333333333331</v>
      </c>
      <c r="AF11" s="16">
        <f>'INPUT DATA'!AF190</f>
        <v>14.616666666666667</v>
      </c>
      <c r="AG11" s="16">
        <f>'INPUT DATA'!AG190</f>
        <v>15.183333333333335</v>
      </c>
      <c r="AH11" s="16">
        <f>'INPUT DATA'!AH190</f>
        <v>15.866666666666669</v>
      </c>
      <c r="AI11" s="16">
        <f>'INPUT DATA'!AI190</f>
        <v>15.75</v>
      </c>
      <c r="AJ11" s="16">
        <f>'INPUT DATA'!AJ190</f>
        <v>15.200000000000001</v>
      </c>
      <c r="AK11" s="16">
        <f>'INPUT DATA'!AK190</f>
        <v>15.983333333333333</v>
      </c>
    </row>
    <row r="12" spans="1:37" s="16" customFormat="1">
      <c r="B12" s="16" t="str">
        <f>'INPUT DATA'!B191</f>
        <v>Fuel Pump Index</v>
      </c>
      <c r="C12" s="16" t="str">
        <f>'INPUT DATA'!C191</f>
        <v>-</v>
      </c>
      <c r="D12" s="16">
        <f>'INPUT DATA'!D191</f>
        <v>41.5</v>
      </c>
      <c r="E12" s="16">
        <f>'INPUT DATA'!E191</f>
        <v>56.5</v>
      </c>
      <c r="F12" s="16">
        <f>'INPUT DATA'!F191</f>
        <v>69.666666666666671</v>
      </c>
      <c r="G12" s="16">
        <f>'INPUT DATA'!G191</f>
        <v>78.5</v>
      </c>
      <c r="H12" s="16">
        <f>'INPUT DATA'!H191</f>
        <v>84.5</v>
      </c>
      <c r="I12" s="16">
        <f>'INPUT DATA'!I191</f>
        <v>90.666666666666671</v>
      </c>
      <c r="M12" s="16" t="str">
        <f>'INPUT DATA'!M191</f>
        <v>Fuel Pump Index</v>
      </c>
      <c r="N12" s="16" t="str">
        <f>'INPUT DATA'!N191</f>
        <v>-</v>
      </c>
      <c r="O12" s="16">
        <f>'INPUT DATA'!O191</f>
        <v>62.166666666666664</v>
      </c>
      <c r="P12" s="16">
        <f>'INPUT DATA'!P191</f>
        <v>64.5</v>
      </c>
      <c r="Q12" s="16">
        <f>'INPUT DATA'!Q191</f>
        <v>84.5</v>
      </c>
      <c r="R12" s="16">
        <f>'INPUT DATA'!R191</f>
        <v>87.5</v>
      </c>
      <c r="S12" s="16">
        <f>'INPUT DATA'!S191</f>
        <v>85.5</v>
      </c>
      <c r="X12" s="16" t="str">
        <f>'INPUT DATA'!X191</f>
        <v>Fuel Pump Index</v>
      </c>
      <c r="Y12" s="16" t="str">
        <f>'INPUT DATA'!Y191</f>
        <v>-</v>
      </c>
      <c r="Z12" s="16">
        <f>'INPUT DATA'!Z191</f>
        <v>83.166666666666671</v>
      </c>
      <c r="AA12" s="16">
        <f>'INPUT DATA'!AA191</f>
        <v>81</v>
      </c>
      <c r="AB12" s="16">
        <f>'INPUT DATA'!AB191</f>
        <v>77.833333333333329</v>
      </c>
      <c r="AC12" s="16">
        <f>'INPUT DATA'!AC191</f>
        <v>86</v>
      </c>
      <c r="AD12" s="16">
        <f>'INPUT DATA'!AD191</f>
        <v>85.333333333333329</v>
      </c>
      <c r="AE12" s="16">
        <f>'INPUT DATA'!AE191</f>
        <v>82.833333333333329</v>
      </c>
      <c r="AF12" s="16">
        <f>'INPUT DATA'!AF191</f>
        <v>81.166666666666671</v>
      </c>
      <c r="AG12" s="16">
        <f>'INPUT DATA'!AG191</f>
        <v>85</v>
      </c>
      <c r="AH12" s="16">
        <f>'INPUT DATA'!AH191</f>
        <v>88.5</v>
      </c>
      <c r="AI12" s="16">
        <f>'INPUT DATA'!AI191</f>
        <v>88.166666666666671</v>
      </c>
      <c r="AJ12" s="16">
        <f>'INPUT DATA'!AJ191</f>
        <v>84.833333333333329</v>
      </c>
      <c r="AK12" s="16">
        <f>'INPUT DATA'!AK191</f>
        <v>80.666666666666671</v>
      </c>
    </row>
    <row r="13" spans="1:37" s="16" customFormat="1">
      <c r="B13" s="16" t="str">
        <f>'INPUT DATA'!B192</f>
        <v>VIT index</v>
      </c>
      <c r="C13" s="16" t="str">
        <f>'INPUT DATA'!C192</f>
        <v>-</v>
      </c>
      <c r="D13" s="16">
        <f>'INPUT DATA'!D192</f>
        <v>1.8166666666666667</v>
      </c>
      <c r="E13" s="16">
        <f>'INPUT DATA'!E192</f>
        <v>2.2333333333333334</v>
      </c>
      <c r="F13" s="16">
        <f>'INPUT DATA'!F192</f>
        <v>2.9333333333333336</v>
      </c>
      <c r="G13" s="16">
        <f>'INPUT DATA'!G192</f>
        <v>3.5999999999999996</v>
      </c>
      <c r="H13" s="16">
        <f>'INPUT DATA'!H192</f>
        <v>1.1333333333333333</v>
      </c>
      <c r="I13" s="16">
        <f>'INPUT DATA'!I192</f>
        <v>0.10000000000000002</v>
      </c>
      <c r="M13" s="16" t="str">
        <f>'INPUT DATA'!M192</f>
        <v>VIT index</v>
      </c>
      <c r="N13" s="16" t="str">
        <f>'INPUT DATA'!N192</f>
        <v>-</v>
      </c>
      <c r="O13" s="16">
        <f>'INPUT DATA'!O192</f>
        <v>1.8833333333333331</v>
      </c>
      <c r="P13" s="16">
        <f>'INPUT DATA'!P192</f>
        <v>2.0333333333333337</v>
      </c>
      <c r="Q13" s="16">
        <f>'INPUT DATA'!Q192</f>
        <v>3.3166666666666664</v>
      </c>
      <c r="R13" s="16">
        <f>'INPUT DATA'!R192</f>
        <v>2.6166666666666667</v>
      </c>
      <c r="S13" s="16">
        <f>'INPUT DATA'!S192</f>
        <v>2.9333333333333336</v>
      </c>
      <c r="X13" s="16" t="str">
        <f>'INPUT DATA'!X192</f>
        <v>VIT index</v>
      </c>
      <c r="Y13" s="16" t="str">
        <f>'INPUT DATA'!Y192</f>
        <v>-</v>
      </c>
      <c r="Z13" s="16">
        <f>'INPUT DATA'!Z192</f>
        <v>3.4166666666666665</v>
      </c>
      <c r="AA13" s="16">
        <f>'INPUT DATA'!AA192</f>
        <v>3.1666666666666665</v>
      </c>
      <c r="AB13" s="16">
        <f>'INPUT DATA'!AB192</f>
        <v>3.2166666666666663</v>
      </c>
      <c r="AC13" s="16">
        <f>'INPUT DATA'!AC192</f>
        <v>2.4</v>
      </c>
      <c r="AD13" s="16">
        <f>'INPUT DATA'!AD192</f>
        <v>3.1999999999999997</v>
      </c>
      <c r="AE13" s="16">
        <f>'INPUT DATA'!AE192</f>
        <v>3.2666666666666662</v>
      </c>
      <c r="AF13" s="16">
        <f>'INPUT DATA'!AF192</f>
        <v>3.3666666666666667</v>
      </c>
      <c r="AG13" s="16">
        <f>'INPUT DATA'!AG192</f>
        <v>3.2333333333333329</v>
      </c>
      <c r="AH13" s="16">
        <f>'INPUT DATA'!AH192</f>
        <v>2.5333333333333332</v>
      </c>
      <c r="AI13" s="16">
        <f>'INPUT DATA'!AI192</f>
        <v>5.8000000000000007</v>
      </c>
      <c r="AJ13" s="16">
        <f>'INPUT DATA'!AJ192</f>
        <v>6.1833333333333327</v>
      </c>
      <c r="AK13" s="16">
        <f>'INPUT DATA'!AK192</f>
        <v>6.0500000000000007</v>
      </c>
    </row>
    <row r="14" spans="1:37">
      <c r="A14" s="11"/>
      <c r="B14" s="11" t="str">
        <f>'INPUT DATA'!B193</f>
        <v>Air Filter Pressure Drop</v>
      </c>
      <c r="C14" s="11" t="str">
        <f>'INPUT DATA'!C193</f>
        <v>mmW</v>
      </c>
      <c r="D14" s="11">
        <f>'INPUT DATA'!D193</f>
        <v>3.5</v>
      </c>
      <c r="E14" s="11">
        <f>'INPUT DATA'!E193</f>
        <v>12</v>
      </c>
      <c r="F14" s="11">
        <f>'INPUT DATA'!F193</f>
        <v>22.5</v>
      </c>
      <c r="G14" s="11">
        <f>'INPUT DATA'!G193</f>
        <v>28</v>
      </c>
      <c r="H14" s="11">
        <f>'INPUT DATA'!H193</f>
        <v>33</v>
      </c>
      <c r="I14" s="11">
        <f>'INPUT DATA'!I193</f>
        <v>37</v>
      </c>
      <c r="J14" s="11"/>
      <c r="K14" s="11"/>
      <c r="L14" s="11"/>
      <c r="M14" s="11" t="str">
        <f>'INPUT DATA'!M193</f>
        <v>Air Filter Pressure Drop</v>
      </c>
      <c r="N14" s="11" t="str">
        <f>'INPUT DATA'!N193</f>
        <v>mmW</v>
      </c>
      <c r="O14" s="11">
        <f>'INPUT DATA'!O193</f>
        <v>19.5</v>
      </c>
      <c r="P14" s="11">
        <f>'INPUT DATA'!P193</f>
        <v>20</v>
      </c>
      <c r="Q14" s="11">
        <f>'INPUT DATA'!Q193</f>
        <v>40</v>
      </c>
      <c r="R14" s="11">
        <f>'INPUT DATA'!R193</f>
        <v>42.5</v>
      </c>
      <c r="S14" s="11">
        <f>'INPUT DATA'!S193</f>
        <v>40</v>
      </c>
      <c r="U14" s="11"/>
      <c r="V14" s="11"/>
      <c r="W14" s="11"/>
      <c r="X14" s="11" t="str">
        <f>'INPUT DATA'!X193</f>
        <v>Air Filter Pressure Drop</v>
      </c>
      <c r="Y14" s="11" t="str">
        <f>'INPUT DATA'!Y193</f>
        <v>mmW</v>
      </c>
      <c r="Z14" s="11">
        <f>'INPUT DATA'!Z193</f>
        <v>50</v>
      </c>
      <c r="AA14" s="11">
        <f>'INPUT DATA'!AA193</f>
        <v>25.5</v>
      </c>
      <c r="AB14" s="11">
        <f>'INPUT DATA'!AB193</f>
        <v>27</v>
      </c>
      <c r="AC14" s="11">
        <f>'INPUT DATA'!AC193</f>
        <v>40</v>
      </c>
      <c r="AD14" s="11">
        <f>'INPUT DATA'!AD193</f>
        <v>40</v>
      </c>
      <c r="AE14" s="11">
        <f>'INPUT DATA'!AE193</f>
        <v>45</v>
      </c>
      <c r="AF14" s="11">
        <f>'INPUT DATA'!AF193</f>
        <v>28.5</v>
      </c>
      <c r="AG14" s="11">
        <f>'INPUT DATA'!AG193</f>
        <v>37.5</v>
      </c>
      <c r="AH14" s="11">
        <f>'INPUT DATA'!AH193</f>
        <v>25</v>
      </c>
      <c r="AI14" s="11">
        <f>'INPUT DATA'!AI193</f>
        <v>7.5</v>
      </c>
      <c r="AJ14" s="11">
        <f>'INPUT DATA'!AJ193</f>
        <v>35</v>
      </c>
      <c r="AK14" s="11">
        <f>'INPUT DATA'!AK193</f>
        <v>35</v>
      </c>
    </row>
    <row r="15" spans="1:37" s="45" customFormat="1">
      <c r="B15" s="45" t="str">
        <f>'INPUT DATA'!B194</f>
        <v>Air Filter Pressure Drop</v>
      </c>
      <c r="C15" s="45" t="str">
        <f>'INPUT DATA'!C194</f>
        <v>bar</v>
      </c>
      <c r="D15" s="45">
        <f>'INPUT DATA'!D194</f>
        <v>3.4323274999999999E-4</v>
      </c>
      <c r="E15" s="45">
        <f>'INPUT DATA'!E194</f>
        <v>1.1767979999999999E-3</v>
      </c>
      <c r="F15" s="45">
        <f>'INPUT DATA'!F194</f>
        <v>2.2064962499999999E-3</v>
      </c>
      <c r="G15" s="45">
        <f>'INPUT DATA'!G194</f>
        <v>2.745862E-3</v>
      </c>
      <c r="H15" s="45">
        <f>'INPUT DATA'!H194</f>
        <v>3.2361945000000001E-3</v>
      </c>
      <c r="I15" s="45">
        <f>'INPUT DATA'!I194</f>
        <v>3.6284605000000002E-3</v>
      </c>
      <c r="M15" s="45" t="str">
        <f>'INPUT DATA'!M194</f>
        <v>Air Filter Pressure Drop</v>
      </c>
      <c r="N15" s="45" t="str">
        <f>'INPUT DATA'!N194</f>
        <v>bar</v>
      </c>
      <c r="O15" s="45">
        <f>'INPUT DATA'!O194</f>
        <v>1.91229675E-3</v>
      </c>
      <c r="P15" s="45">
        <f>'INPUT DATA'!P194</f>
        <v>1.9613299999999998E-3</v>
      </c>
      <c r="Q15" s="45">
        <f>'INPUT DATA'!Q194</f>
        <v>3.9226599999999997E-3</v>
      </c>
      <c r="R15" s="45">
        <f>'INPUT DATA'!R194</f>
        <v>4.1678262500000002E-3</v>
      </c>
      <c r="S15" s="45">
        <f>'INPUT DATA'!S194</f>
        <v>3.9226599999999997E-3</v>
      </c>
      <c r="X15" s="45" t="str">
        <f>'INPUT DATA'!X194</f>
        <v>Air Filter Pressure Drop</v>
      </c>
      <c r="Y15" s="45" t="str">
        <f>'INPUT DATA'!Y194</f>
        <v>bar</v>
      </c>
      <c r="Z15" s="45">
        <f>'INPUT DATA'!Z194</f>
        <v>4.903325E-3</v>
      </c>
      <c r="AA15" s="45">
        <f>'INPUT DATA'!AA194</f>
        <v>2.5006957499999999E-3</v>
      </c>
      <c r="AB15" s="45">
        <f>'INPUT DATA'!AB194</f>
        <v>2.6477954999999998E-3</v>
      </c>
      <c r="AC15" s="45">
        <f>'INPUT DATA'!AC194</f>
        <v>3.9226599999999997E-3</v>
      </c>
      <c r="AD15" s="45">
        <f>'INPUT DATA'!AD194</f>
        <v>3.9226599999999997E-3</v>
      </c>
      <c r="AE15" s="45">
        <f>'INPUT DATA'!AE194</f>
        <v>4.4129924999999999E-3</v>
      </c>
      <c r="AF15" s="45">
        <f>'INPUT DATA'!AF194</f>
        <v>2.7948952499999998E-3</v>
      </c>
      <c r="AG15" s="45">
        <f>'INPUT DATA'!AG194</f>
        <v>3.67749375E-3</v>
      </c>
      <c r="AH15" s="45">
        <f>'INPUT DATA'!AH194</f>
        <v>2.4516625E-3</v>
      </c>
      <c r="AI15" s="45">
        <f>'INPUT DATA'!AI194</f>
        <v>7.3549875000000005E-4</v>
      </c>
      <c r="AJ15" s="45">
        <f>'INPUT DATA'!AJ194</f>
        <v>3.4323274999999999E-3</v>
      </c>
      <c r="AK15" s="45">
        <f>'INPUT DATA'!AK194</f>
        <v>3.4323274999999999E-3</v>
      </c>
    </row>
    <row r="16" spans="1:37">
      <c r="A16" s="11"/>
      <c r="B16" s="11" t="str">
        <f>'INPUT DATA'!B195</f>
        <v>Blower Inlet Temperature</v>
      </c>
      <c r="C16" s="11" t="str">
        <f>'INPUT DATA'!C195</f>
        <v>°C</v>
      </c>
      <c r="D16" s="11">
        <f>'INPUT DATA'!D195</f>
        <v>13.5</v>
      </c>
      <c r="E16" s="11">
        <f>'INPUT DATA'!E195</f>
        <v>15.5</v>
      </c>
      <c r="F16" s="11">
        <f>'INPUT DATA'!F195</f>
        <v>15.5</v>
      </c>
      <c r="G16" s="11">
        <f>'INPUT DATA'!G195</f>
        <v>16</v>
      </c>
      <c r="H16" s="11">
        <f>'INPUT DATA'!H195</f>
        <v>17.5</v>
      </c>
      <c r="I16" s="11">
        <f>'INPUT DATA'!I195</f>
        <v>18</v>
      </c>
      <c r="J16" s="11"/>
      <c r="K16" s="11"/>
      <c r="L16" s="11"/>
      <c r="M16" s="11" t="str">
        <f>'INPUT DATA'!M195</f>
        <v>Blower Inlet Temperature</v>
      </c>
      <c r="N16" s="11" t="str">
        <f>'INPUT DATA'!N195</f>
        <v>°C</v>
      </c>
      <c r="O16" s="11">
        <f>'INPUT DATA'!O195</f>
        <v>37.5</v>
      </c>
      <c r="P16" s="11">
        <f>'INPUT DATA'!P195</f>
        <v>36.5</v>
      </c>
      <c r="Q16" s="11">
        <f>'INPUT DATA'!Q195</f>
        <v>36.75</v>
      </c>
      <c r="R16" s="11">
        <f>'INPUT DATA'!R195</f>
        <v>37</v>
      </c>
      <c r="S16" s="11">
        <f>'INPUT DATA'!S195</f>
        <v>37</v>
      </c>
      <c r="U16" s="11"/>
      <c r="V16" s="11"/>
      <c r="W16" s="11"/>
      <c r="X16" s="11" t="str">
        <f>'INPUT DATA'!X195</f>
        <v>Blower Inlet Temperature</v>
      </c>
      <c r="Y16" s="11" t="str">
        <f>'INPUT DATA'!Y195</f>
        <v>°C</v>
      </c>
      <c r="Z16" s="11">
        <f>'INPUT DATA'!Z195</f>
        <v>31</v>
      </c>
      <c r="AA16" s="11">
        <f>'INPUT DATA'!AA195</f>
        <v>24</v>
      </c>
      <c r="AB16" s="11">
        <f>'INPUT DATA'!AB195</f>
        <v>31</v>
      </c>
      <c r="AC16" s="11">
        <f>'INPUT DATA'!AC195</f>
        <v>26</v>
      </c>
      <c r="AD16" s="11">
        <f>'INPUT DATA'!AD195</f>
        <v>41</v>
      </c>
      <c r="AE16" s="11">
        <f>'INPUT DATA'!AE195</f>
        <v>34</v>
      </c>
      <c r="AF16" s="11">
        <f>'INPUT DATA'!AF195</f>
        <v>37</v>
      </c>
      <c r="AG16" s="11">
        <f>'INPUT DATA'!AG195</f>
        <v>41</v>
      </c>
      <c r="AH16" s="11">
        <f>'INPUT DATA'!AH195</f>
        <v>37</v>
      </c>
      <c r="AI16" s="11">
        <f>'INPUT DATA'!AI195</f>
        <v>38</v>
      </c>
      <c r="AJ16" s="11">
        <f>'INPUT DATA'!AJ195</f>
        <v>35</v>
      </c>
      <c r="AK16" s="11">
        <f>'INPUT DATA'!AK195</f>
        <v>32</v>
      </c>
    </row>
    <row r="17" spans="1:37">
      <c r="A17" s="11"/>
      <c r="B17" s="11" t="str">
        <f>'INPUT DATA'!B196</f>
        <v>Turbine inlet Temperature</v>
      </c>
      <c r="C17" s="11" t="str">
        <f>'INPUT DATA'!C196</f>
        <v>°C</v>
      </c>
      <c r="D17" s="11">
        <f>'INPUT DATA'!D196</f>
        <v>253.5</v>
      </c>
      <c r="E17" s="11">
        <f>'INPUT DATA'!E196</f>
        <v>309.5</v>
      </c>
      <c r="F17" s="11">
        <f>'INPUT DATA'!F196</f>
        <v>330</v>
      </c>
      <c r="G17" s="11">
        <f>'INPUT DATA'!G196</f>
        <v>350.5</v>
      </c>
      <c r="H17" s="11">
        <f>'INPUT DATA'!H196</f>
        <v>369.5</v>
      </c>
      <c r="I17" s="11">
        <f>'INPUT DATA'!I196</f>
        <v>397</v>
      </c>
      <c r="J17" s="11"/>
      <c r="K17" s="11"/>
      <c r="L17" s="11"/>
      <c r="M17" s="11" t="str">
        <f>'INPUT DATA'!M196</f>
        <v>Turbine inlet Temperature</v>
      </c>
      <c r="N17" s="11" t="str">
        <f>'INPUT DATA'!N196</f>
        <v>°C</v>
      </c>
      <c r="O17" s="11">
        <f>'INPUT DATA'!O196</f>
        <v>350</v>
      </c>
      <c r="P17" s="11">
        <f>'INPUT DATA'!P196</f>
        <v>360</v>
      </c>
      <c r="Q17" s="11">
        <f>'INPUT DATA'!Q196</f>
        <v>392</v>
      </c>
      <c r="R17" s="11">
        <f>'INPUT DATA'!R196</f>
        <v>395</v>
      </c>
      <c r="S17" s="11">
        <f>'INPUT DATA'!S196</f>
        <v>396.5</v>
      </c>
      <c r="U17" s="11"/>
      <c r="V17" s="11"/>
      <c r="W17" s="11"/>
      <c r="X17" s="11" t="str">
        <f>'INPUT DATA'!X196</f>
        <v>Turbine inlet Temperature</v>
      </c>
      <c r="Y17" s="11" t="str">
        <f>'INPUT DATA'!Y196</f>
        <v>°C</v>
      </c>
      <c r="Z17" s="11">
        <f>'INPUT DATA'!Z196</f>
        <v>370</v>
      </c>
      <c r="AA17" s="11">
        <f>'INPUT DATA'!AA196</f>
        <v>357.5</v>
      </c>
      <c r="AB17" s="11">
        <f>'INPUT DATA'!AB196</f>
        <v>367.5</v>
      </c>
      <c r="AC17" s="11">
        <f>'INPUT DATA'!AC196</f>
        <v>365</v>
      </c>
      <c r="AD17" s="11">
        <f>'INPUT DATA'!AD196</f>
        <v>390</v>
      </c>
      <c r="AE17" s="11">
        <f>'INPUT DATA'!AE196</f>
        <v>372.5</v>
      </c>
      <c r="AF17" s="11">
        <f>'INPUT DATA'!AF196</f>
        <v>375</v>
      </c>
      <c r="AG17" s="11">
        <f>'INPUT DATA'!AG196</f>
        <v>387.5</v>
      </c>
      <c r="AH17" s="11">
        <f>'INPUT DATA'!AH196</f>
        <v>391</v>
      </c>
      <c r="AI17" s="11">
        <f>'INPUT DATA'!AI196</f>
        <v>385</v>
      </c>
      <c r="AJ17" s="11">
        <f>'INPUT DATA'!AJ196</f>
        <v>376.5</v>
      </c>
      <c r="AK17" s="11">
        <f>'INPUT DATA'!AK196</f>
        <v>375</v>
      </c>
    </row>
    <row r="18" spans="1:37">
      <c r="A18" s="11"/>
      <c r="B18" s="11" t="str">
        <f>'INPUT DATA'!B197</f>
        <v>Turbine outlet Temperature</v>
      </c>
      <c r="C18" s="11" t="str">
        <f>'INPUT DATA'!C197</f>
        <v>°C</v>
      </c>
      <c r="D18" s="11">
        <f>'INPUT DATA'!D197</f>
        <v>217.5</v>
      </c>
      <c r="E18" s="11">
        <f>'INPUT DATA'!E197</f>
        <v>217</v>
      </c>
      <c r="F18" s="11">
        <f>'INPUT DATA'!F197</f>
        <v>198</v>
      </c>
      <c r="G18" s="11">
        <f>'INPUT DATA'!G197</f>
        <v>198.5</v>
      </c>
      <c r="H18" s="11">
        <f>'INPUT DATA'!H197</f>
        <v>205</v>
      </c>
      <c r="I18" s="11">
        <f>'INPUT DATA'!I197</f>
        <v>222</v>
      </c>
      <c r="J18" s="11"/>
      <c r="K18" s="11"/>
      <c r="L18" s="11"/>
      <c r="M18" s="11" t="str">
        <f>'INPUT DATA'!M197</f>
        <v>Turbine outlet Temperature</v>
      </c>
      <c r="N18" s="11" t="str">
        <f>'INPUT DATA'!N197</f>
        <v>°C</v>
      </c>
      <c r="O18" s="11">
        <f>'INPUT DATA'!O197</f>
        <v>255</v>
      </c>
      <c r="P18" s="11">
        <f>'INPUT DATA'!P197</f>
        <v>250</v>
      </c>
      <c r="Q18" s="11">
        <f>'INPUT DATA'!Q197</f>
        <v>230</v>
      </c>
      <c r="R18" s="11">
        <f>'INPUT DATA'!R197</f>
        <v>232.5</v>
      </c>
      <c r="S18" s="11">
        <f>'INPUT DATA'!S197</f>
        <v>232.5</v>
      </c>
      <c r="U18" s="11"/>
      <c r="V18" s="11"/>
      <c r="W18" s="11"/>
      <c r="X18" s="11" t="str">
        <f>'INPUT DATA'!X197</f>
        <v>Turbine outlet Temperature</v>
      </c>
      <c r="Y18" s="11" t="str">
        <f>'INPUT DATA'!Y197</f>
        <v>°C</v>
      </c>
      <c r="Z18" s="11">
        <f>'INPUT DATA'!Z197</f>
        <v>230</v>
      </c>
      <c r="AA18" s="11">
        <f>'INPUT DATA'!AA197</f>
        <v>220</v>
      </c>
      <c r="AB18" s="11">
        <f>'INPUT DATA'!AB197</f>
        <v>225</v>
      </c>
      <c r="AC18" s="11">
        <f>'INPUT DATA'!AC197</f>
        <v>220</v>
      </c>
      <c r="AD18" s="11">
        <f>'INPUT DATA'!AD197</f>
        <v>245</v>
      </c>
      <c r="AE18" s="11">
        <f>'INPUT DATA'!AE197</f>
        <v>235</v>
      </c>
      <c r="AF18" s="11">
        <f>'INPUT DATA'!AF197</f>
        <v>235</v>
      </c>
      <c r="AG18" s="11">
        <f>'INPUT DATA'!AG197</f>
        <v>245</v>
      </c>
      <c r="AH18" s="11">
        <f>'INPUT DATA'!AH197</f>
        <v>240</v>
      </c>
      <c r="AI18" s="11">
        <f>'INPUT DATA'!AI197</f>
        <v>235</v>
      </c>
      <c r="AJ18" s="11">
        <f>'INPUT DATA'!AJ197</f>
        <v>230</v>
      </c>
      <c r="AK18" s="11">
        <f>'INPUT DATA'!AK197</f>
        <v>245</v>
      </c>
    </row>
    <row r="19" spans="1:37">
      <c r="A19" s="11"/>
      <c r="B19" s="11" t="str">
        <f>'INPUT DATA'!B198</f>
        <v xml:space="preserve">Exhaust Backpressure </v>
      </c>
      <c r="C19" s="11" t="str">
        <f>'INPUT DATA'!C198</f>
        <v>mmW</v>
      </c>
      <c r="D19" s="11">
        <f>'INPUT DATA'!D198</f>
        <v>20</v>
      </c>
      <c r="E19" s="11">
        <f>'INPUT DATA'!E198</f>
        <v>50</v>
      </c>
      <c r="F19" s="11">
        <f>'INPUT DATA'!F198</f>
        <v>110</v>
      </c>
      <c r="G19" s="11">
        <f>'INPUT DATA'!G198</f>
        <v>160</v>
      </c>
      <c r="H19" s="11">
        <f>'INPUT DATA'!H198</f>
        <v>190</v>
      </c>
      <c r="I19" s="11">
        <f>'INPUT DATA'!I198</f>
        <v>215</v>
      </c>
      <c r="J19" s="11"/>
      <c r="K19" s="11"/>
      <c r="L19" s="11"/>
      <c r="M19" s="11" t="str">
        <f>'INPUT DATA'!M198</f>
        <v xml:space="preserve">Exhaust Backpressure </v>
      </c>
      <c r="N19" s="11" t="str">
        <f>'INPUT DATA'!N198</f>
        <v>mmW</v>
      </c>
      <c r="O19" s="11">
        <f>'INPUT DATA'!O198</f>
        <v>65</v>
      </c>
      <c r="P19" s="11">
        <f>'INPUT DATA'!P198</f>
        <v>70</v>
      </c>
      <c r="Q19" s="11">
        <f>'INPUT DATA'!Q198</f>
        <v>180</v>
      </c>
      <c r="R19" s="11">
        <f>'INPUT DATA'!R198</f>
        <v>192.5</v>
      </c>
      <c r="S19" s="11">
        <f>'INPUT DATA'!S198</f>
        <v>190</v>
      </c>
      <c r="U19" s="11"/>
      <c r="V19" s="11"/>
      <c r="W19" s="11"/>
      <c r="X19" s="11" t="str">
        <f>'INPUT DATA'!X198</f>
        <v xml:space="preserve">Exhaust Backpressure </v>
      </c>
      <c r="Y19" s="11" t="str">
        <f>'INPUT DATA'!Y198</f>
        <v>mmW</v>
      </c>
      <c r="Z19" s="11">
        <f>'INPUT DATA'!Z198</f>
        <v>0</v>
      </c>
      <c r="AA19" s="11">
        <f>'INPUT DATA'!AA198</f>
        <v>0</v>
      </c>
      <c r="AB19" s="11">
        <f>'INPUT DATA'!AB198</f>
        <v>0</v>
      </c>
      <c r="AC19" s="11">
        <f>'INPUT DATA'!AC198</f>
        <v>0</v>
      </c>
      <c r="AD19" s="11">
        <f>'INPUT DATA'!AD198</f>
        <v>0</v>
      </c>
      <c r="AE19" s="11">
        <f>'INPUT DATA'!AE198</f>
        <v>0</v>
      </c>
      <c r="AF19" s="11">
        <f>'INPUT DATA'!AF198</f>
        <v>0</v>
      </c>
      <c r="AG19" s="11">
        <f>'INPUT DATA'!AG198</f>
        <v>0</v>
      </c>
      <c r="AH19" s="11">
        <f>'INPUT DATA'!AH198</f>
        <v>0</v>
      </c>
      <c r="AI19" s="11">
        <f>'INPUT DATA'!AI198</f>
        <v>0</v>
      </c>
      <c r="AJ19" s="11">
        <f>'INPUT DATA'!AJ198</f>
        <v>0</v>
      </c>
      <c r="AK19" s="11">
        <f>'INPUT DATA'!AK198</f>
        <v>0</v>
      </c>
    </row>
    <row r="20" spans="1:37" s="11" customFormat="1">
      <c r="B20" s="11" t="str">
        <f>'INPUT DATA'!B199</f>
        <v xml:space="preserve">Exhaust Backpressure </v>
      </c>
      <c r="C20" s="11" t="str">
        <f>'INPUT DATA'!C199</f>
        <v>bar</v>
      </c>
      <c r="D20" s="11">
        <f>'INPUT DATA'!D199</f>
        <v>1.9613299999999998E-3</v>
      </c>
      <c r="E20" s="11">
        <f>'INPUT DATA'!E199</f>
        <v>4.903325E-3</v>
      </c>
      <c r="F20" s="11">
        <f>'INPUT DATA'!F199</f>
        <v>1.0787315E-2</v>
      </c>
      <c r="G20" s="11">
        <f>'INPUT DATA'!G199</f>
        <v>1.5690639999999999E-2</v>
      </c>
      <c r="H20" s="11">
        <f>'INPUT DATA'!H199</f>
        <v>1.8632635000000002E-2</v>
      </c>
      <c r="I20" s="11">
        <f>'INPUT DATA'!I199</f>
        <v>2.1084297500000002E-2</v>
      </c>
      <c r="M20" s="11" t="str">
        <f>'INPUT DATA'!M199</f>
        <v xml:space="preserve">Exhaust Backpressure </v>
      </c>
      <c r="N20" s="11" t="str">
        <f>'INPUT DATA'!N199</f>
        <v>bar</v>
      </c>
      <c r="O20" s="11">
        <f>'INPUT DATA'!O199</f>
        <v>6.3743224999999997E-3</v>
      </c>
      <c r="P20" s="11">
        <f>'INPUT DATA'!P199</f>
        <v>6.8646549999999999E-3</v>
      </c>
      <c r="Q20" s="11">
        <f>'INPUT DATA'!Q199</f>
        <v>1.7651969999999999E-2</v>
      </c>
      <c r="R20" s="11">
        <f>'INPUT DATA'!R199</f>
        <v>1.8877801249999999E-2</v>
      </c>
      <c r="S20" s="11">
        <f>'INPUT DATA'!S199</f>
        <v>1.8632635000000002E-2</v>
      </c>
      <c r="X20" s="11" t="str">
        <f>'INPUT DATA'!X199</f>
        <v xml:space="preserve">Exhaust Backpressure </v>
      </c>
      <c r="Y20" s="11" t="str">
        <f>'INPUT DATA'!Y199</f>
        <v>bar</v>
      </c>
      <c r="Z20" s="11">
        <f>'INPUT DATA'!Z199</f>
        <v>0</v>
      </c>
      <c r="AA20" s="11">
        <f>'INPUT DATA'!AA199</f>
        <v>0</v>
      </c>
      <c r="AB20" s="11">
        <f>'INPUT DATA'!AB199</f>
        <v>0</v>
      </c>
      <c r="AC20" s="11">
        <f>'INPUT DATA'!AC199</f>
        <v>0</v>
      </c>
      <c r="AD20" s="11">
        <f>'INPUT DATA'!AD199</f>
        <v>0</v>
      </c>
      <c r="AE20" s="11">
        <f>'INPUT DATA'!AE199</f>
        <v>0</v>
      </c>
      <c r="AF20" s="11">
        <f>'INPUT DATA'!AF199</f>
        <v>0</v>
      </c>
      <c r="AG20" s="11">
        <f>'INPUT DATA'!AG199</f>
        <v>0</v>
      </c>
      <c r="AH20" s="11">
        <f>'INPUT DATA'!AH199</f>
        <v>0</v>
      </c>
      <c r="AI20" s="11">
        <f>'INPUT DATA'!AI199</f>
        <v>0</v>
      </c>
      <c r="AJ20" s="11">
        <f>'INPUT DATA'!AJ199</f>
        <v>0</v>
      </c>
      <c r="AK20" s="11">
        <f>'INPUT DATA'!AK199</f>
        <v>0</v>
      </c>
    </row>
    <row r="21" spans="1:37">
      <c r="A21" s="11"/>
      <c r="B21" s="11" t="str">
        <f>'INPUT DATA'!B200</f>
        <v>Scavenge pressure (gauge)</v>
      </c>
      <c r="C21" s="11" t="str">
        <f>'INPUT DATA'!C200</f>
        <v>bar</v>
      </c>
      <c r="D21" s="11">
        <f>'INPUT DATA'!D200</f>
        <v>0.39</v>
      </c>
      <c r="E21" s="11">
        <f>'INPUT DATA'!E200</f>
        <v>1.1000000000000001</v>
      </c>
      <c r="F21" s="11">
        <f>'INPUT DATA'!F200</f>
        <v>1.93</v>
      </c>
      <c r="G21" s="11">
        <f>'INPUT DATA'!G200</f>
        <v>2.37</v>
      </c>
      <c r="H21" s="11">
        <f>'INPUT DATA'!H200</f>
        <v>2.74</v>
      </c>
      <c r="I21" s="11">
        <f>'INPUT DATA'!I200</f>
        <v>3.01</v>
      </c>
      <c r="J21" s="11"/>
      <c r="K21" s="11"/>
      <c r="L21" s="11"/>
      <c r="M21" s="11" t="str">
        <f>'INPUT DATA'!M200</f>
        <v>Scavenge pressure (gauge)</v>
      </c>
      <c r="N21" s="11" t="str">
        <f>'INPUT DATA'!N200</f>
        <v>bar</v>
      </c>
      <c r="O21" s="11">
        <f>'INPUT DATA'!O200</f>
        <v>1.1277647499999999</v>
      </c>
      <c r="P21" s="11">
        <f>'INPUT DATA'!P200</f>
        <v>1.2258312499999999</v>
      </c>
      <c r="Q21" s="11">
        <f>'INPUT DATA'!Q200</f>
        <v>2.4026292500000004</v>
      </c>
      <c r="R21" s="11">
        <f>'INPUT DATA'!R200</f>
        <v>2.5006957499999998</v>
      </c>
      <c r="S21" s="11">
        <f>'INPUT DATA'!S200</f>
        <v>2.4516624999999999</v>
      </c>
      <c r="U21" s="11"/>
      <c r="V21" s="11"/>
      <c r="W21" s="11"/>
      <c r="X21" s="11" t="str">
        <f>'INPUT DATA'!X200</f>
        <v>Scavenge pressure (gauge)</v>
      </c>
      <c r="Y21" s="11" t="str">
        <f>'INPUT DATA'!Y200</f>
        <v>bar</v>
      </c>
      <c r="Z21" s="11">
        <f>'INPUT DATA'!Z200</f>
        <v>2.2999999999999998</v>
      </c>
      <c r="AA21" s="11">
        <f>'INPUT DATA'!AA200</f>
        <v>2.4</v>
      </c>
      <c r="AB21" s="11">
        <f>'INPUT DATA'!AB200</f>
        <v>2.5</v>
      </c>
      <c r="AC21" s="11">
        <f>'INPUT DATA'!AC200</f>
        <v>2.5</v>
      </c>
      <c r="AD21" s="11">
        <f>'INPUT DATA'!AD200</f>
        <v>2.2999999999999998</v>
      </c>
      <c r="AE21" s="11">
        <f>'INPUT DATA'!AE200</f>
        <v>2.5</v>
      </c>
      <c r="AF21" s="11">
        <f>'INPUT DATA'!AF200</f>
        <v>2.2000000000000002</v>
      </c>
      <c r="AG21" s="11">
        <f>'INPUT DATA'!AG200</f>
        <v>2.5</v>
      </c>
      <c r="AH21" s="11">
        <f>'INPUT DATA'!AH200</f>
        <v>2.7</v>
      </c>
      <c r="AI21" s="11">
        <f>'INPUT DATA'!AI200</f>
        <v>2.6</v>
      </c>
      <c r="AJ21" s="11">
        <f>'INPUT DATA'!AJ200</f>
        <v>2.2000000000000002</v>
      </c>
      <c r="AK21" s="11">
        <f>'INPUT DATA'!AK200</f>
        <v>2.1</v>
      </c>
    </row>
    <row r="22" spans="1:37">
      <c r="A22" s="11"/>
      <c r="B22" s="11" t="str">
        <f>'INPUT DATA'!B201</f>
        <v>Exhaust rec. Pressure (gauge)</v>
      </c>
      <c r="C22" s="11" t="str">
        <f>'INPUT DATA'!C201</f>
        <v>bar</v>
      </c>
      <c r="D22" s="11">
        <f>'INPUT DATA'!D201</f>
        <v>0.31</v>
      </c>
      <c r="E22" s="11">
        <f>'INPUT DATA'!E201</f>
        <v>0.94</v>
      </c>
      <c r="F22" s="11">
        <f>'INPUT DATA'!F201</f>
        <v>1.73</v>
      </c>
      <c r="G22" s="11">
        <f>'INPUT DATA'!G201</f>
        <v>2.16</v>
      </c>
      <c r="H22" s="11">
        <f>'INPUT DATA'!H201</f>
        <v>2.48</v>
      </c>
      <c r="I22" s="11">
        <f>'INPUT DATA'!I201</f>
        <v>2.79</v>
      </c>
      <c r="J22" s="11"/>
      <c r="K22" s="11"/>
      <c r="L22" s="11"/>
      <c r="M22" s="11" t="str">
        <f>'INPUT DATA'!M201</f>
        <v>Exhaust rec. Pressure (gauge)</v>
      </c>
      <c r="N22" s="11" t="str">
        <f>'INPUT DATA'!N201</f>
        <v>bar</v>
      </c>
      <c r="O22" s="11">
        <f>'INPUT DATA'!O201</f>
        <v>0</v>
      </c>
      <c r="P22" s="11">
        <f>'INPUT DATA'!P201</f>
        <v>0</v>
      </c>
      <c r="Q22" s="11">
        <f>'INPUT DATA'!Q201</f>
        <v>0</v>
      </c>
      <c r="R22" s="11">
        <f>'INPUT DATA'!R201</f>
        <v>0</v>
      </c>
      <c r="S22" s="11">
        <f>'INPUT DATA'!S201</f>
        <v>0</v>
      </c>
      <c r="U22" s="11"/>
      <c r="V22" s="11"/>
      <c r="W22" s="11"/>
      <c r="X22" s="11" t="str">
        <f>'INPUT DATA'!X201</f>
        <v>Exhaust rec. Pressure (gauge)</v>
      </c>
      <c r="Y22" s="11" t="str">
        <f>'INPUT DATA'!Y201</f>
        <v>bar</v>
      </c>
      <c r="Z22" s="11">
        <f>'INPUT DATA'!Z201</f>
        <v>2.2000000000000002</v>
      </c>
      <c r="AA22" s="11">
        <f>'INPUT DATA'!AA201</f>
        <v>2.5</v>
      </c>
      <c r="AB22" s="11">
        <f>'INPUT DATA'!AB201</f>
        <v>2.5</v>
      </c>
      <c r="AC22" s="11">
        <f>'INPUT DATA'!AC201</f>
        <v>2.1</v>
      </c>
      <c r="AD22" s="11">
        <f>'INPUT DATA'!AD201</f>
        <v>2.2000000000000002</v>
      </c>
      <c r="AE22" s="11">
        <f>'INPUT DATA'!AE201</f>
        <v>0</v>
      </c>
      <c r="AF22" s="11">
        <f>'INPUT DATA'!AF201</f>
        <v>2</v>
      </c>
      <c r="AG22" s="11">
        <f>'INPUT DATA'!AG201</f>
        <v>0</v>
      </c>
      <c r="AH22" s="11">
        <f>'INPUT DATA'!AH201</f>
        <v>0</v>
      </c>
      <c r="AI22" s="11">
        <f>'INPUT DATA'!AI201</f>
        <v>2.2999999999999998</v>
      </c>
      <c r="AJ22" s="11">
        <f>'INPUT DATA'!AJ201</f>
        <v>1.8</v>
      </c>
      <c r="AK22" s="11">
        <f>'INPUT DATA'!AK201</f>
        <v>1.6</v>
      </c>
    </row>
    <row r="23" spans="1:37" s="9" customFormat="1">
      <c r="B23" s="9" t="str">
        <f>'INPUT DATA'!B202</f>
        <v>Heating Value</v>
      </c>
      <c r="C23" s="9" t="str">
        <f>'INPUT DATA'!C202</f>
        <v>kJ/kg</v>
      </c>
      <c r="D23" s="9">
        <f>'INPUT DATA'!D202</f>
        <v>42089.900399999999</v>
      </c>
      <c r="E23" s="9">
        <f>'INPUT DATA'!E202</f>
        <v>42089.900399999999</v>
      </c>
      <c r="F23" s="9">
        <f>'INPUT DATA'!F202</f>
        <v>42089.900399999999</v>
      </c>
      <c r="G23" s="9">
        <f>'INPUT DATA'!G202</f>
        <v>42089.900399999999</v>
      </c>
      <c r="H23" s="9">
        <f>'INPUT DATA'!H202</f>
        <v>42089.900399999999</v>
      </c>
      <c r="I23" s="9">
        <f>'INPUT DATA'!I202</f>
        <v>42089.900399999999</v>
      </c>
      <c r="M23" s="9" t="str">
        <f>'INPUT DATA'!M202</f>
        <v>Heating Value</v>
      </c>
      <c r="N23" s="9" t="str">
        <f>'INPUT DATA'!N202</f>
        <v>kJ/kg</v>
      </c>
      <c r="O23" s="9">
        <f>'INPUT DATA'!O202</f>
        <v>40092.796799999996</v>
      </c>
      <c r="P23" s="9">
        <f>'INPUT DATA'!P202</f>
        <v>40092.796799999996</v>
      </c>
      <c r="Q23" s="9">
        <f>'INPUT DATA'!Q202</f>
        <v>40092.796799999996</v>
      </c>
      <c r="R23" s="9">
        <f>'INPUT DATA'!R202</f>
        <v>40092.796799999996</v>
      </c>
      <c r="S23" s="9">
        <f>'INPUT DATA'!S202</f>
        <v>40092.796799999996</v>
      </c>
      <c r="X23" s="9" t="str">
        <f>'INPUT DATA'!X202</f>
        <v>Heating Value</v>
      </c>
      <c r="Y23" s="9" t="str">
        <f>'INPUT DATA'!Y202</f>
        <v>kJ/kg</v>
      </c>
      <c r="Z23" s="9">
        <f>'INPUT DATA'!Z202</f>
        <v>41190</v>
      </c>
      <c r="AA23" s="9">
        <f>'INPUT DATA'!AA202</f>
        <v>41110</v>
      </c>
      <c r="AB23" s="9">
        <f>'INPUT DATA'!AB202</f>
        <v>41160</v>
      </c>
      <c r="AC23" s="9">
        <f>'INPUT DATA'!AC202</f>
        <v>41160</v>
      </c>
      <c r="AD23" s="9">
        <f>'INPUT DATA'!AD202</f>
        <v>42730</v>
      </c>
      <c r="AE23" s="9">
        <f>'INPUT DATA'!AE202</f>
        <v>42730</v>
      </c>
      <c r="AF23" s="9">
        <f>'INPUT DATA'!AF202</f>
        <v>42730</v>
      </c>
      <c r="AG23" s="9">
        <f>'INPUT DATA'!AG202</f>
        <v>43310</v>
      </c>
      <c r="AH23" s="9">
        <f>'INPUT DATA'!AH202</f>
        <v>41320</v>
      </c>
      <c r="AI23" s="9">
        <f>'INPUT DATA'!AI202</f>
        <v>41320</v>
      </c>
      <c r="AJ23" s="9">
        <f>'INPUT DATA'!AJ202</f>
        <v>41320</v>
      </c>
      <c r="AK23" s="9">
        <f>'INPUT DATA'!AK202</f>
        <v>43410</v>
      </c>
    </row>
    <row r="24" spans="1:37">
      <c r="A24" s="11"/>
      <c r="B24" s="11" t="str">
        <f>'INPUT DATA'!B203</f>
        <v xml:space="preserve">Air Cooler Air Inlet </v>
      </c>
      <c r="C24" s="11" t="str">
        <f>'INPUT DATA'!C203</f>
        <v>°C</v>
      </c>
      <c r="D24" s="11">
        <f>'INPUT DATA'!D203</f>
        <v>23</v>
      </c>
      <c r="E24" s="11">
        <f>'INPUT DATA'!E203</f>
        <v>82.5</v>
      </c>
      <c r="F24" s="11">
        <f>'INPUT DATA'!F203</f>
        <v>127.5</v>
      </c>
      <c r="G24" s="11">
        <f>'INPUT DATA'!G203</f>
        <v>152.5</v>
      </c>
      <c r="H24" s="11">
        <f>'INPUT DATA'!H203</f>
        <v>170</v>
      </c>
      <c r="I24" s="11">
        <f>'INPUT DATA'!I203</f>
        <v>185</v>
      </c>
      <c r="J24" s="11"/>
      <c r="K24" s="11"/>
      <c r="L24" s="11"/>
      <c r="M24" s="11" t="str">
        <f>'INPUT DATA'!M203</f>
        <v xml:space="preserve">Air Cooler Air Inlet </v>
      </c>
      <c r="N24" s="11" t="str">
        <f>'INPUT DATA'!N203</f>
        <v>°C</v>
      </c>
      <c r="O24" s="11">
        <f>'INPUT DATA'!O203</f>
        <v>110</v>
      </c>
      <c r="P24" s="11">
        <f>'INPUT DATA'!P203</f>
        <v>117.5</v>
      </c>
      <c r="Q24" s="11">
        <f>'INPUT DATA'!Q203</f>
        <v>180</v>
      </c>
      <c r="R24" s="11">
        <f>'INPUT DATA'!R203</f>
        <v>187</v>
      </c>
      <c r="S24" s="11">
        <f>'INPUT DATA'!S203</f>
        <v>183.5</v>
      </c>
      <c r="U24" s="11"/>
      <c r="V24" s="11"/>
      <c r="W24" s="11"/>
      <c r="X24" s="11" t="str">
        <f>'INPUT DATA'!X203</f>
        <v xml:space="preserve">Air Cooler Air Inlet </v>
      </c>
      <c r="Y24" s="11" t="str">
        <f>'INPUT DATA'!Y203</f>
        <v>°C</v>
      </c>
      <c r="Z24" s="11">
        <f>'INPUT DATA'!Z203</f>
        <v>162.5</v>
      </c>
      <c r="AA24" s="11">
        <f>'INPUT DATA'!AA203</f>
        <v>157.5</v>
      </c>
      <c r="AB24" s="11">
        <f>'INPUT DATA'!AB203</f>
        <v>155</v>
      </c>
      <c r="AC24" s="11">
        <f>'INPUT DATA'!AC203</f>
        <v>162.5</v>
      </c>
      <c r="AD24" s="11">
        <f>'INPUT DATA'!AD203</f>
        <v>165</v>
      </c>
      <c r="AE24" s="11">
        <f>'INPUT DATA'!AE203</f>
        <v>172.5</v>
      </c>
      <c r="AF24" s="11">
        <f>'INPUT DATA'!AF203</f>
        <v>170</v>
      </c>
      <c r="AG24" s="11">
        <f>'INPUT DATA'!AG203</f>
        <v>177.5</v>
      </c>
      <c r="AH24" s="11">
        <f>'INPUT DATA'!AH203</f>
        <v>162.5</v>
      </c>
      <c r="AI24" s="11">
        <f>'INPUT DATA'!AI203</f>
        <v>177.5</v>
      </c>
      <c r="AJ24" s="11">
        <f>'INPUT DATA'!AJ203</f>
        <v>170</v>
      </c>
      <c r="AK24" s="11">
        <f>'INPUT DATA'!AK203</f>
        <v>152.5</v>
      </c>
    </row>
    <row r="25" spans="1:37">
      <c r="A25" s="11"/>
      <c r="B25" s="11" t="str">
        <f>'INPUT DATA'!B204</f>
        <v>Air Cooler Pressure Drop</v>
      </c>
      <c r="C25" s="11" t="str">
        <f>'INPUT DATA'!C204</f>
        <v>mmW</v>
      </c>
      <c r="D25" s="11">
        <f>'INPUT DATA'!D204</f>
        <v>61.5</v>
      </c>
      <c r="E25" s="11">
        <f>'INPUT DATA'!E204</f>
        <v>114</v>
      </c>
      <c r="F25" s="11">
        <f>'INPUT DATA'!F204</f>
        <v>160</v>
      </c>
      <c r="G25" s="11">
        <f>'INPUT DATA'!G204</f>
        <v>182.5</v>
      </c>
      <c r="H25" s="11">
        <f>'INPUT DATA'!H204</f>
        <v>197.5</v>
      </c>
      <c r="I25" s="11">
        <f>'INPUT DATA'!I204</f>
        <v>205</v>
      </c>
      <c r="J25" s="11"/>
      <c r="K25" s="11"/>
      <c r="L25" s="11"/>
      <c r="M25" s="11" t="str">
        <f>'INPUT DATA'!M204</f>
        <v>Air Cooler Pressure Drop</v>
      </c>
      <c r="N25" s="11" t="str">
        <f>'INPUT DATA'!N204</f>
        <v>mmW</v>
      </c>
      <c r="O25" s="11">
        <f>'INPUT DATA'!O204</f>
        <v>115</v>
      </c>
      <c r="P25" s="11">
        <f>'INPUT DATA'!P204</f>
        <v>122.5</v>
      </c>
      <c r="Q25" s="11">
        <f>'INPUT DATA'!Q204</f>
        <v>185</v>
      </c>
      <c r="R25" s="11">
        <f>'INPUT DATA'!R204</f>
        <v>192.5</v>
      </c>
      <c r="S25" s="11">
        <f>'INPUT DATA'!S204</f>
        <v>190</v>
      </c>
      <c r="U25" s="11"/>
      <c r="V25" s="11"/>
      <c r="W25" s="11"/>
      <c r="X25" s="11" t="str">
        <f>'INPUT DATA'!X204</f>
        <v>Air Cooler Pressure Drop</v>
      </c>
      <c r="Y25" s="11" t="str">
        <f>'INPUT DATA'!Y204</f>
        <v>mmW</v>
      </c>
      <c r="Z25" s="11">
        <f>'INPUT DATA'!Z204</f>
        <v>200</v>
      </c>
      <c r="AA25" s="11">
        <f>'INPUT DATA'!AA204</f>
        <v>190</v>
      </c>
      <c r="AB25" s="11">
        <f>'INPUT DATA'!AB204</f>
        <v>190</v>
      </c>
      <c r="AC25" s="11">
        <f>'INPUT DATA'!AC204</f>
        <v>215</v>
      </c>
      <c r="AD25" s="11">
        <f>'INPUT DATA'!AD204</f>
        <v>170</v>
      </c>
      <c r="AE25" s="11">
        <f>'INPUT DATA'!AE204</f>
        <v>190</v>
      </c>
      <c r="AF25" s="11">
        <f>'INPUT DATA'!AF204</f>
        <v>170</v>
      </c>
      <c r="AG25" s="11">
        <f>'INPUT DATA'!AG204</f>
        <v>185</v>
      </c>
      <c r="AH25" s="11">
        <f>'INPUT DATA'!AH204</f>
        <v>190</v>
      </c>
      <c r="AI25" s="11">
        <f>'INPUT DATA'!AI204</f>
        <v>190</v>
      </c>
      <c r="AJ25" s="11">
        <f>'INPUT DATA'!AJ204</f>
        <v>170</v>
      </c>
      <c r="AK25" s="11">
        <f>'INPUT DATA'!AK204</f>
        <v>175</v>
      </c>
    </row>
    <row r="26" spans="1:37" s="11" customFormat="1">
      <c r="B26" s="11" t="str">
        <f>'INPUT DATA'!B205</f>
        <v>Air Cooler Pressure Drop</v>
      </c>
      <c r="C26" s="11" t="str">
        <f>'INPUT DATA'!C205</f>
        <v>bar</v>
      </c>
      <c r="D26" s="11">
        <f>'INPUT DATA'!D205</f>
        <v>6.0310897500000004E-3</v>
      </c>
      <c r="E26" s="11">
        <f>'INPUT DATA'!E205</f>
        <v>1.1179580999999999E-2</v>
      </c>
      <c r="F26" s="11">
        <f>'INPUT DATA'!F205</f>
        <v>1.5690639999999999E-2</v>
      </c>
      <c r="G26" s="11">
        <f>'INPUT DATA'!G205</f>
        <v>1.7897136250000001E-2</v>
      </c>
      <c r="H26" s="11">
        <f>'INPUT DATA'!H205</f>
        <v>1.9368133749999999E-2</v>
      </c>
      <c r="I26" s="11">
        <f>'INPUT DATA'!I205</f>
        <v>2.0103632499999999E-2</v>
      </c>
      <c r="M26" s="11" t="str">
        <f>'INPUT DATA'!M205</f>
        <v>Air Cooler Pressure Drop</v>
      </c>
      <c r="N26" s="11" t="str">
        <f>'INPUT DATA'!N205</f>
        <v>bar</v>
      </c>
      <c r="O26" s="11">
        <f>'INPUT DATA'!O205</f>
        <v>1.12776475E-2</v>
      </c>
      <c r="P26" s="11">
        <f>'INPUT DATA'!P205</f>
        <v>1.201314625E-2</v>
      </c>
      <c r="Q26" s="11">
        <f>'INPUT DATA'!Q205</f>
        <v>1.8142302499999999E-2</v>
      </c>
      <c r="R26" s="11">
        <f>'INPUT DATA'!R205</f>
        <v>1.8877801249999999E-2</v>
      </c>
      <c r="S26" s="11">
        <f>'INPUT DATA'!S205</f>
        <v>1.8632635000000002E-2</v>
      </c>
      <c r="X26" s="11" t="str">
        <f>'INPUT DATA'!X205</f>
        <v>Air Cooler Pressure Drop</v>
      </c>
      <c r="Y26" s="11" t="str">
        <f>'INPUT DATA'!Y205</f>
        <v>bar</v>
      </c>
      <c r="Z26" s="11">
        <f>'INPUT DATA'!Z205</f>
        <v>1.96133E-2</v>
      </c>
      <c r="AA26" s="11">
        <f>'INPUT DATA'!AA205</f>
        <v>1.8632635000000002E-2</v>
      </c>
      <c r="AB26" s="11">
        <f>'INPUT DATA'!AB205</f>
        <v>1.8632635000000002E-2</v>
      </c>
      <c r="AC26" s="11">
        <f>'INPUT DATA'!AC205</f>
        <v>2.1084297500000002E-2</v>
      </c>
      <c r="AD26" s="11">
        <f>'INPUT DATA'!AD205</f>
        <v>1.6671305000000001E-2</v>
      </c>
      <c r="AE26" s="11">
        <f>'INPUT DATA'!AE205</f>
        <v>1.8632635000000002E-2</v>
      </c>
      <c r="AF26" s="11">
        <f>'INPUT DATA'!AF205</f>
        <v>1.6671305000000001E-2</v>
      </c>
      <c r="AG26" s="11">
        <f>'INPUT DATA'!AG205</f>
        <v>1.8142302499999999E-2</v>
      </c>
      <c r="AH26" s="11">
        <f>'INPUT DATA'!AH205</f>
        <v>1.8632635000000002E-2</v>
      </c>
      <c r="AI26" s="11">
        <f>'INPUT DATA'!AI205</f>
        <v>1.8632635000000002E-2</v>
      </c>
      <c r="AJ26" s="11">
        <f>'INPUT DATA'!AJ205</f>
        <v>1.6671305000000001E-2</v>
      </c>
      <c r="AK26" s="11">
        <f>'INPUT DATA'!AK205</f>
        <v>1.71616375E-2</v>
      </c>
    </row>
    <row r="27" spans="1:37">
      <c r="A27" s="11"/>
      <c r="B27" s="11" t="str">
        <f>'INPUT DATA'!B206</f>
        <v>TC Speed</v>
      </c>
      <c r="C27" s="11" t="str">
        <f>'INPUT DATA'!C206</f>
        <v>rpm</v>
      </c>
      <c r="D27" s="11">
        <f>'INPUT DATA'!D206</f>
        <v>5399</v>
      </c>
      <c r="E27" s="11">
        <f>'INPUT DATA'!E206</f>
        <v>9112</v>
      </c>
      <c r="F27" s="11">
        <f>'INPUT DATA'!F206</f>
        <v>11268.5</v>
      </c>
      <c r="G27" s="11">
        <f>'INPUT DATA'!G206</f>
        <v>12216.5</v>
      </c>
      <c r="H27" s="11">
        <f>'INPUT DATA'!H206</f>
        <v>12860.5</v>
      </c>
      <c r="I27" s="11">
        <f>'INPUT DATA'!I206</f>
        <v>13468</v>
      </c>
      <c r="J27" s="11"/>
      <c r="K27" s="11"/>
      <c r="L27" s="11"/>
      <c r="M27" s="11" t="str">
        <f>'INPUT DATA'!M206</f>
        <v>TC Speed</v>
      </c>
      <c r="N27" s="11" t="str">
        <f>'INPUT DATA'!N206</f>
        <v>rpm</v>
      </c>
      <c r="O27" s="11">
        <f>'INPUT DATA'!O206</f>
        <v>9549.5</v>
      </c>
      <c r="P27" s="11">
        <f>'INPUT DATA'!P206</f>
        <v>9897.5</v>
      </c>
      <c r="Q27" s="11">
        <f>'INPUT DATA'!Q206</f>
        <v>12645</v>
      </c>
      <c r="R27" s="11">
        <f>'INPUT DATA'!R206</f>
        <v>12880</v>
      </c>
      <c r="S27" s="11">
        <f>'INPUT DATA'!S206</f>
        <v>12960</v>
      </c>
      <c r="U27" s="11"/>
      <c r="V27" s="11"/>
      <c r="W27" s="11"/>
      <c r="X27" s="11" t="str">
        <f>'INPUT DATA'!X206</f>
        <v>TC Speed</v>
      </c>
      <c r="Y27" s="11" t="str">
        <f>'INPUT DATA'!Y206</f>
        <v>rpm</v>
      </c>
      <c r="Z27" s="11">
        <f>'INPUT DATA'!Z206</f>
        <v>12275</v>
      </c>
      <c r="AA27" s="11">
        <f>'INPUT DATA'!AA206</f>
        <v>12306</v>
      </c>
      <c r="AB27" s="11">
        <f>'INPUT DATA'!AB206</f>
        <v>12405</v>
      </c>
      <c r="AC27" s="11">
        <f>'INPUT DATA'!AC206</f>
        <v>12500</v>
      </c>
      <c r="AD27" s="11">
        <f>'INPUT DATA'!AD206</f>
        <v>12640</v>
      </c>
      <c r="AE27" s="11">
        <f>'INPUT DATA'!AE206</f>
        <v>12375</v>
      </c>
      <c r="AF27" s="11">
        <f>'INPUT DATA'!AF206</f>
        <v>12279</v>
      </c>
      <c r="AG27" s="11">
        <f>'INPUT DATA'!AG206</f>
        <v>12630</v>
      </c>
      <c r="AH27" s="11">
        <f>'INPUT DATA'!AH206</f>
        <v>12862.5</v>
      </c>
      <c r="AI27" s="11">
        <f>'INPUT DATA'!AI206</f>
        <v>12515</v>
      </c>
      <c r="AJ27" s="11">
        <f>'INPUT DATA'!AJ206</f>
        <v>12365.5</v>
      </c>
      <c r="AK27" s="11">
        <f>'INPUT DATA'!AK206</f>
        <v>11860</v>
      </c>
    </row>
    <row r="28" spans="1:37" s="11" customFormat="1">
      <c r="B28" s="11" t="str">
        <f>'INPUT DATA'!B207</f>
        <v>Air Cooler CW Inlet Temp.</v>
      </c>
      <c r="C28" s="11" t="str">
        <f>'INPUT DATA'!C207</f>
        <v>°C</v>
      </c>
      <c r="D28" s="11">
        <f>'INPUT DATA'!D207</f>
        <v>24</v>
      </c>
      <c r="E28" s="11">
        <f>'INPUT DATA'!E207</f>
        <v>25</v>
      </c>
      <c r="F28" s="11">
        <f>'INPUT DATA'!F207</f>
        <v>25</v>
      </c>
      <c r="G28" s="11">
        <f>'INPUT DATA'!G207</f>
        <v>26</v>
      </c>
      <c r="H28" s="11">
        <f>'INPUT DATA'!H207</f>
        <v>27</v>
      </c>
      <c r="I28" s="11">
        <f>'INPUT DATA'!I207</f>
        <v>29</v>
      </c>
      <c r="M28" s="11" t="str">
        <f>'INPUT DATA'!M207</f>
        <v>Air Cooler CW Inlet Temp.</v>
      </c>
      <c r="N28" s="11" t="str">
        <f>'INPUT DATA'!N207</f>
        <v>°C</v>
      </c>
      <c r="O28" s="11">
        <f>'INPUT DATA'!O207</f>
        <v>36</v>
      </c>
      <c r="P28" s="11">
        <f>'INPUT DATA'!P207</f>
        <v>36</v>
      </c>
      <c r="Q28" s="11">
        <f>'INPUT DATA'!Q207</f>
        <v>36</v>
      </c>
      <c r="R28" s="11">
        <f>'INPUT DATA'!R207</f>
        <v>36</v>
      </c>
      <c r="S28" s="11">
        <f>'INPUT DATA'!S207</f>
        <v>36</v>
      </c>
      <c r="X28" s="11" t="str">
        <f>'INPUT DATA'!X207</f>
        <v>Air Cooler CW Inlet Temp.</v>
      </c>
      <c r="Y28" s="11" t="str">
        <f>'INPUT DATA'!Y207</f>
        <v>°C</v>
      </c>
      <c r="Z28" s="11">
        <f>'INPUT DATA'!Z207</f>
        <v>36</v>
      </c>
      <c r="AA28" s="11">
        <f>'INPUT DATA'!AA207</f>
        <v>34</v>
      </c>
      <c r="AB28" s="11">
        <f>'INPUT DATA'!AB207</f>
        <v>35</v>
      </c>
      <c r="AC28" s="11">
        <f>'INPUT DATA'!AC207</f>
        <v>34</v>
      </c>
      <c r="AD28" s="11">
        <f>'INPUT DATA'!AD207</f>
        <v>37</v>
      </c>
      <c r="AE28" s="11">
        <f>'INPUT DATA'!AE207</f>
        <v>34</v>
      </c>
      <c r="AF28" s="11">
        <f>'INPUT DATA'!AF207</f>
        <v>36</v>
      </c>
      <c r="AG28" s="11">
        <f>'INPUT DATA'!AG207</f>
        <v>34</v>
      </c>
      <c r="AH28" s="11">
        <f>'INPUT DATA'!AH207</f>
        <v>35</v>
      </c>
      <c r="AI28" s="11">
        <f>'INPUT DATA'!AI207</f>
        <v>35</v>
      </c>
      <c r="AJ28" s="11">
        <f>'INPUT DATA'!AJ207</f>
        <v>35</v>
      </c>
      <c r="AK28" s="11">
        <f>'INPUT DATA'!AK207</f>
        <v>35</v>
      </c>
    </row>
    <row r="29" spans="1:37">
      <c r="A29" s="11"/>
      <c r="B29" s="11" t="str">
        <f>'INPUT DATA'!B208</f>
        <v>Air Cooler CW Inlet Temp.</v>
      </c>
      <c r="C29" s="11" t="str">
        <f>'INPUT DATA'!C208</f>
        <v>K</v>
      </c>
      <c r="D29" s="11">
        <f>'INPUT DATA'!D208</f>
        <v>297.14999999999998</v>
      </c>
      <c r="E29" s="11">
        <f>'INPUT DATA'!E208</f>
        <v>298.14999999999998</v>
      </c>
      <c r="F29" s="11">
        <f>'INPUT DATA'!F208</f>
        <v>298.14999999999998</v>
      </c>
      <c r="G29" s="11">
        <f>'INPUT DATA'!G208</f>
        <v>299.14999999999998</v>
      </c>
      <c r="H29" s="11">
        <f>'INPUT DATA'!H208</f>
        <v>300.14999999999998</v>
      </c>
      <c r="I29" s="11">
        <f>'INPUT DATA'!I208</f>
        <v>302.14999999999998</v>
      </c>
      <c r="J29" s="11"/>
      <c r="K29" s="11"/>
      <c r="L29" s="11"/>
      <c r="M29" s="11" t="str">
        <f>'INPUT DATA'!M208</f>
        <v>Air Cooler CW Inlet Temp.</v>
      </c>
      <c r="N29" s="11" t="str">
        <f>'INPUT DATA'!N208</f>
        <v>K</v>
      </c>
      <c r="O29" s="11">
        <f>'INPUT DATA'!O208</f>
        <v>309.14999999999998</v>
      </c>
      <c r="P29" s="11">
        <f>'INPUT DATA'!P208</f>
        <v>309.14999999999998</v>
      </c>
      <c r="Q29" s="11">
        <f>'INPUT DATA'!Q208</f>
        <v>309.14999999999998</v>
      </c>
      <c r="R29" s="11">
        <f>'INPUT DATA'!R208</f>
        <v>309.14999999999998</v>
      </c>
      <c r="S29" s="11">
        <f>'INPUT DATA'!S208</f>
        <v>309.14999999999998</v>
      </c>
      <c r="U29" s="11"/>
      <c r="V29" s="11"/>
      <c r="W29" s="11"/>
      <c r="X29" s="11" t="str">
        <f>'INPUT DATA'!X208</f>
        <v>Air Cooler CW Inlet Temp.</v>
      </c>
      <c r="Y29" s="11" t="str">
        <f>'INPUT DATA'!Y208</f>
        <v>K</v>
      </c>
      <c r="Z29" s="11">
        <f>'INPUT DATA'!Z208</f>
        <v>309.14999999999998</v>
      </c>
      <c r="AA29" s="11">
        <f>'INPUT DATA'!AA208</f>
        <v>307.14999999999998</v>
      </c>
      <c r="AB29" s="11">
        <f>'INPUT DATA'!AB208</f>
        <v>308.14999999999998</v>
      </c>
      <c r="AC29" s="11">
        <f>'INPUT DATA'!AC208</f>
        <v>307.14999999999998</v>
      </c>
      <c r="AD29" s="11">
        <f>'INPUT DATA'!AD208</f>
        <v>310.14999999999998</v>
      </c>
      <c r="AE29" s="11">
        <f>'INPUT DATA'!AE208</f>
        <v>307.14999999999998</v>
      </c>
      <c r="AF29" s="11">
        <f>'INPUT DATA'!AF208</f>
        <v>309.14999999999998</v>
      </c>
      <c r="AG29" s="11">
        <f>'INPUT DATA'!AG208</f>
        <v>307.14999999999998</v>
      </c>
      <c r="AH29" s="11">
        <f>'INPUT DATA'!AH208</f>
        <v>308.14999999999998</v>
      </c>
      <c r="AI29" s="11">
        <f>'INPUT DATA'!AI208</f>
        <v>308.14999999999998</v>
      </c>
      <c r="AJ29" s="11">
        <f>'INPUT DATA'!AJ208</f>
        <v>308.14999999999998</v>
      </c>
      <c r="AK29" s="11">
        <f>'INPUT DATA'!AK208</f>
        <v>308.14999999999998</v>
      </c>
    </row>
    <row r="30" spans="1:37">
      <c r="A30" s="11"/>
      <c r="B30" s="11"/>
      <c r="C30" s="11"/>
      <c r="D30" s="11"/>
      <c r="E30" s="11"/>
      <c r="F30" s="11"/>
      <c r="G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s="29" customFormat="1" ht="15.75">
      <c r="A31" s="29">
        <f>'INPUT DATA'!A210</f>
        <v>1</v>
      </c>
      <c r="B31" s="29" t="str">
        <f>'INPUT DATA'!B210</f>
        <v>Fixed Fluid Data</v>
      </c>
      <c r="L31" s="29">
        <f>A31</f>
        <v>1</v>
      </c>
      <c r="M31" s="29" t="str">
        <f>B31</f>
        <v>Fixed Fluid Data</v>
      </c>
      <c r="X31" s="29" t="str">
        <f>B31</f>
        <v>Fixed Fluid Data</v>
      </c>
    </row>
    <row r="32" spans="1:37" s="52" customFormat="1">
      <c r="B32" s="52" t="str">
        <f>'INPUT DATA'!B211</f>
        <v>P Inlet Fixed Fluid</v>
      </c>
      <c r="C32" s="52" t="str">
        <f>'INPUT DATA'!C211</f>
        <v>bar</v>
      </c>
      <c r="D32" s="52">
        <f>'INPUT DATA'!D211</f>
        <v>1.00677410131</v>
      </c>
      <c r="E32" s="52">
        <f>'INPUT DATA'!E211</f>
        <v>1.0055405688900001</v>
      </c>
      <c r="F32" s="52">
        <f>'INPUT DATA'!F211</f>
        <v>1.0041109034700002</v>
      </c>
      <c r="G32" s="52">
        <f>'INPUT DATA'!G211</f>
        <v>1.0033048929399999</v>
      </c>
      <c r="H32" s="52">
        <f>'INPUT DATA'!H211</f>
        <v>1.0024145932700002</v>
      </c>
      <c r="I32" s="52">
        <f>'INPUT DATA'!I211</f>
        <v>1.00095574815</v>
      </c>
      <c r="M32" s="52" t="str">
        <f>'INPUT DATA'!M211</f>
        <v>P Inlet Fixed Fluid</v>
      </c>
      <c r="N32" s="52" t="str">
        <f>'INPUT DATA'!N211</f>
        <v>bar</v>
      </c>
      <c r="O32" s="52">
        <f>'INPUT DATA'!O211</f>
        <v>1.00200529995</v>
      </c>
      <c r="P32" s="52">
        <f>'INPUT DATA'!P211</f>
        <v>1.0019562666999999</v>
      </c>
      <c r="Q32" s="52">
        <f>'INPUT DATA'!Q211</f>
        <v>0.99999493670000006</v>
      </c>
      <c r="R32" s="52">
        <f>'INPUT DATA'!R211</f>
        <v>0.99974977045000002</v>
      </c>
      <c r="S32" s="52">
        <f>'INPUT DATA'!S211</f>
        <v>0.99999493670000006</v>
      </c>
      <c r="X32" s="52" t="str">
        <f>'INPUT DATA'!X211</f>
        <v>P Inlet Fixed Fluid</v>
      </c>
      <c r="Y32" s="52" t="str">
        <f>'INPUT DATA'!Y211</f>
        <v>bar</v>
      </c>
      <c r="Z32" s="52">
        <f>'INPUT DATA'!Z211</f>
        <v>1.0270966750000001</v>
      </c>
      <c r="AA32" s="52">
        <f>'INPUT DATA'!AA211</f>
        <v>1.02749930425</v>
      </c>
      <c r="AB32" s="52">
        <f>'INPUT DATA'!AB211</f>
        <v>1.0103522045</v>
      </c>
      <c r="AC32" s="52">
        <f>'INPUT DATA'!AC211</f>
        <v>1.0380773400000001</v>
      </c>
      <c r="AD32" s="52">
        <f>'INPUT DATA'!AD211</f>
        <v>1.0170773399999999</v>
      </c>
      <c r="AE32" s="52">
        <f>'INPUT DATA'!AE211</f>
        <v>1.0195870075</v>
      </c>
      <c r="AF32" s="52">
        <f>'INPUT DATA'!AF211</f>
        <v>1.0172051047499999</v>
      </c>
      <c r="AG32" s="52">
        <f>'INPUT DATA'!AG211</f>
        <v>1.0183225062500001</v>
      </c>
      <c r="AH32" s="52">
        <f>'INPUT DATA'!AH211</f>
        <v>1.0085483374999999</v>
      </c>
      <c r="AI32" s="52">
        <f>'INPUT DATA'!AI211</f>
        <v>1.02026450125</v>
      </c>
      <c r="AJ32" s="52">
        <f>'INPUT DATA'!AJ211</f>
        <v>1.0155676724999998</v>
      </c>
      <c r="AK32" s="52">
        <f>'INPUT DATA'!AK211</f>
        <v>1.0205676724999999</v>
      </c>
    </row>
    <row r="33" spans="1:37">
      <c r="A33" s="11"/>
      <c r="B33" s="11" t="str">
        <f>'INPUT DATA'!B212</f>
        <v>T Inlet Fixed Fluid</v>
      </c>
      <c r="C33" s="11" t="str">
        <f>'INPUT DATA'!C212</f>
        <v>K</v>
      </c>
      <c r="D33" s="11">
        <f>'INPUT DATA'!D212</f>
        <v>286.64999999999998</v>
      </c>
      <c r="E33" s="11">
        <f>'INPUT DATA'!E212</f>
        <v>288.64999999999998</v>
      </c>
      <c r="F33" s="11">
        <f>'INPUT DATA'!F212</f>
        <v>288.64999999999998</v>
      </c>
      <c r="G33" s="11">
        <f>'INPUT DATA'!G212</f>
        <v>289.14999999999998</v>
      </c>
      <c r="H33" s="11">
        <f>'INPUT DATA'!H212</f>
        <v>290.64999999999998</v>
      </c>
      <c r="I33" s="11">
        <f>'INPUT DATA'!I212</f>
        <v>291.14999999999998</v>
      </c>
      <c r="J33" s="11"/>
      <c r="K33" s="11"/>
      <c r="L33" s="11"/>
      <c r="M33" s="11" t="str">
        <f>'INPUT DATA'!M212</f>
        <v>T Inlet Fixed Fluid</v>
      </c>
      <c r="N33" s="11" t="str">
        <f>'INPUT DATA'!N212</f>
        <v>K</v>
      </c>
      <c r="O33" s="40">
        <f>'INPUT DATA'!O212</f>
        <v>310.64999999999998</v>
      </c>
      <c r="P33" s="40">
        <f>'INPUT DATA'!P212</f>
        <v>309.64999999999998</v>
      </c>
      <c r="Q33" s="40">
        <f>'INPUT DATA'!Q212</f>
        <v>309.89999999999998</v>
      </c>
      <c r="R33" s="40">
        <f>'INPUT DATA'!R212</f>
        <v>310.14999999999998</v>
      </c>
      <c r="S33" s="40">
        <f>'INPUT DATA'!S212</f>
        <v>310.14999999999998</v>
      </c>
      <c r="U33" s="11"/>
      <c r="V33" s="11"/>
      <c r="W33" s="11"/>
      <c r="X33" s="11" t="str">
        <f>'INPUT DATA'!X212</f>
        <v>T Inlet Fixed Fluid</v>
      </c>
      <c r="Y33" s="11" t="str">
        <f>'INPUT DATA'!Y212</f>
        <v>K</v>
      </c>
      <c r="Z33" s="11">
        <f>'INPUT DATA'!Z212</f>
        <v>304.14999999999998</v>
      </c>
      <c r="AA33" s="11">
        <f>'INPUT DATA'!AA212</f>
        <v>297.14999999999998</v>
      </c>
      <c r="AB33" s="11">
        <f>'INPUT DATA'!AB212</f>
        <v>304.14999999999998</v>
      </c>
      <c r="AC33" s="11">
        <f>'INPUT DATA'!AC212</f>
        <v>299.14999999999998</v>
      </c>
      <c r="AD33" s="11">
        <f>'INPUT DATA'!AD212</f>
        <v>314.14999999999998</v>
      </c>
      <c r="AE33" s="11">
        <f>'INPUT DATA'!AE212</f>
        <v>307.14999999999998</v>
      </c>
      <c r="AF33" s="11">
        <f>'INPUT DATA'!AF212</f>
        <v>310.14999999999998</v>
      </c>
      <c r="AG33" s="11">
        <f>'INPUT DATA'!AG212</f>
        <v>314.14999999999998</v>
      </c>
      <c r="AH33" s="11">
        <f>'INPUT DATA'!AH212</f>
        <v>310.14999999999998</v>
      </c>
      <c r="AI33" s="11">
        <f>'INPUT DATA'!AI212</f>
        <v>311.14999999999998</v>
      </c>
      <c r="AJ33" s="11">
        <f>'INPUT DATA'!AJ212</f>
        <v>308.14999999999998</v>
      </c>
      <c r="AK33" s="11">
        <f>'INPUT DATA'!AK212</f>
        <v>305.14999999999998</v>
      </c>
    </row>
    <row r="34" spans="1:37" s="52" customFormat="1">
      <c r="B34" s="52" t="str">
        <f>'INPUT DATA'!B213</f>
        <v>P Exhaust Fixed Fluid</v>
      </c>
      <c r="C34" s="52" t="str">
        <f>'INPUT DATA'!C213</f>
        <v>bar</v>
      </c>
      <c r="D34" s="52">
        <f>'INPUT DATA'!D213</f>
        <v>1.00907866406</v>
      </c>
      <c r="E34" s="52">
        <f>'INPUT DATA'!E213</f>
        <v>1.0116206918899999</v>
      </c>
      <c r="F34" s="52">
        <f>'INPUT DATA'!F213</f>
        <v>1.0171047147200001</v>
      </c>
      <c r="G34" s="52">
        <f>'INPUT DATA'!G213</f>
        <v>1.02174139494</v>
      </c>
      <c r="H34" s="52">
        <f>'INPUT DATA'!H213</f>
        <v>1.02428342277</v>
      </c>
      <c r="I34" s="52">
        <f>'INPUT DATA'!I213</f>
        <v>1.0256685061500002</v>
      </c>
      <c r="M34" s="52" t="str">
        <f>'INPUT DATA'!M213</f>
        <v>P Exhaust Fixed Fluid</v>
      </c>
      <c r="N34" s="52" t="str">
        <f>'INPUT DATA'!N213</f>
        <v>bar</v>
      </c>
      <c r="O34" s="52">
        <f>'INPUT DATA'!O213</f>
        <v>1.0102919191999999</v>
      </c>
      <c r="P34" s="52">
        <f>'INPUT DATA'!P213</f>
        <v>1.0107822517</v>
      </c>
      <c r="Q34" s="52">
        <f>'INPUT DATA'!Q213</f>
        <v>1.0215695667</v>
      </c>
      <c r="R34" s="52">
        <f>'INPUT DATA'!R213</f>
        <v>1.02279539795</v>
      </c>
      <c r="S34" s="52">
        <f>'INPUT DATA'!S213</f>
        <v>1.0225502316999999</v>
      </c>
      <c r="X34" s="52" t="str">
        <f>'INPUT DATA'!X213</f>
        <v>P Exhaust Fixed Fluid</v>
      </c>
      <c r="Y34" s="52" t="str">
        <f>'INPUT DATA'!Y213</f>
        <v>bar</v>
      </c>
      <c r="Z34" s="52">
        <f>'INPUT DATA'!Z213</f>
        <v>1.032</v>
      </c>
      <c r="AA34" s="52">
        <f>'INPUT DATA'!AA213</f>
        <v>1.03</v>
      </c>
      <c r="AB34" s="52">
        <f>'INPUT DATA'!AB213</f>
        <v>1.0129999999999999</v>
      </c>
      <c r="AC34" s="52">
        <f>'INPUT DATA'!AC213</f>
        <v>1.042</v>
      </c>
      <c r="AD34" s="52">
        <f>'INPUT DATA'!AD213</f>
        <v>1.0209999999999999</v>
      </c>
      <c r="AE34" s="52">
        <f>'INPUT DATA'!AE213</f>
        <v>1.024</v>
      </c>
      <c r="AF34" s="52">
        <f>'INPUT DATA'!AF213</f>
        <v>1.02</v>
      </c>
      <c r="AG34" s="52">
        <f>'INPUT DATA'!AG213</f>
        <v>1.022</v>
      </c>
      <c r="AH34" s="52">
        <f>'INPUT DATA'!AH213</f>
        <v>1.0109999999999999</v>
      </c>
      <c r="AI34" s="52">
        <f>'INPUT DATA'!AI213</f>
        <v>1.0209999999999999</v>
      </c>
      <c r="AJ34" s="52">
        <f>'INPUT DATA'!AJ213</f>
        <v>1.0189999999999999</v>
      </c>
      <c r="AK34" s="52">
        <f>'INPUT DATA'!AK213</f>
        <v>1.024</v>
      </c>
    </row>
    <row r="35" spans="1:37">
      <c r="A35" s="11"/>
      <c r="B35" s="11" t="str">
        <f>'INPUT DATA'!B214</f>
        <v>T Exhaust Fixed Fluid</v>
      </c>
      <c r="C35" s="11" t="str">
        <f>'INPUT DATA'!C214</f>
        <v>K</v>
      </c>
      <c r="D35" s="11">
        <f>'INPUT DATA'!D214</f>
        <v>490.65</v>
      </c>
      <c r="E35" s="11">
        <f>'INPUT DATA'!E214</f>
        <v>490.15</v>
      </c>
      <c r="F35" s="11">
        <f>'INPUT DATA'!F214</f>
        <v>471.15</v>
      </c>
      <c r="G35" s="11">
        <f>'INPUT DATA'!G214</f>
        <v>471.65</v>
      </c>
      <c r="H35" s="11">
        <f>'INPUT DATA'!H214</f>
        <v>478.15</v>
      </c>
      <c r="I35" s="11">
        <f>'INPUT DATA'!I214</f>
        <v>495.15</v>
      </c>
      <c r="J35" s="11"/>
      <c r="K35" s="11"/>
      <c r="L35" s="11"/>
      <c r="M35" s="11" t="str">
        <f>'INPUT DATA'!M214</f>
        <v>T Exhaust Fixed Fluid</v>
      </c>
      <c r="N35" s="11" t="str">
        <f>'INPUT DATA'!N214</f>
        <v>K</v>
      </c>
      <c r="O35" s="11">
        <f>'INPUT DATA'!O214</f>
        <v>528.15</v>
      </c>
      <c r="P35" s="11">
        <f>'INPUT DATA'!P214</f>
        <v>523.15</v>
      </c>
      <c r="Q35" s="11">
        <f>'INPUT DATA'!Q214</f>
        <v>503.15</v>
      </c>
      <c r="R35" s="11">
        <f>'INPUT DATA'!R214</f>
        <v>505.65</v>
      </c>
      <c r="S35" s="11">
        <f>'INPUT DATA'!S214</f>
        <v>505.65</v>
      </c>
      <c r="U35" s="11"/>
      <c r="V35" s="11"/>
      <c r="W35" s="11"/>
      <c r="X35" s="11" t="str">
        <f>'INPUT DATA'!X214</f>
        <v>T Exhaust Fixed Fluid</v>
      </c>
      <c r="Y35" s="11" t="str">
        <f>'INPUT DATA'!Y214</f>
        <v>K</v>
      </c>
      <c r="Z35" s="11">
        <f>'INPUT DATA'!Z214</f>
        <v>503.15</v>
      </c>
      <c r="AA35" s="11">
        <f>'INPUT DATA'!AA214</f>
        <v>493.15</v>
      </c>
      <c r="AB35" s="11">
        <f>'INPUT DATA'!AB214</f>
        <v>498.15</v>
      </c>
      <c r="AC35" s="11">
        <f>'INPUT DATA'!AC214</f>
        <v>493.15</v>
      </c>
      <c r="AD35" s="11">
        <f>'INPUT DATA'!AD214</f>
        <v>518.15</v>
      </c>
      <c r="AE35" s="11">
        <f>'INPUT DATA'!AE214</f>
        <v>508.15</v>
      </c>
      <c r="AF35" s="11">
        <f>'INPUT DATA'!AF214</f>
        <v>508.15</v>
      </c>
      <c r="AG35" s="11">
        <f>'INPUT DATA'!AG214</f>
        <v>518.15</v>
      </c>
      <c r="AH35" s="11">
        <f>'INPUT DATA'!AH214</f>
        <v>513.15</v>
      </c>
      <c r="AI35" s="11">
        <f>'INPUT DATA'!AI214</f>
        <v>508.15</v>
      </c>
      <c r="AJ35" s="11">
        <f>'INPUT DATA'!AJ214</f>
        <v>503.15</v>
      </c>
      <c r="AK35" s="11">
        <f>'INPUT DATA'!AK214</f>
        <v>518.15</v>
      </c>
    </row>
    <row r="36" spans="1:37" s="59" customFormat="1">
      <c r="B36" s="59" t="str">
        <f>'INPUT DATA'!B215</f>
        <v>P scavenge receiver</v>
      </c>
      <c r="C36" s="59" t="str">
        <f>'INPUT DATA'!C215</f>
        <v>bar</v>
      </c>
      <c r="D36" s="59">
        <f>'INPUT DATA'!D215</f>
        <v>1.3971173340599998</v>
      </c>
      <c r="E36" s="59">
        <f>'INPUT DATA'!E215</f>
        <v>2.1067173668899999</v>
      </c>
      <c r="F36" s="59">
        <f>'INPUT DATA'!F215</f>
        <v>2.9363173997200001</v>
      </c>
      <c r="G36" s="59">
        <f>'INPUT DATA'!G215</f>
        <v>3.3760507549400001</v>
      </c>
      <c r="H36" s="59">
        <f>'INPUT DATA'!H215</f>
        <v>3.7456507877700003</v>
      </c>
      <c r="I36" s="59">
        <f>'INPUT DATA'!I215</f>
        <v>4.0145842086499997</v>
      </c>
      <c r="M36" s="59" t="str">
        <f>'INPUT DATA'!M215</f>
        <v>P scavenge receiver</v>
      </c>
      <c r="N36" s="59" t="str">
        <f>'INPUT DATA'!N215</f>
        <v>bar</v>
      </c>
      <c r="O36" s="59">
        <f>'INPUT DATA'!O215</f>
        <v>2.1316823466999999</v>
      </c>
      <c r="P36" s="59">
        <f>'INPUT DATA'!P215</f>
        <v>2.2297488466999997</v>
      </c>
      <c r="Q36" s="59">
        <f>'INPUT DATA'!Q215</f>
        <v>3.4065468467000004</v>
      </c>
      <c r="R36" s="59">
        <f>'INPUT DATA'!R215</f>
        <v>3.5046133466999998</v>
      </c>
      <c r="S36" s="59">
        <f>'INPUT DATA'!S215</f>
        <v>3.4555800966999999</v>
      </c>
      <c r="X36" s="59" t="str">
        <f>'INPUT DATA'!X215</f>
        <v>P scavenge receiver</v>
      </c>
      <c r="Y36" s="59" t="str">
        <f>'INPUT DATA'!Y215</f>
        <v>bar</v>
      </c>
      <c r="Z36" s="59">
        <f>'INPUT DATA'!Z215</f>
        <v>3.3319999999999999</v>
      </c>
      <c r="AA36" s="59">
        <f>'INPUT DATA'!AA215</f>
        <v>3.4299999999999997</v>
      </c>
      <c r="AB36" s="59">
        <f>'INPUT DATA'!AB215</f>
        <v>3.5129999999999999</v>
      </c>
      <c r="AC36" s="59">
        <f>'INPUT DATA'!AC215</f>
        <v>3.5419999999999998</v>
      </c>
      <c r="AD36" s="59">
        <f>'INPUT DATA'!AD215</f>
        <v>3.3209999999999997</v>
      </c>
      <c r="AE36" s="59">
        <f>'INPUT DATA'!AE215</f>
        <v>3.524</v>
      </c>
      <c r="AF36" s="59">
        <f>'INPUT DATA'!AF215</f>
        <v>3.22</v>
      </c>
      <c r="AG36" s="59">
        <f>'INPUT DATA'!AG215</f>
        <v>3.5220000000000002</v>
      </c>
      <c r="AH36" s="59">
        <f>'INPUT DATA'!AH215</f>
        <v>3.7110000000000003</v>
      </c>
      <c r="AI36" s="59">
        <f>'INPUT DATA'!AI215</f>
        <v>3.621</v>
      </c>
      <c r="AJ36" s="59">
        <f>'INPUT DATA'!AJ215</f>
        <v>3.2190000000000003</v>
      </c>
      <c r="AK36" s="59">
        <f>'INPUT DATA'!AK215</f>
        <v>3.1240000000000001</v>
      </c>
    </row>
    <row r="37" spans="1:37">
      <c r="A37" s="11"/>
      <c r="B37" s="11" t="str">
        <f>'INPUT DATA'!B216</f>
        <v>T scavenge receiver</v>
      </c>
      <c r="C37" s="11" t="str">
        <f>'INPUT DATA'!C216</f>
        <v>K</v>
      </c>
      <c r="D37" s="11">
        <f>'INPUT DATA'!D216</f>
        <v>303.14999999999998</v>
      </c>
      <c r="E37" s="11">
        <f>'INPUT DATA'!E216</f>
        <v>301.14999999999998</v>
      </c>
      <c r="F37" s="11">
        <f>'INPUT DATA'!F216</f>
        <v>301.14999999999998</v>
      </c>
      <c r="G37" s="11">
        <f>'INPUT DATA'!G216</f>
        <v>303.14999999999998</v>
      </c>
      <c r="H37" s="11">
        <f>'INPUT DATA'!H216</f>
        <v>305.14999999999998</v>
      </c>
      <c r="I37" s="11">
        <f>'INPUT DATA'!I216</f>
        <v>309.14999999999998</v>
      </c>
      <c r="J37" s="11"/>
      <c r="K37" s="11"/>
      <c r="L37" s="11"/>
      <c r="M37" s="11" t="str">
        <f>'INPUT DATA'!M216</f>
        <v>T scavenge receiver</v>
      </c>
      <c r="N37" s="11" t="str">
        <f>'INPUT DATA'!N216</f>
        <v>K</v>
      </c>
      <c r="O37" s="11">
        <f>'INPUT DATA'!O216</f>
        <v>311.14999999999998</v>
      </c>
      <c r="P37" s="11">
        <f>'INPUT DATA'!P216</f>
        <v>312.14999999999998</v>
      </c>
      <c r="Q37" s="11">
        <f>'INPUT DATA'!Q216</f>
        <v>316.14999999999998</v>
      </c>
      <c r="R37" s="11">
        <f>'INPUT DATA'!R216</f>
        <v>317.14999999999998</v>
      </c>
      <c r="S37" s="11">
        <f>'INPUT DATA'!S216</f>
        <v>315.14999999999998</v>
      </c>
      <c r="U37" s="11"/>
      <c r="V37" s="11"/>
      <c r="W37" s="11"/>
      <c r="X37" s="11" t="str">
        <f>'INPUT DATA'!X216</f>
        <v>T scavenge receiver</v>
      </c>
      <c r="Y37" s="11" t="str">
        <f>'INPUT DATA'!Y216</f>
        <v>K</v>
      </c>
      <c r="Z37" s="11">
        <f>'INPUT DATA'!Z216</f>
        <v>316.14999999999998</v>
      </c>
      <c r="AA37" s="11">
        <f>'INPUT DATA'!AA216</f>
        <v>314.14999999999998</v>
      </c>
      <c r="AB37" s="11">
        <f>'INPUT DATA'!AB216</f>
        <v>314.14999999999998</v>
      </c>
      <c r="AC37" s="11">
        <f>'INPUT DATA'!AC216</f>
        <v>315.14999999999998</v>
      </c>
      <c r="AD37" s="11">
        <f>'INPUT DATA'!AD216</f>
        <v>318.14999999999998</v>
      </c>
      <c r="AE37" s="11">
        <f>'INPUT DATA'!AE216</f>
        <v>314.14999999999998</v>
      </c>
      <c r="AF37" s="11">
        <f>'INPUT DATA'!AF216</f>
        <v>314.14999999999998</v>
      </c>
      <c r="AG37" s="11">
        <f>'INPUT DATA'!AG216</f>
        <v>317.14999999999998</v>
      </c>
      <c r="AH37" s="11">
        <f>'INPUT DATA'!AH216</f>
        <v>317.14999999999998</v>
      </c>
      <c r="AI37" s="11">
        <f>'INPUT DATA'!AI216</f>
        <v>316.14999999999998</v>
      </c>
      <c r="AJ37" s="11">
        <f>'INPUT DATA'!AJ216</f>
        <v>315.14999999999998</v>
      </c>
      <c r="AK37" s="11">
        <f>'INPUT DATA'!AK216</f>
        <v>313.14999999999998</v>
      </c>
    </row>
    <row r="38" spans="1:37" s="59" customFormat="1">
      <c r="B38" s="59" t="str">
        <f>'INPUT DATA'!B217</f>
        <v>P Exhaust receiver</v>
      </c>
      <c r="C38" s="59" t="str">
        <f>'INPUT DATA'!C217</f>
        <v>bar</v>
      </c>
      <c r="D38" s="59">
        <f>'INPUT DATA'!D217</f>
        <v>1.31711733406</v>
      </c>
      <c r="E38" s="59">
        <f>'INPUT DATA'!E217</f>
        <v>1.94671736689</v>
      </c>
      <c r="F38" s="59">
        <f>'INPUT DATA'!F217</f>
        <v>2.7363173997199999</v>
      </c>
      <c r="G38" s="59">
        <f>'INPUT DATA'!G217</f>
        <v>3.1660507549400001</v>
      </c>
      <c r="H38" s="59">
        <f>'INPUT DATA'!H217</f>
        <v>3.48565078777</v>
      </c>
      <c r="I38" s="59">
        <f>'INPUT DATA'!I217</f>
        <v>3.7945842086499999</v>
      </c>
      <c r="M38" s="59" t="str">
        <f>'INPUT DATA'!M217</f>
        <v>P Exhaust receiver</v>
      </c>
      <c r="N38" s="59" t="str">
        <f>'INPUT DATA'!N217</f>
        <v>bar</v>
      </c>
      <c r="O38" s="59">
        <f>'INPUT DATA'!O217</f>
        <v>1.0039175967</v>
      </c>
      <c r="P38" s="59">
        <f>'INPUT DATA'!P217</f>
        <v>1.0039175967</v>
      </c>
      <c r="Q38" s="59">
        <f>'INPUT DATA'!Q217</f>
        <v>1.0039175967</v>
      </c>
      <c r="R38" s="59">
        <f>'INPUT DATA'!R217</f>
        <v>1.0039175967</v>
      </c>
      <c r="S38" s="59">
        <f>'INPUT DATA'!S217</f>
        <v>1.0039175967</v>
      </c>
      <c r="X38" s="59" t="str">
        <f>'INPUT DATA'!X217</f>
        <v>P Exhaust receiver</v>
      </c>
      <c r="Y38" s="59" t="str">
        <f>'INPUT DATA'!Y217</f>
        <v>bar</v>
      </c>
      <c r="Z38" s="59">
        <f>'INPUT DATA'!Z217</f>
        <v>3.2320000000000002</v>
      </c>
      <c r="AA38" s="59">
        <f>'INPUT DATA'!AA217</f>
        <v>3.5300000000000002</v>
      </c>
      <c r="AB38" s="59">
        <f>'INPUT DATA'!AB217</f>
        <v>3.5129999999999999</v>
      </c>
      <c r="AC38" s="59">
        <f>'INPUT DATA'!AC217</f>
        <v>3.1420000000000003</v>
      </c>
      <c r="AD38" s="59">
        <f>'INPUT DATA'!AD217</f>
        <v>3.2210000000000001</v>
      </c>
      <c r="AE38" s="59">
        <f>'INPUT DATA'!AE217</f>
        <v>1.024</v>
      </c>
      <c r="AF38" s="59">
        <f>'INPUT DATA'!AF217</f>
        <v>3.02</v>
      </c>
      <c r="AG38" s="59">
        <f>'INPUT DATA'!AG217</f>
        <v>1.022</v>
      </c>
      <c r="AH38" s="59">
        <f>'INPUT DATA'!AH217</f>
        <v>1.0109999999999999</v>
      </c>
      <c r="AI38" s="59">
        <f>'INPUT DATA'!AI217</f>
        <v>3.3209999999999997</v>
      </c>
      <c r="AJ38" s="59">
        <f>'INPUT DATA'!AJ217</f>
        <v>2.819</v>
      </c>
      <c r="AK38" s="59">
        <f>'INPUT DATA'!AK217</f>
        <v>2.6240000000000001</v>
      </c>
    </row>
    <row r="39" spans="1:37">
      <c r="A39" s="11"/>
      <c r="B39" s="11" t="str">
        <f>'INPUT DATA'!B218</f>
        <v>T Exhaust receiver</v>
      </c>
      <c r="C39" s="11" t="str">
        <f>'INPUT DATA'!C218</f>
        <v>K</v>
      </c>
      <c r="D39" s="11">
        <f>'INPUT DATA'!D218</f>
        <v>526.65</v>
      </c>
      <c r="E39" s="11">
        <f>'INPUT DATA'!E218</f>
        <v>582.65</v>
      </c>
      <c r="F39" s="11">
        <f>'INPUT DATA'!F218</f>
        <v>603.15</v>
      </c>
      <c r="G39" s="11">
        <f>'INPUT DATA'!G218</f>
        <v>623.65</v>
      </c>
      <c r="H39" s="11">
        <f>'INPUT DATA'!H218</f>
        <v>642.65</v>
      </c>
      <c r="I39" s="11">
        <f>'INPUT DATA'!I218</f>
        <v>670.15</v>
      </c>
      <c r="J39" s="11"/>
      <c r="K39" s="11"/>
      <c r="L39" s="11"/>
      <c r="M39" s="11" t="str">
        <f>'INPUT DATA'!M218</f>
        <v>T Exhaust receiver</v>
      </c>
      <c r="N39" s="11" t="str">
        <f>'INPUT DATA'!N218</f>
        <v>K</v>
      </c>
      <c r="O39" s="11">
        <f>'INPUT DATA'!O218</f>
        <v>623.15</v>
      </c>
      <c r="P39" s="11">
        <f>'INPUT DATA'!P218</f>
        <v>633.15</v>
      </c>
      <c r="Q39" s="11">
        <f>'INPUT DATA'!Q218</f>
        <v>665.15</v>
      </c>
      <c r="R39" s="11">
        <f>'INPUT DATA'!R218</f>
        <v>668.15</v>
      </c>
      <c r="S39" s="11">
        <f>'INPUT DATA'!S218</f>
        <v>669.65</v>
      </c>
      <c r="U39" s="11"/>
      <c r="V39" s="11"/>
      <c r="W39" s="11"/>
      <c r="X39" s="11" t="str">
        <f>'INPUT DATA'!X218</f>
        <v>T Exhaust receiver</v>
      </c>
      <c r="Y39" s="11" t="str">
        <f>'INPUT DATA'!Y218</f>
        <v>K</v>
      </c>
      <c r="Z39" s="11">
        <f>'INPUT DATA'!Z218</f>
        <v>643.15</v>
      </c>
      <c r="AA39" s="11">
        <f>'INPUT DATA'!AA218</f>
        <v>630.65</v>
      </c>
      <c r="AB39" s="11">
        <f>'INPUT DATA'!AB218</f>
        <v>640.65</v>
      </c>
      <c r="AC39" s="11">
        <f>'INPUT DATA'!AC218</f>
        <v>638.15</v>
      </c>
      <c r="AD39" s="11">
        <f>'INPUT DATA'!AD218</f>
        <v>663.15</v>
      </c>
      <c r="AE39" s="11">
        <f>'INPUT DATA'!AE218</f>
        <v>645.65</v>
      </c>
      <c r="AF39" s="11">
        <f>'INPUT DATA'!AF218</f>
        <v>648.15</v>
      </c>
      <c r="AG39" s="11">
        <f>'INPUT DATA'!AG218</f>
        <v>660.65</v>
      </c>
      <c r="AH39" s="11">
        <f>'INPUT DATA'!AH218</f>
        <v>664.15</v>
      </c>
      <c r="AI39" s="11">
        <f>'INPUT DATA'!AI218</f>
        <v>658.15</v>
      </c>
      <c r="AJ39" s="11">
        <f>'INPUT DATA'!AJ218</f>
        <v>649.65</v>
      </c>
      <c r="AK39" s="11">
        <f>'INPUT DATA'!AK218</f>
        <v>648.15</v>
      </c>
    </row>
    <row r="40" spans="1:37">
      <c r="A40" s="11"/>
      <c r="B40" s="11"/>
      <c r="C40" s="11"/>
      <c r="D40" s="11"/>
      <c r="E40" s="11"/>
      <c r="F40" s="11"/>
      <c r="G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s="29" customFormat="1" ht="15.75">
      <c r="A41" s="29">
        <f>'INPUT DATA'!A220</f>
        <v>2</v>
      </c>
      <c r="B41" s="29" t="str">
        <f>'INPUT DATA'!B220</f>
        <v>Cylinder Data</v>
      </c>
      <c r="L41" s="29">
        <f>$A$41</f>
        <v>2</v>
      </c>
      <c r="M41" s="29" t="str">
        <f>$B$41</f>
        <v>Cylinder Data</v>
      </c>
      <c r="W41" s="29">
        <f>$A$41</f>
        <v>2</v>
      </c>
      <c r="X41" s="29" t="str">
        <f>$B$41</f>
        <v>Cylinder Data</v>
      </c>
    </row>
    <row r="42" spans="1:37" s="52" customFormat="1">
      <c r="B42" s="52" t="str">
        <f>'INPUT DATA'!B221</f>
        <v>WFCY</v>
      </c>
      <c r="C42" s="52" t="str">
        <f>'INPUT DATA'!C221</f>
        <v>kg/cycle</v>
      </c>
      <c r="D42" s="52">
        <f>'INPUT DATA'!D221</f>
        <v>3.7935540069686406E-2</v>
      </c>
      <c r="E42" s="52">
        <f>'INPUT DATA'!E221</f>
        <v>5.6839557399723378E-2</v>
      </c>
      <c r="F42" s="52">
        <f>'INPUT DATA'!F221</f>
        <v>7.3069963811821473E-2</v>
      </c>
      <c r="G42" s="52">
        <f>'INPUT DATA'!G221</f>
        <v>8.2013651877133095E-2</v>
      </c>
      <c r="H42" s="52">
        <f>'INPUT DATA'!H221</f>
        <v>8.9285714285714288E-2</v>
      </c>
      <c r="I42" s="52">
        <f>'INPUT DATA'!I221</f>
        <v>9.6895390070921975E-2</v>
      </c>
      <c r="M42" s="52" t="str">
        <f>'INPUT DATA'!M221</f>
        <v>WFCY</v>
      </c>
      <c r="N42" s="52" t="str">
        <f>'INPUT DATA'!N221</f>
        <v>kg/cycle</v>
      </c>
      <c r="O42" s="52">
        <f>'INPUT DATA'!O221</f>
        <v>0</v>
      </c>
      <c r="P42" s="52">
        <f>'INPUT DATA'!P221</f>
        <v>0</v>
      </c>
      <c r="Q42" s="52">
        <f>'INPUT DATA'!Q221</f>
        <v>0</v>
      </c>
      <c r="R42" s="52">
        <f>'INPUT DATA'!R221</f>
        <v>0</v>
      </c>
      <c r="S42" s="52">
        <f>'INPUT DATA'!S221</f>
        <v>0</v>
      </c>
      <c r="X42" s="52" t="str">
        <f>'INPUT DATA'!X221</f>
        <v>WFCY</v>
      </c>
      <c r="Y42" s="52" t="str">
        <f>'INPUT DATA'!Y221</f>
        <v>kg/cycle</v>
      </c>
      <c r="Z42" s="52">
        <f>'INPUT DATA'!Z221</f>
        <v>9.1103071257998255E-2</v>
      </c>
      <c r="AA42" s="52">
        <f>'INPUT DATA'!AA221</f>
        <v>8.2120749101441945E-2</v>
      </c>
      <c r="AB42" s="52">
        <f>'INPUT DATA'!AB221</f>
        <v>8.234869445878619E-2</v>
      </c>
      <c r="AC42" s="52">
        <f>'INPUT DATA'!AC221</f>
        <v>9.6276338754419807E-2</v>
      </c>
      <c r="AD42" s="52">
        <f>'INPUT DATA'!AD221</f>
        <v>9.6260691175033053E-2</v>
      </c>
      <c r="AE42" s="52">
        <f>'INPUT DATA'!AE221</f>
        <v>8.5020665237788631E-2</v>
      </c>
      <c r="AF42" s="52">
        <f>'INPUT DATA'!AF221</f>
        <v>8.463022095751388E-2</v>
      </c>
      <c r="AG42" s="52">
        <f>'INPUT DATA'!AG221</f>
        <v>9.6667310074639343E-2</v>
      </c>
      <c r="AH42" s="52">
        <f>'INPUT DATA'!AH221</f>
        <v>9.7995297116490229E-2</v>
      </c>
      <c r="AI42" s="52">
        <f>'INPUT DATA'!AI221</f>
        <v>9.5067174674043686E-2</v>
      </c>
      <c r="AJ42" s="52">
        <f>'INPUT DATA'!AJ221</f>
        <v>9.3662496732003789E-2</v>
      </c>
      <c r="AK42" s="52">
        <f>'INPUT DATA'!AK221</f>
        <v>8.7788205795165608E-2</v>
      </c>
    </row>
    <row r="43" spans="1:37" s="52" customFormat="1">
      <c r="B43" s="52" t="str">
        <f>'INPUT DATA'!B222</f>
        <v>WFCY corrected</v>
      </c>
      <c r="C43" s="52" t="str">
        <f>'INPUT DATA'!C222</f>
        <v>kg/cycle</v>
      </c>
      <c r="D43" s="52">
        <f>'INPUT DATA'!D222</f>
        <v>3.7393515296330442E-2</v>
      </c>
      <c r="E43" s="52">
        <f>'INPUT DATA'!E222</f>
        <v>5.6027431141321776E-2</v>
      </c>
      <c r="F43" s="52">
        <f>'INPUT DATA'!F222</f>
        <v>7.2025936746397429E-2</v>
      </c>
      <c r="G43" s="52">
        <f>'INPUT DATA'!G222</f>
        <v>8.0841836977723763E-2</v>
      </c>
      <c r="H43" s="52">
        <f>'INPUT DATA'!H222</f>
        <v>8.8009995817999329E-2</v>
      </c>
      <c r="I43" s="52">
        <f>'INPUT DATA'!I222</f>
        <v>9.5510944199162867E-2</v>
      </c>
      <c r="M43" s="52" t="str">
        <f>'INPUT DATA'!M222</f>
        <v>WFCY corrected</v>
      </c>
      <c r="N43" s="52" t="str">
        <f>'INPUT DATA'!N222</f>
        <v>kg/cycle</v>
      </c>
      <c r="O43" s="52">
        <f>'INPUT DATA'!O222</f>
        <v>0</v>
      </c>
      <c r="P43" s="52">
        <f>'INPUT DATA'!P222</f>
        <v>0</v>
      </c>
      <c r="Q43" s="52">
        <f>'INPUT DATA'!Q222</f>
        <v>0</v>
      </c>
      <c r="R43" s="52">
        <f>'INPUT DATA'!R222</f>
        <v>0</v>
      </c>
      <c r="S43" s="52">
        <f>'INPUT DATA'!S222</f>
        <v>0</v>
      </c>
      <c r="X43" s="52" t="str">
        <f>'INPUT DATA'!X222</f>
        <v>WFCY corrected</v>
      </c>
      <c r="Y43" s="52" t="str">
        <f>'INPUT DATA'!Y222</f>
        <v>kg/cycle</v>
      </c>
      <c r="Z43" s="52">
        <f>'INPUT DATA'!Z222</f>
        <v>8.7881393562457805E-2</v>
      </c>
      <c r="AA43" s="52">
        <f>'INPUT DATA'!AA222</f>
        <v>7.9062857038882398E-2</v>
      </c>
      <c r="AB43" s="52">
        <f>'INPUT DATA'!AB222</f>
        <v>7.9378741543879153E-2</v>
      </c>
      <c r="AC43" s="52">
        <f>'INPUT DATA'!AC222</f>
        <v>9.2804077356719417E-2</v>
      </c>
      <c r="AD43" s="52">
        <f>'INPUT DATA'!AD222</f>
        <v>9.6328321637216927E-2</v>
      </c>
      <c r="AE43" s="52">
        <f>'INPUT DATA'!AE222</f>
        <v>8.5080398726246093E-2</v>
      </c>
      <c r="AF43" s="52">
        <f>'INPUT DATA'!AF222</f>
        <v>8.4689680129146794E-2</v>
      </c>
      <c r="AG43" s="52">
        <f>'INPUT DATA'!AG222</f>
        <v>9.8048271647134186E-2</v>
      </c>
      <c r="AH43" s="52">
        <f>'INPUT DATA'!AH222</f>
        <v>9.4828235991882351E-2</v>
      </c>
      <c r="AI43" s="52">
        <f>'INPUT DATA'!AI222</f>
        <v>9.1994746078020731E-2</v>
      </c>
      <c r="AJ43" s="52">
        <f>'INPUT DATA'!AJ222</f>
        <v>9.0635465221695466E-2</v>
      </c>
      <c r="AK43" s="52">
        <f>'INPUT DATA'!AK222</f>
        <v>8.9247916008621517E-2</v>
      </c>
    </row>
    <row r="44" spans="1:37">
      <c r="A44" s="11"/>
      <c r="B44" s="11" t="str">
        <f>'INPUT DATA'!B223</f>
        <v>Cooling Water Temperature</v>
      </c>
      <c r="C44" s="11" t="str">
        <f>'INPUT DATA'!C223</f>
        <v>K</v>
      </c>
      <c r="D44" s="11">
        <f>'INPUT DATA'!D223</f>
        <v>343.84999999999997</v>
      </c>
      <c r="E44" s="11">
        <f>'INPUT DATA'!E223</f>
        <v>347.84999999999997</v>
      </c>
      <c r="F44" s="11">
        <f>'INPUT DATA'!F223</f>
        <v>347.95</v>
      </c>
      <c r="G44" s="11">
        <f>'INPUT DATA'!G223</f>
        <v>348.84999999999997</v>
      </c>
      <c r="H44" s="11">
        <f>'INPUT DATA'!H223</f>
        <v>349.65</v>
      </c>
      <c r="I44" s="11">
        <f>'INPUT DATA'!I223</f>
        <v>350.95</v>
      </c>
      <c r="J44" s="11"/>
      <c r="K44" s="11"/>
      <c r="L44" s="11"/>
      <c r="M44" s="11" t="str">
        <f>'INPUT DATA'!M223</f>
        <v>Cooling Water Temperature</v>
      </c>
      <c r="N44" s="11" t="str">
        <f>'INPUT DATA'!N223</f>
        <v>K</v>
      </c>
      <c r="O44" s="11">
        <f>'INPUT DATA'!O223</f>
        <v>354.65</v>
      </c>
      <c r="P44" s="11">
        <f>'INPUT DATA'!P223</f>
        <v>354.45</v>
      </c>
      <c r="Q44" s="11">
        <f>'INPUT DATA'!Q223</f>
        <v>351.65</v>
      </c>
      <c r="R44" s="11">
        <f>'INPUT DATA'!R223</f>
        <v>352.15</v>
      </c>
      <c r="S44" s="11">
        <f>'INPUT DATA'!S223</f>
        <v>352.15</v>
      </c>
      <c r="U44" s="11"/>
      <c r="V44" s="11"/>
      <c r="W44" s="11"/>
      <c r="X44" s="11" t="str">
        <f>'INPUT DATA'!X223</f>
        <v>Cooling Water Temperature</v>
      </c>
      <c r="Y44" s="11" t="str">
        <f>'INPUT DATA'!Y223</f>
        <v>K</v>
      </c>
      <c r="Z44" s="11">
        <f>'INPUT DATA'!Z223</f>
        <v>353.81666666666666</v>
      </c>
      <c r="AA44" s="11">
        <f>'INPUT DATA'!AA223</f>
        <v>354.15</v>
      </c>
      <c r="AB44" s="11">
        <f>'INPUT DATA'!AB223</f>
        <v>354.15</v>
      </c>
      <c r="AC44" s="11">
        <f>'INPUT DATA'!AC223</f>
        <v>354.15</v>
      </c>
      <c r="AD44" s="11">
        <f>'INPUT DATA'!AD223</f>
        <v>353.48333333333329</v>
      </c>
      <c r="AE44" s="11">
        <f>'INPUT DATA'!AE223</f>
        <v>353.31666666666666</v>
      </c>
      <c r="AF44" s="11">
        <f>'INPUT DATA'!AF223</f>
        <v>353.31666666666666</v>
      </c>
      <c r="AG44" s="11">
        <f>'INPUT DATA'!AG223</f>
        <v>353.15</v>
      </c>
      <c r="AH44" s="11">
        <f>'INPUT DATA'!AH223</f>
        <v>352.98333333333329</v>
      </c>
      <c r="AI44" s="11">
        <f>'INPUT DATA'!AI223</f>
        <v>352.65</v>
      </c>
      <c r="AJ44" s="11">
        <f>'INPUT DATA'!AJ223</f>
        <v>353.98333333333329</v>
      </c>
      <c r="AK44" s="11">
        <f>'INPUT DATA'!AK223</f>
        <v>353.98333333333329</v>
      </c>
    </row>
    <row r="45" spans="1:37">
      <c r="A45" s="11"/>
      <c r="B45" s="11" t="str">
        <f>'INPUT DATA'!B224</f>
        <v>Piston Cooling Oil Temperature</v>
      </c>
      <c r="C45" s="11" t="str">
        <f>'INPUT DATA'!C224</f>
        <v>K</v>
      </c>
      <c r="D45" s="11">
        <f>'INPUT DATA'!D224</f>
        <v>315.95</v>
      </c>
      <c r="E45" s="11">
        <f>'INPUT DATA'!E224</f>
        <v>318.14999999999998</v>
      </c>
      <c r="F45" s="11">
        <f>'INPUT DATA'!F224</f>
        <v>319.14999999999998</v>
      </c>
      <c r="G45" s="11">
        <f>'INPUT DATA'!G224</f>
        <v>320.14999999999998</v>
      </c>
      <c r="H45" s="11">
        <f>'INPUT DATA'!H224</f>
        <v>321.14999999999998</v>
      </c>
      <c r="I45" s="11">
        <f>'INPUT DATA'!I224</f>
        <v>323.95</v>
      </c>
      <c r="J45" s="11"/>
      <c r="K45" s="11"/>
      <c r="L45" s="11"/>
      <c r="M45" s="11" t="str">
        <f>'INPUT DATA'!M224</f>
        <v>Piston Cooling Oil Temperature</v>
      </c>
      <c r="N45" s="11" t="str">
        <f>'INPUT DATA'!N224</f>
        <v>K</v>
      </c>
      <c r="O45" s="11">
        <f>'INPUT DATA'!O224</f>
        <v>322.34999999999997</v>
      </c>
      <c r="P45" s="11">
        <f>'INPUT DATA'!P224</f>
        <v>322.34999999999997</v>
      </c>
      <c r="Q45" s="11">
        <f>'INPUT DATA'!Q224</f>
        <v>324.34999999999997</v>
      </c>
      <c r="R45" s="11">
        <f>'INPUT DATA'!R224</f>
        <v>323.84999999999997</v>
      </c>
      <c r="S45" s="11">
        <f>'INPUT DATA'!S224</f>
        <v>324.14999999999998</v>
      </c>
      <c r="U45" s="11"/>
      <c r="V45" s="11"/>
      <c r="W45" s="11"/>
      <c r="X45" s="11" t="str">
        <f>'INPUT DATA'!X224</f>
        <v>Piston Cooling Oil Temperature</v>
      </c>
      <c r="Y45" s="11" t="str">
        <f>'INPUT DATA'!Y224</f>
        <v>K</v>
      </c>
      <c r="Z45" s="11">
        <f>'INPUT DATA'!Z224</f>
        <v>323.98333333333329</v>
      </c>
      <c r="AA45" s="11">
        <f>'INPUT DATA'!AA224</f>
        <v>323.81666666666666</v>
      </c>
      <c r="AB45" s="11">
        <f>'INPUT DATA'!AB224</f>
        <v>323.98333333333329</v>
      </c>
      <c r="AC45" s="11">
        <f>'INPUT DATA'!AC224</f>
        <v>323.64999999999998</v>
      </c>
      <c r="AD45" s="11">
        <f>'INPUT DATA'!AD224</f>
        <v>324.98333333333329</v>
      </c>
      <c r="AE45" s="11">
        <f>'INPUT DATA'!AE224</f>
        <v>324.31666666666666</v>
      </c>
      <c r="AF45" s="11">
        <f>'INPUT DATA'!AF224</f>
        <v>324.14999999999998</v>
      </c>
      <c r="AG45" s="11">
        <f>'INPUT DATA'!AG224</f>
        <v>324.14999999999998</v>
      </c>
      <c r="AH45" s="11">
        <f>'INPUT DATA'!AH224</f>
        <v>325.98333333333329</v>
      </c>
      <c r="AI45" s="11">
        <f>'INPUT DATA'!AI224</f>
        <v>326.81666666666666</v>
      </c>
      <c r="AJ45" s="11">
        <f>'INPUT DATA'!AJ224</f>
        <v>326.64999999999998</v>
      </c>
      <c r="AK45" s="11">
        <f>'INPUT DATA'!AK224</f>
        <v>325.64999999999998</v>
      </c>
    </row>
    <row r="46" spans="1:37">
      <c r="A46" s="11"/>
      <c r="B46" s="11"/>
      <c r="C46" s="11"/>
      <c r="D46" s="11"/>
      <c r="E46" s="11"/>
      <c r="F46" s="11"/>
      <c r="G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s="29" customFormat="1" ht="15.75">
      <c r="A47" s="29">
        <f>'INPUT DATA'!A226</f>
        <v>3</v>
      </c>
      <c r="B47" s="29" t="str">
        <f>'INPUT DATA'!B226</f>
        <v>Performance Data</v>
      </c>
      <c r="L47" s="29">
        <f>$A$47</f>
        <v>3</v>
      </c>
      <c r="M47" s="29" t="str">
        <f>$B$47</f>
        <v>Performance Data</v>
      </c>
      <c r="W47" s="29">
        <f>$A$47</f>
        <v>3</v>
      </c>
      <c r="X47" s="29" t="str">
        <f>$B$47</f>
        <v>Performance Data</v>
      </c>
    </row>
    <row r="48" spans="1:37" s="9" customFormat="1">
      <c r="B48" s="9" t="str">
        <f>'INPUT DATA'!B227</f>
        <v>Brake Power</v>
      </c>
      <c r="C48" s="9" t="str">
        <f>'INPUT DATA'!C227</f>
        <v>kW</v>
      </c>
      <c r="D48" s="9">
        <f>'INPUT DATA'!D227</f>
        <v>4265.4032678399999</v>
      </c>
      <c r="E48" s="9">
        <f>'INPUT DATA'!E227</f>
        <v>8553.9232317120004</v>
      </c>
      <c r="F48" s="9">
        <f>'INPUT DATA'!F227</f>
        <v>12836.477596608</v>
      </c>
      <c r="G48" s="9">
        <f>'INPUT DATA'!G227</f>
        <v>15401.685156288</v>
      </c>
      <c r="H48" s="9">
        <f>'INPUT DATA'!H227</f>
        <v>17089.949666495999</v>
      </c>
      <c r="I48" s="9">
        <f>'INPUT DATA'!I227</f>
        <v>18872.172360575998</v>
      </c>
      <c r="M48" s="9" t="str">
        <f>'INPUT DATA'!M227</f>
        <v>Brake Power</v>
      </c>
      <c r="N48" s="9" t="str">
        <f>'INPUT DATA'!N227</f>
        <v>kW</v>
      </c>
      <c r="O48" s="9">
        <f>'INPUT DATA'!O227</f>
        <v>8265.3373812480004</v>
      </c>
      <c r="P48" s="9">
        <f>'INPUT DATA'!P227</f>
        <v>8826.8493848639991</v>
      </c>
      <c r="Q48" s="9">
        <f>'INPUT DATA'!Q227</f>
        <v>15227.19138624</v>
      </c>
      <c r="R48" s="9">
        <f>'INPUT DATA'!R227</f>
        <v>15769.315193184</v>
      </c>
      <c r="S48" s="9">
        <f>'INPUT DATA'!S227</f>
        <v>15644.78331456</v>
      </c>
      <c r="X48" s="9" t="str">
        <f>'INPUT DATA'!X227</f>
        <v>Brake Power</v>
      </c>
      <c r="Y48" s="9" t="str">
        <f>'INPUT DATA'!Y227</f>
        <v>kW</v>
      </c>
      <c r="Z48" s="9">
        <f>'INPUT DATA'!Z227</f>
        <v>13977.389675683591</v>
      </c>
      <c r="AA48" s="9">
        <f>'INPUT DATA'!AA227</f>
        <v>13653.287507279116</v>
      </c>
      <c r="AB48" s="9">
        <f>'INPUT DATA'!AB227</f>
        <v>13271.045603280067</v>
      </c>
      <c r="AC48" s="9">
        <f>'INPUT DATA'!AC227</f>
        <v>14304.778478060769</v>
      </c>
      <c r="AD48" s="9">
        <f>'INPUT DATA'!AD227</f>
        <v>13815.525228590603</v>
      </c>
      <c r="AE48" s="9">
        <f>'INPUT DATA'!AE227</f>
        <v>13272.271642176616</v>
      </c>
      <c r="AF48" s="9">
        <f>'INPUT DATA'!AF227</f>
        <v>13252.34244060811</v>
      </c>
      <c r="AG48" s="9">
        <f>'INPUT DATA'!AG227</f>
        <v>13984.627553822911</v>
      </c>
      <c r="AH48" s="9">
        <f>'INPUT DATA'!AH227</f>
        <v>14533.865666731961</v>
      </c>
      <c r="AI48" s="9">
        <f>'INPUT DATA'!AI227</f>
        <v>14392.953131871192</v>
      </c>
      <c r="AJ48" s="9">
        <f>'INPUT DATA'!AJ227</f>
        <v>13882.122811721558</v>
      </c>
      <c r="AK48" s="9">
        <f>'INPUT DATA'!AK227</f>
        <v>14241.412903407119</v>
      </c>
    </row>
    <row r="49" spans="1:37" s="16" customFormat="1">
      <c r="B49" s="16" t="str">
        <f>'INPUT DATA'!B228</f>
        <v>Brake Power/cylinder</v>
      </c>
      <c r="C49" s="16" t="str">
        <f>'INPUT DATA'!C228</f>
        <v>kW</v>
      </c>
      <c r="D49" s="16">
        <f>'INPUT DATA'!D228</f>
        <v>710.90054464000002</v>
      </c>
      <c r="E49" s="16">
        <f>'INPUT DATA'!E228</f>
        <v>1425.6538719520001</v>
      </c>
      <c r="F49" s="16">
        <f>'INPUT DATA'!F228</f>
        <v>2139.4129327679998</v>
      </c>
      <c r="G49" s="16">
        <f>'INPUT DATA'!G228</f>
        <v>2566.9475260479999</v>
      </c>
      <c r="H49" s="16">
        <f>'INPUT DATA'!H228</f>
        <v>2848.3249444159997</v>
      </c>
      <c r="I49" s="16">
        <f>'INPUT DATA'!I228</f>
        <v>3145.3620600959998</v>
      </c>
      <c r="M49" s="16" t="str">
        <f>'INPUT DATA'!M228</f>
        <v>Brake Power/cylinder</v>
      </c>
      <c r="N49" s="16" t="str">
        <f>'INPUT DATA'!N228</f>
        <v>kW</v>
      </c>
      <c r="O49" s="16">
        <f>'INPUT DATA'!O228</f>
        <v>1377.556230208</v>
      </c>
      <c r="P49" s="16">
        <f>'INPUT DATA'!P228</f>
        <v>1471.1415641439999</v>
      </c>
      <c r="Q49" s="16">
        <f>'INPUT DATA'!Q228</f>
        <v>2537.8652310399998</v>
      </c>
      <c r="R49" s="16">
        <f>'INPUT DATA'!R228</f>
        <v>2628.2191988640002</v>
      </c>
      <c r="S49" s="16">
        <f>'INPUT DATA'!S228</f>
        <v>2607.4638857599998</v>
      </c>
      <c r="X49" s="16" t="str">
        <f>'INPUT DATA'!X228</f>
        <v>Brake Power/cylinder</v>
      </c>
      <c r="Y49" s="16" t="str">
        <f>'INPUT DATA'!Y228</f>
        <v>kW</v>
      </c>
      <c r="Z49" s="16">
        <f>'INPUT DATA'!Z228</f>
        <v>2329.5649459472652</v>
      </c>
      <c r="AA49" s="16">
        <f>'INPUT DATA'!AA228</f>
        <v>2275.5479178798528</v>
      </c>
      <c r="AB49" s="16">
        <f>'INPUT DATA'!AB228</f>
        <v>2211.8409338800111</v>
      </c>
      <c r="AC49" s="16">
        <f>'INPUT DATA'!AC228</f>
        <v>2384.1297463434616</v>
      </c>
      <c r="AD49" s="16">
        <f>'INPUT DATA'!AD228</f>
        <v>2302.5875380984339</v>
      </c>
      <c r="AE49" s="16">
        <f>'INPUT DATA'!AE228</f>
        <v>2212.0452736961029</v>
      </c>
      <c r="AF49" s="16">
        <f>'INPUT DATA'!AF228</f>
        <v>2208.7237401013517</v>
      </c>
      <c r="AG49" s="16">
        <f>'INPUT DATA'!AG228</f>
        <v>2330.7712589704852</v>
      </c>
      <c r="AH49" s="16">
        <f>'INPUT DATA'!AH228</f>
        <v>2422.310944455327</v>
      </c>
      <c r="AI49" s="16">
        <f>'INPUT DATA'!AI228</f>
        <v>2398.8255219785319</v>
      </c>
      <c r="AJ49" s="16">
        <f>'INPUT DATA'!AJ228</f>
        <v>2313.6871352869262</v>
      </c>
      <c r="AK49" s="16">
        <f>'INPUT DATA'!AK228</f>
        <v>2373.5688172345199</v>
      </c>
    </row>
    <row r="50" spans="1:37" s="16" customFormat="1">
      <c r="B50" s="16" t="str">
        <f>'INPUT DATA'!B229</f>
        <v>BMEP</v>
      </c>
      <c r="C50" s="16" t="str">
        <f>'INPUT DATA'!C229</f>
        <v>bar</v>
      </c>
      <c r="D50" s="16">
        <f>'INPUT DATA'!D229</f>
        <v>6.8961105063648249</v>
      </c>
      <c r="E50" s="16">
        <f>'INPUT DATA'!E229</f>
        <v>10.979512519955041</v>
      </c>
      <c r="F50" s="16">
        <f>'INPUT DATA'!F229</f>
        <v>14.3696881724691</v>
      </c>
      <c r="G50" s="16">
        <f>'INPUT DATA'!G229</f>
        <v>16.260555326045075</v>
      </c>
      <c r="H50" s="16">
        <f>'INPUT DATA'!H229</f>
        <v>17.428314911187815</v>
      </c>
      <c r="I50" s="16">
        <f>'INPUT DATA'!I229</f>
        <v>18.631595546603275</v>
      </c>
      <c r="M50" s="16" t="str">
        <f>'INPUT DATA'!M229</f>
        <v>BMEP</v>
      </c>
      <c r="N50" s="16" t="str">
        <f>'INPUT DATA'!N229</f>
        <v>bar</v>
      </c>
      <c r="O50" s="16">
        <f>'INPUT DATA'!O229</f>
        <v>10.242188450137684</v>
      </c>
      <c r="P50" s="16">
        <f>'INPUT DATA'!P229</f>
        <v>10.936538992933329</v>
      </c>
      <c r="Q50" s="16">
        <f>'INPUT DATA'!Q229</f>
        <v>15.578320933217329</v>
      </c>
      <c r="R50" s="16">
        <f>'INPUT DATA'!R229</f>
        <v>16.134724492491895</v>
      </c>
      <c r="S50" s="16">
        <f>'INPUT DATA'!S229</f>
        <v>15.989677746971083</v>
      </c>
      <c r="X50" s="16" t="str">
        <f>'INPUT DATA'!X229</f>
        <v>BMEP</v>
      </c>
      <c r="Y50" s="16" t="str">
        <f>'INPUT DATA'!Y229</f>
        <v>bar</v>
      </c>
      <c r="Z50" s="16">
        <f>'INPUT DATA'!Z229</f>
        <v>14.701085171991846</v>
      </c>
      <c r="AA50" s="16">
        <f>'INPUT DATA'!AA229</f>
        <v>14.008275411012919</v>
      </c>
      <c r="AB50" s="16">
        <f>'INPUT DATA'!AB229</f>
        <v>13.822399621481983</v>
      </c>
      <c r="AC50" s="16">
        <f>'INPUT DATA'!AC229</f>
        <v>14.532107181509183</v>
      </c>
      <c r="AD50" s="16">
        <f>'INPUT DATA'!AD229</f>
        <v>14.143457803399048</v>
      </c>
      <c r="AE50" s="16">
        <f>'INPUT DATA'!AE229</f>
        <v>13.721012827192386</v>
      </c>
      <c r="AF50" s="16">
        <f>'INPUT DATA'!AF229</f>
        <v>13.805501822433717</v>
      </c>
      <c r="AG50" s="16">
        <f>'INPUT DATA'!AG229</f>
        <v>14.380026990074784</v>
      </c>
      <c r="AH50" s="16">
        <f>'INPUT DATA'!AH229</f>
        <v>15.07283675105371</v>
      </c>
      <c r="AI50" s="16">
        <f>'INPUT DATA'!AI229</f>
        <v>14.95455215771584</v>
      </c>
      <c r="AJ50" s="16">
        <f>'INPUT DATA'!AJ229</f>
        <v>14.396924789123046</v>
      </c>
      <c r="AK50" s="16">
        <f>'INPUT DATA'!AK229</f>
        <v>15.191121344391572</v>
      </c>
    </row>
    <row r="51" spans="1:37" s="16" customFormat="1">
      <c r="B51" s="16" t="str">
        <f>'INPUT DATA'!B230</f>
        <v>bsfc</v>
      </c>
      <c r="C51" s="16" t="str">
        <f>'INPUT DATA'!C230</f>
        <v>g/kWh</v>
      </c>
      <c r="D51" s="16">
        <f>'INPUT DATA'!D230</f>
        <v>183.78707727604385</v>
      </c>
      <c r="E51" s="16">
        <f>'INPUT DATA'!E230</f>
        <v>172.95161879818588</v>
      </c>
      <c r="F51" s="16">
        <f>'INPUT DATA'!F230</f>
        <v>169.88067821473356</v>
      </c>
      <c r="G51" s="16">
        <f>'INPUT DATA'!G230</f>
        <v>168.49942546322444</v>
      </c>
      <c r="H51" s="16">
        <f>'INPUT DATA'!H230</f>
        <v>171.15464919913518</v>
      </c>
      <c r="I51" s="16">
        <f>'INPUT DATA'!I230</f>
        <v>173.74282183060373</v>
      </c>
      <c r="M51" s="16" t="str">
        <f>'INPUT DATA'!M230</f>
        <v>bsfc</v>
      </c>
      <c r="N51" s="16" t="str">
        <f>'INPUT DATA'!N230</f>
        <v>g/kWh</v>
      </c>
      <c r="O51" s="16">
        <f>'INPUT DATA'!O230</f>
        <v>0</v>
      </c>
      <c r="P51" s="16">
        <f>'INPUT DATA'!P230</f>
        <v>0</v>
      </c>
      <c r="Q51" s="16">
        <f>'INPUT DATA'!Q230</f>
        <v>0</v>
      </c>
      <c r="R51" s="16">
        <f>'INPUT DATA'!R230</f>
        <v>0</v>
      </c>
      <c r="S51" s="16">
        <f>'INPUT DATA'!S230</f>
        <v>174.98997237322848</v>
      </c>
      <c r="X51" s="16" t="str">
        <f>'INPUT DATA'!X230</f>
        <v>bsfc</v>
      </c>
      <c r="Y51" s="16" t="str">
        <f>'INPUT DATA'!Y230</f>
        <v>g/kWh</v>
      </c>
      <c r="Z51" s="16">
        <f>'INPUT DATA'!Z230</f>
        <v>207.03421901969185</v>
      </c>
      <c r="AA51" s="16">
        <f>'INPUT DATA'!AA230</f>
        <v>195.8514263187916</v>
      </c>
      <c r="AB51" s="16">
        <f>'INPUT DATA'!AB230</f>
        <v>199.03606712097911</v>
      </c>
      <c r="AC51" s="16">
        <f>'INPUT DATA'!AC230</f>
        <v>221.33468764537409</v>
      </c>
      <c r="AD51" s="16">
        <f>'INPUT DATA'!AD230</f>
        <v>227.37980234765905</v>
      </c>
      <c r="AE51" s="16">
        <f>'INPUT DATA'!AE230</f>
        <v>207.01262691861166</v>
      </c>
      <c r="AF51" s="16">
        <f>'INPUT DATA'!AF230</f>
        <v>204.80086432047617</v>
      </c>
      <c r="AG51" s="16">
        <f>'INPUT DATA'!AG230</f>
        <v>224.58380763000503</v>
      </c>
      <c r="AH51" s="16">
        <f>'INPUT DATA'!AH230</f>
        <v>217.20446395321946</v>
      </c>
      <c r="AI51" s="16">
        <f>'INPUT DATA'!AI230</f>
        <v>212.38101079481487</v>
      </c>
      <c r="AJ51" s="16">
        <f>'INPUT DATA'!AJ230</f>
        <v>217.3474266613691</v>
      </c>
      <c r="AK51" s="16">
        <f>'INPUT DATA'!AK230</f>
        <v>193.06557742222262</v>
      </c>
    </row>
    <row r="52" spans="1:37" s="16" customFormat="1">
      <c r="B52" s="16" t="str">
        <f>'INPUT DATA'!B231</f>
        <v>bsfc corrected (recorded)</v>
      </c>
      <c r="C52" s="16" t="str">
        <f>'INPUT DATA'!C231</f>
        <v>g/kWh</v>
      </c>
      <c r="D52" s="16">
        <f>'INPUT DATA'!D231</f>
        <v>181.68167259655905</v>
      </c>
      <c r="E52" s="16">
        <f>'INPUT DATA'!E231</f>
        <v>170.80598345603579</v>
      </c>
      <c r="F52" s="16">
        <f>'INPUT DATA'!F231</f>
        <v>167.77527353524877</v>
      </c>
      <c r="G52" s="16">
        <f>'INPUT DATA'!G231</f>
        <v>166.3001492375206</v>
      </c>
      <c r="H52" s="16">
        <f>'INPUT DATA'!H231</f>
        <v>168.75421966010475</v>
      </c>
      <c r="I52" s="16">
        <f>'INPUT DATA'!I231</f>
        <v>171.08759809469299</v>
      </c>
      <c r="M52" s="16" t="str">
        <f>'INPUT DATA'!M231</f>
        <v>bsfc corrected (recorded)</v>
      </c>
      <c r="N52" s="16" t="str">
        <f>'INPUT DATA'!N231</f>
        <v>g/kWh</v>
      </c>
      <c r="O52" s="16">
        <f>'INPUT DATA'!O231</f>
        <v>0</v>
      </c>
      <c r="P52" s="16">
        <f>'INPUT DATA'!P231</f>
        <v>0</v>
      </c>
      <c r="Q52" s="16">
        <f>'INPUT DATA'!Q231</f>
        <v>0</v>
      </c>
      <c r="R52" s="16">
        <f>'INPUT DATA'!R231</f>
        <v>0</v>
      </c>
      <c r="S52" s="16">
        <f>'INPUT DATA'!S231</f>
        <v>174.18535911992217</v>
      </c>
      <c r="X52" s="16" t="str">
        <f>'INPUT DATA'!X231</f>
        <v>bsfc corrected (recorded)</v>
      </c>
      <c r="Y52" s="16" t="str">
        <f>'INPUT DATA'!Y231</f>
        <v>g/kWh</v>
      </c>
      <c r="Z52" s="16">
        <f>'INPUT DATA'!Z231</f>
        <v>199.6801339691645</v>
      </c>
      <c r="AA52" s="16">
        <f>'INPUT DATA'!AA231</f>
        <v>188.52769185298715</v>
      </c>
      <c r="AB52" s="16">
        <f>'INPUT DATA'!AB231</f>
        <v>191.82627022969302</v>
      </c>
      <c r="AC52" s="16">
        <f>'INPUT DATA'!AC231</f>
        <v>213.31715511470244</v>
      </c>
      <c r="AD52" s="16">
        <f>'INPUT DATA'!AD231</f>
        <v>227.50225851301829</v>
      </c>
      <c r="AE52" s="16">
        <f>'INPUT DATA'!AE231</f>
        <v>207.12411427242083</v>
      </c>
      <c r="AF52" s="16">
        <f>'INPUT DATA'!AF231</f>
        <v>204.91116052202091</v>
      </c>
      <c r="AG52" s="16">
        <f>'INPUT DATA'!AG231</f>
        <v>227.7548108847617</v>
      </c>
      <c r="AH52" s="16">
        <f>'INPUT DATA'!AH231</f>
        <v>210.15029036333689</v>
      </c>
      <c r="AI52" s="16">
        <f>'INPUT DATA'!AI231</f>
        <v>205.48348903087904</v>
      </c>
      <c r="AJ52" s="16">
        <f>'INPUT DATA'!AJ231</f>
        <v>210.28861005567634</v>
      </c>
      <c r="AK52" s="16">
        <f>'INPUT DATA'!AK231</f>
        <v>196.243630222181</v>
      </c>
    </row>
    <row r="53" spans="1:37" s="16" customFormat="1">
      <c r="B53" s="16" t="str">
        <f>'INPUT DATA'!B232</f>
        <v>bsfc corrected (ISO)</v>
      </c>
      <c r="C53" s="16" t="str">
        <f>'INPUT DATA'!C232</f>
        <v>g/kWh</v>
      </c>
      <c r="D53" s="16">
        <f>'INPUT DATA'!D232</f>
        <v>181.92242073443367</v>
      </c>
      <c r="E53" s="16">
        <f>'INPUT DATA'!E232</f>
        <v>171.07960558191274</v>
      </c>
      <c r="F53" s="16">
        <f>'INPUT DATA'!F232</f>
        <v>168.01712159563075</v>
      </c>
      <c r="G53" s="16">
        <f>'INPUT DATA'!G232</f>
        <v>166.53054898978638</v>
      </c>
      <c r="H53" s="16">
        <f>'INPUT DATA'!H232</f>
        <v>169.03530106465874</v>
      </c>
      <c r="I53" s="16">
        <f>'INPUT DATA'!I232</f>
        <v>171.34800747844241</v>
      </c>
      <c r="M53" s="16" t="str">
        <f>'INPUT DATA'!M232</f>
        <v>bsfc corrected (ISO)</v>
      </c>
      <c r="N53" s="16" t="str">
        <f>'INPUT DATA'!N232</f>
        <v>g/kWh</v>
      </c>
      <c r="O53" s="16">
        <f>'INPUT DATA'!O232</f>
        <v>0</v>
      </c>
      <c r="P53" s="16">
        <f>'INPUT DATA'!P232</f>
        <v>0</v>
      </c>
      <c r="Q53" s="16">
        <f>'INPUT DATA'!Q232</f>
        <v>0</v>
      </c>
      <c r="R53" s="16">
        <f>'INPUT DATA'!R232</f>
        <v>0</v>
      </c>
      <c r="S53" s="16">
        <f>'INPUT DATA'!S232</f>
        <v>162.90517346952944</v>
      </c>
      <c r="X53" s="16" t="str">
        <f>'INPUT DATA'!X232</f>
        <v>bsfc corrected (ISO)</v>
      </c>
      <c r="Y53" s="16" t="str">
        <f>'INPUT DATA'!Y232</f>
        <v>g/kWh</v>
      </c>
      <c r="Z53" s="16">
        <f>'INPUT DATA'!Z232</f>
        <v>198.28292427948784</v>
      </c>
      <c r="AA53" s="16">
        <f>'INPUT DATA'!AA232</f>
        <v>187.69122848103234</v>
      </c>
      <c r="AB53" s="16">
        <f>'INPUT DATA'!AB232</f>
        <v>190.52622460215377</v>
      </c>
      <c r="AC53" s="16">
        <f>'INPUT DATA'!AC232</f>
        <v>212.33656902446407</v>
      </c>
      <c r="AD53" s="16">
        <f>'INPUT DATA'!AD232</f>
        <v>225.26870921666045</v>
      </c>
      <c r="AE53" s="16">
        <f>'INPUT DATA'!AE232</f>
        <v>205.76596682126828</v>
      </c>
      <c r="AF53" s="16">
        <f>'INPUT DATA'!AF232</f>
        <v>203.18222764391538</v>
      </c>
      <c r="AG53" s="16">
        <f>'INPUT DATA'!AG232</f>
        <v>225.93336381345486</v>
      </c>
      <c r="AH53" s="16">
        <f>'INPUT DATA'!AH232</f>
        <v>208.4654300473432</v>
      </c>
      <c r="AI53" s="16">
        <f>'INPUT DATA'!AI232</f>
        <v>203.83604435849011</v>
      </c>
      <c r="AJ53" s="16">
        <f>'INPUT DATA'!AJ232</f>
        <v>208.72042170128938</v>
      </c>
      <c r="AK53" s="16">
        <f>'INPUT DATA'!AK232</f>
        <v>194.91757276404368</v>
      </c>
    </row>
    <row r="54" spans="1:37" s="16" customFormat="1">
      <c r="B54" s="16" t="str">
        <f>'INPUT DATA'!B233</f>
        <v>bsfc corrected (LHV)</v>
      </c>
      <c r="C54" s="16" t="str">
        <f>'INPUT DATA'!C233</f>
        <v>g/kWh</v>
      </c>
      <c r="D54" s="16">
        <f>'INPUT DATA'!D233</f>
        <v>181.16111890762971</v>
      </c>
      <c r="E54" s="16">
        <f>'INPUT DATA'!E233</f>
        <v>170.48047796801899</v>
      </c>
      <c r="F54" s="16">
        <f>'INPUT DATA'!F233</f>
        <v>167.453415127461</v>
      </c>
      <c r="G54" s="16">
        <f>'INPUT DATA'!G233</f>
        <v>166.09189777996113</v>
      </c>
      <c r="H54" s="16">
        <f>'INPUT DATA'!H233</f>
        <v>168.70918355476672</v>
      </c>
      <c r="I54" s="16">
        <f>'INPUT DATA'!I233</f>
        <v>171.26037625445096</v>
      </c>
      <c r="M54" s="16" t="str">
        <f>'INPUT DATA'!M233</f>
        <v>bsfc corrected (LHV)</v>
      </c>
      <c r="N54" s="16" t="str">
        <f>'INPUT DATA'!N233</f>
        <v>g/kWh</v>
      </c>
      <c r="O54" s="16">
        <f>'INPUT DATA'!O233</f>
        <v>0</v>
      </c>
      <c r="P54" s="16">
        <f>'INPUT DATA'!P233</f>
        <v>0</v>
      </c>
      <c r="Q54" s="16">
        <f>'INPUT DATA'!Q233</f>
        <v>0</v>
      </c>
      <c r="R54" s="16">
        <f>'INPUT DATA'!R233</f>
        <v>0</v>
      </c>
      <c r="S54" s="16">
        <f>'INPUT DATA'!S233</f>
        <v>164.30532562991715</v>
      </c>
      <c r="X54" s="16" t="str">
        <f>'INPUT DATA'!X233</f>
        <v>bsfc corrected (LHV)</v>
      </c>
      <c r="Y54" s="16" t="str">
        <f>'INPUT DATA'!Y233</f>
        <v>g/kWh</v>
      </c>
      <c r="Z54" s="16">
        <f>'INPUT DATA'!Z233</f>
        <v>199.71286841735613</v>
      </c>
      <c r="AA54" s="16">
        <f>'INPUT DATA'!AA233</f>
        <v>188.55859803197944</v>
      </c>
      <c r="AB54" s="16">
        <f>'INPUT DATA'!AB233</f>
        <v>191.85771715923889</v>
      </c>
      <c r="AC54" s="16">
        <f>'INPUT DATA'!AC233</f>
        <v>213.35212514013108</v>
      </c>
      <c r="AD54" s="16">
        <f>'INPUT DATA'!AD233</f>
        <v>227.53955396523349</v>
      </c>
      <c r="AE54" s="16">
        <f>'INPUT DATA'!AE233</f>
        <v>207.15806904525238</v>
      </c>
      <c r="AF54" s="16">
        <f>'INPUT DATA'!AF233</f>
        <v>204.94475251554911</v>
      </c>
      <c r="AG54" s="16">
        <f>'INPUT DATA'!AG233</f>
        <v>227.79214773900512</v>
      </c>
      <c r="AH54" s="16">
        <f>'INPUT DATA'!AH233</f>
        <v>210.18474123060957</v>
      </c>
      <c r="AI54" s="16">
        <f>'INPUT DATA'!AI233</f>
        <v>205.51717484875292</v>
      </c>
      <c r="AJ54" s="16">
        <f>'INPUT DATA'!AJ233</f>
        <v>210.32308359830847</v>
      </c>
      <c r="AK54" s="16">
        <f>'INPUT DATA'!AK233</f>
        <v>196.27580130910266</v>
      </c>
    </row>
    <row r="55" spans="1:37" s="9" customFormat="1">
      <c r="B55" s="9" t="str">
        <f>'INPUT DATA'!B234</f>
        <v>Indicated Power</v>
      </c>
      <c r="C55" s="9" t="str">
        <f>'INPUT DATA'!C234</f>
        <v>kW</v>
      </c>
      <c r="D55" s="9">
        <f>'INPUT DATA'!D234</f>
        <v>4894.7739598079997</v>
      </c>
      <c r="E55" s="9">
        <f>'INPUT DATA'!E234</f>
        <v>9345.8564957759991</v>
      </c>
      <c r="F55" s="9">
        <f>'INPUT DATA'!F234</f>
        <v>13746.231440448</v>
      </c>
      <c r="G55" s="9">
        <f>'INPUT DATA'!G234</f>
        <v>16356.926692319999</v>
      </c>
      <c r="H55" s="9">
        <f>'INPUT DATA'!H234</f>
        <v>18088.441795104001</v>
      </c>
      <c r="I55" s="9">
        <f>'INPUT DATA'!I234</f>
        <v>19905.712383168</v>
      </c>
      <c r="M55" s="9" t="str">
        <f>'INPUT DATA'!M234</f>
        <v>Indicated Power</v>
      </c>
      <c r="N55" s="9" t="str">
        <f>'INPUT DATA'!N234</f>
        <v>kW</v>
      </c>
      <c r="O55" s="9">
        <f>'INPUT DATA'!O234</f>
        <v>0</v>
      </c>
      <c r="P55" s="9">
        <f>'INPUT DATA'!P234</f>
        <v>0</v>
      </c>
      <c r="Q55" s="9">
        <f>'INPUT DATA'!Q234</f>
        <v>0</v>
      </c>
      <c r="R55" s="9">
        <f>'INPUT DATA'!R234</f>
        <v>0</v>
      </c>
      <c r="S55" s="9">
        <f>'INPUT DATA'!S234</f>
        <v>0</v>
      </c>
      <c r="X55" s="9" t="str">
        <f>'INPUT DATA'!X234</f>
        <v>Indicated Power</v>
      </c>
      <c r="Y55" s="9" t="str">
        <f>'INPUT DATA'!Y234</f>
        <v>kW</v>
      </c>
      <c r="Z55" s="9">
        <f>'INPUT DATA'!Z234</f>
        <v>14941.402209846818</v>
      </c>
      <c r="AA55" s="9">
        <f>'INPUT DATA'!AA234</f>
        <v>14641.581074143671</v>
      </c>
      <c r="AB55" s="9">
        <f>'INPUT DATA'!AB234</f>
        <v>14244.362680158238</v>
      </c>
      <c r="AC55" s="9">
        <f>'INPUT DATA'!AC234</f>
        <v>15302.786278855705</v>
      </c>
      <c r="AD55" s="9">
        <f>'INPUT DATA'!AD234</f>
        <v>14805.821730286169</v>
      </c>
      <c r="AE55" s="9">
        <f>'INPUT DATA'!AE234</f>
        <v>14253.539763383938</v>
      </c>
      <c r="AF55" s="9">
        <f>'INPUT DATA'!AF234</f>
        <v>14225.680760734489</v>
      </c>
      <c r="AG55" s="9">
        <f>'INPUT DATA'!AG234</f>
        <v>14970.645058379507</v>
      </c>
      <c r="AH55" s="9">
        <f>'INPUT DATA'!AH234</f>
        <v>15511.364628757294</v>
      </c>
      <c r="AI55" s="9">
        <f>'INPUT DATA'!AI234</f>
        <v>15368.719251792729</v>
      </c>
      <c r="AJ55" s="9">
        <f>'INPUT DATA'!AJ234</f>
        <v>14859.718885738695</v>
      </c>
      <c r="AK55" s="9">
        <f>'INPUT DATA'!AK234</f>
        <v>15191.896523211824</v>
      </c>
    </row>
    <row r="56" spans="1:37" s="16" customFormat="1">
      <c r="B56" s="16" t="str">
        <f>'INPUT DATA'!B235</f>
        <v>Indicated Power/cylinder</v>
      </c>
      <c r="C56" s="16" t="str">
        <f>'INPUT DATA'!C235</f>
        <v>kW</v>
      </c>
      <c r="D56" s="16">
        <f>'INPUT DATA'!D235</f>
        <v>815.795659968</v>
      </c>
      <c r="E56" s="16">
        <f>'INPUT DATA'!E235</f>
        <v>1557.6427492959999</v>
      </c>
      <c r="F56" s="16">
        <f>'INPUT DATA'!F235</f>
        <v>2291.038573408</v>
      </c>
      <c r="G56" s="16">
        <f>'INPUT DATA'!G235</f>
        <v>2726.1544487199999</v>
      </c>
      <c r="H56" s="16">
        <f>'INPUT DATA'!H235</f>
        <v>3014.7402991840004</v>
      </c>
      <c r="I56" s="16">
        <f>'INPUT DATA'!I235</f>
        <v>3317.618730528</v>
      </c>
      <c r="M56" s="16" t="str">
        <f>'INPUT DATA'!M235</f>
        <v>Indicated Power/cylinder</v>
      </c>
      <c r="N56" s="16" t="str">
        <f>'INPUT DATA'!N235</f>
        <v>kW</v>
      </c>
      <c r="O56" s="16">
        <f>'INPUT DATA'!O235</f>
        <v>0</v>
      </c>
      <c r="P56" s="16">
        <f>'INPUT DATA'!P235</f>
        <v>0</v>
      </c>
      <c r="Q56" s="16">
        <f>'INPUT DATA'!Q235</f>
        <v>0</v>
      </c>
      <c r="R56" s="16">
        <f>'INPUT DATA'!R235</f>
        <v>0</v>
      </c>
      <c r="S56" s="16">
        <f>'INPUT DATA'!S235</f>
        <v>0</v>
      </c>
      <c r="X56" s="16" t="str">
        <f>'INPUT DATA'!X235</f>
        <v>Indicated Power/cylinder</v>
      </c>
      <c r="Y56" s="16" t="str">
        <f>'INPUT DATA'!Y235</f>
        <v>kW</v>
      </c>
      <c r="Z56" s="16">
        <f>'INPUT DATA'!Z235</f>
        <v>2490.2337016411361</v>
      </c>
      <c r="AA56" s="16">
        <f>'INPUT DATA'!AA235</f>
        <v>2440.2635123572786</v>
      </c>
      <c r="AB56" s="16">
        <f>'INPUT DATA'!AB235</f>
        <v>2374.0604466930395</v>
      </c>
      <c r="AC56" s="16">
        <f>'INPUT DATA'!AC235</f>
        <v>2550.4643798092843</v>
      </c>
      <c r="AD56" s="16">
        <f>'INPUT DATA'!AD235</f>
        <v>2467.6369550476948</v>
      </c>
      <c r="AE56" s="16">
        <f>'INPUT DATA'!AE235</f>
        <v>2375.5899605639897</v>
      </c>
      <c r="AF56" s="16">
        <f>'INPUT DATA'!AF235</f>
        <v>2370.9467934557483</v>
      </c>
      <c r="AG56" s="16">
        <f>'INPUT DATA'!AG235</f>
        <v>2495.1075097299176</v>
      </c>
      <c r="AH56" s="16">
        <f>'INPUT DATA'!AH235</f>
        <v>2585.2274381262155</v>
      </c>
      <c r="AI56" s="16">
        <f>'INPUT DATA'!AI235</f>
        <v>2561.4532086321215</v>
      </c>
      <c r="AJ56" s="16">
        <f>'INPUT DATA'!AJ235</f>
        <v>2476.6198142897824</v>
      </c>
      <c r="AK56" s="16">
        <f>'INPUT DATA'!AK235</f>
        <v>2531.9827538686372</v>
      </c>
    </row>
    <row r="57" spans="1:37" s="16" customFormat="1">
      <c r="B57" s="16" t="str">
        <f>'INPUT DATA'!B236</f>
        <v>IMEP</v>
      </c>
      <c r="C57" s="16" t="str">
        <f>'INPUT DATA'!C236</f>
        <v>bar</v>
      </c>
      <c r="D57" s="16">
        <f>'INPUT DATA'!D236</f>
        <v>7.9136484901711039</v>
      </c>
      <c r="E57" s="16">
        <f>'INPUT DATA'!E236</f>
        <v>11.996009974073447</v>
      </c>
      <c r="F57" s="16">
        <f>'INPUT DATA'!F236</f>
        <v>15.388104552764926</v>
      </c>
      <c r="G57" s="16">
        <f>'INPUT DATA'!G236</f>
        <v>17.269065608443821</v>
      </c>
      <c r="H57" s="16">
        <f>'INPUT DATA'!H236</f>
        <v>18.446576263229034</v>
      </c>
      <c r="I57" s="16">
        <f>'INPUT DATA'!I236</f>
        <v>19.65196030982408</v>
      </c>
      <c r="M57" s="16" t="str">
        <f>'INPUT DATA'!M236</f>
        <v>IMEP</v>
      </c>
      <c r="N57" s="16" t="str">
        <f>'INPUT DATA'!N236</f>
        <v>bar</v>
      </c>
      <c r="O57" s="16">
        <f>'INPUT DATA'!O236</f>
        <v>0</v>
      </c>
      <c r="P57" s="16">
        <f>'INPUT DATA'!P236</f>
        <v>0</v>
      </c>
      <c r="Q57" s="16">
        <f>'INPUT DATA'!Q236</f>
        <v>0</v>
      </c>
      <c r="R57" s="16">
        <f>'INPUT DATA'!R236</f>
        <v>0</v>
      </c>
      <c r="S57" s="16">
        <f>'INPUT DATA'!S236</f>
        <v>0</v>
      </c>
      <c r="X57" s="16" t="str">
        <f>'INPUT DATA'!X236</f>
        <v>IMEP</v>
      </c>
      <c r="Y57" s="16" t="str">
        <f>'INPUT DATA'!Y236</f>
        <v>bar</v>
      </c>
      <c r="Z57" s="16">
        <f>'INPUT DATA'!Z236</f>
        <v>15.715010568681349</v>
      </c>
      <c r="AA57" s="16">
        <f>'INPUT DATA'!AA236</f>
        <v>15.022264786406216</v>
      </c>
      <c r="AB57" s="16">
        <f>'INPUT DATA'!AB236</f>
        <v>14.836153774485394</v>
      </c>
      <c r="AC57" s="16">
        <f>'INPUT DATA'!AC236</f>
        <v>15.545975124405166</v>
      </c>
      <c r="AD57" s="16">
        <f>'INPUT DATA'!AD236</f>
        <v>15.157260503827672</v>
      </c>
      <c r="AE57" s="16">
        <f>'INPUT DATA'!AE236</f>
        <v>14.735458043579818</v>
      </c>
      <c r="AF57" s="16">
        <f>'INPUT DATA'!AF236</f>
        <v>14.819467769402769</v>
      </c>
      <c r="AG57" s="16">
        <f>'INPUT DATA'!AG236</f>
        <v>15.393923017955338</v>
      </c>
      <c r="AH57" s="16">
        <f>'INPUT DATA'!AH236</f>
        <v>16.086585096936503</v>
      </c>
      <c r="AI57" s="16">
        <f>'INPUT DATA'!AI236</f>
        <v>15.968391722147295</v>
      </c>
      <c r="AJ57" s="16">
        <f>'INPUT DATA'!AJ236</f>
        <v>15.41077384828011</v>
      </c>
      <c r="AK57" s="16">
        <f>'INPUT DATA'!AK236</f>
        <v>16.204989287287564</v>
      </c>
    </row>
    <row r="58" spans="1:37" s="16" customFormat="1">
      <c r="B58" s="16" t="str">
        <f>'INPUT DATA'!B237</f>
        <v>isfc</v>
      </c>
      <c r="C58" s="16" t="str">
        <f>'INPUT DATA'!C237</f>
        <v>g/kWh</v>
      </c>
      <c r="D58" s="16">
        <f>'INPUT DATA'!D237</f>
        <v>160.15039845287339</v>
      </c>
      <c r="E58" s="16">
        <f>'INPUT DATA'!E237</f>
        <v>158.29688810957521</v>
      </c>
      <c r="F58" s="16">
        <f>'INPUT DATA'!F237</f>
        <v>158.63984317791531</v>
      </c>
      <c r="G58" s="16">
        <f>'INPUT DATA'!G237</f>
        <v>158.66305748124017</v>
      </c>
      <c r="H58" s="16">
        <f>'INPUT DATA'!H237</f>
        <v>161.70547099262635</v>
      </c>
      <c r="I58" s="16">
        <f>'INPUT DATA'!I237</f>
        <v>164.7235696408749</v>
      </c>
      <c r="M58" s="16" t="str">
        <f>'INPUT DATA'!M237</f>
        <v>isfc</v>
      </c>
      <c r="N58" s="16" t="str">
        <f>'INPUT DATA'!N237</f>
        <v>g/kWh</v>
      </c>
      <c r="O58" s="16" t="e">
        <f>'INPUT DATA'!O237</f>
        <v>#DIV/0!</v>
      </c>
      <c r="P58" s="16" t="e">
        <f>'INPUT DATA'!P237</f>
        <v>#DIV/0!</v>
      </c>
      <c r="Q58" s="16" t="e">
        <f>'INPUT DATA'!Q237</f>
        <v>#DIV/0!</v>
      </c>
      <c r="R58" s="16" t="e">
        <f>'INPUT DATA'!R237</f>
        <v>#DIV/0!</v>
      </c>
      <c r="S58" s="16" t="e">
        <f>'INPUT DATA'!S237</f>
        <v>#DIV/0!</v>
      </c>
      <c r="X58" s="16" t="str">
        <f>'INPUT DATA'!X237</f>
        <v>isfc</v>
      </c>
      <c r="Y58" s="16" t="str">
        <f>'INPUT DATA'!Y237</f>
        <v>g/kWh</v>
      </c>
      <c r="Z58" s="16">
        <f>'INPUT DATA'!Z237</f>
        <v>193.67646455109545</v>
      </c>
      <c r="AA58" s="16">
        <f>'INPUT DATA'!AA237</f>
        <v>182.63163101718138</v>
      </c>
      <c r="AB58" s="16">
        <f>'INPUT DATA'!AB237</f>
        <v>185.43593579931812</v>
      </c>
      <c r="AC58" s="16">
        <f>'INPUT DATA'!AC237</f>
        <v>206.89981671198015</v>
      </c>
      <c r="AD58" s="16">
        <f>'INPUT DATA'!AD237</f>
        <v>212.17136428032026</v>
      </c>
      <c r="AE58" s="16">
        <f>'INPUT DATA'!AE237</f>
        <v>192.76108696048465</v>
      </c>
      <c r="AF58" s="16">
        <f>'INPUT DATA'!AF237</f>
        <v>190.78814095131841</v>
      </c>
      <c r="AG58" s="16">
        <f>'INPUT DATA'!AG237</f>
        <v>209.79195566239673</v>
      </c>
      <c r="AH58" s="16">
        <f>'INPUT DATA'!AH237</f>
        <v>203.51662003084039</v>
      </c>
      <c r="AI58" s="16">
        <f>'INPUT DATA'!AI237</f>
        <v>198.89685564479501</v>
      </c>
      <c r="AJ58" s="16">
        <f>'INPUT DATA'!AJ237</f>
        <v>203.04850266181731</v>
      </c>
      <c r="AK58" s="16">
        <f>'INPUT DATA'!AK237</f>
        <v>180.98639635305324</v>
      </c>
    </row>
    <row r="59" spans="1:37" s="16" customFormat="1">
      <c r="B59" s="16" t="str">
        <f>'INPUT DATA'!B238</f>
        <v>Isfc corrected</v>
      </c>
      <c r="C59" s="16" t="str">
        <f>'INPUT DATA'!C238</f>
        <v>g/kWh</v>
      </c>
      <c r="D59" s="16">
        <f>'INPUT DATA'!D238</f>
        <v>157.86216205858912</v>
      </c>
      <c r="E59" s="16">
        <f>'INPUT DATA'!E238</f>
        <v>156.03513475789143</v>
      </c>
      <c r="F59" s="16">
        <f>'INPUT DATA'!F238</f>
        <v>156.37318966815164</v>
      </c>
      <c r="G59" s="16">
        <f>'INPUT DATA'!G238</f>
        <v>156.39607228442327</v>
      </c>
      <c r="H59" s="16">
        <f>'INPUT DATA'!H238</f>
        <v>159.39501564905694</v>
      </c>
      <c r="I59" s="16">
        <f>'INPUT DATA'!I238</f>
        <v>162.36999156245639</v>
      </c>
      <c r="M59" s="16" t="str">
        <f>'INPUT DATA'!M238</f>
        <v>Isfc corrected</v>
      </c>
      <c r="N59" s="16" t="str">
        <f>'INPUT DATA'!N238</f>
        <v>g/kWh</v>
      </c>
      <c r="O59" s="16" t="e">
        <f>'INPUT DATA'!O238</f>
        <v>#DIV/0!</v>
      </c>
      <c r="P59" s="16" t="e">
        <f>'INPUT DATA'!P238</f>
        <v>#DIV/0!</v>
      </c>
      <c r="Q59" s="16" t="e">
        <f>'INPUT DATA'!Q238</f>
        <v>#DIV/0!</v>
      </c>
      <c r="R59" s="16" t="e">
        <f>'INPUT DATA'!R238</f>
        <v>#DIV/0!</v>
      </c>
      <c r="S59" s="16" t="e">
        <f>'INPUT DATA'!S238</f>
        <v>#DIV/0!</v>
      </c>
      <c r="X59" s="16" t="str">
        <f>'INPUT DATA'!X238</f>
        <v>Isfc corrected</v>
      </c>
      <c r="Y59" s="16" t="str">
        <f>'INPUT DATA'!Y238</f>
        <v>g/kWh</v>
      </c>
      <c r="Z59" s="16">
        <f>'INPUT DATA'!Z238</f>
        <v>186.82748418874993</v>
      </c>
      <c r="AA59" s="16">
        <f>'INPUT DATA'!AA238</f>
        <v>175.83106208703342</v>
      </c>
      <c r="AB59" s="16">
        <f>'INPUT DATA'!AB238</f>
        <v>178.74808237704764</v>
      </c>
      <c r="AC59" s="16">
        <f>'INPUT DATA'!AC238</f>
        <v>199.437856109253</v>
      </c>
      <c r="AD59" s="16">
        <f>'INPUT DATA'!AD238</f>
        <v>212.32043081260153</v>
      </c>
      <c r="AE59" s="16">
        <f>'INPUT DATA'!AE238</f>
        <v>192.89651629558568</v>
      </c>
      <c r="AF59" s="16">
        <f>'INPUT DATA'!AF238</f>
        <v>190.92218414168232</v>
      </c>
      <c r="AG59" s="16">
        <f>'INPUT DATA'!AG238</f>
        <v>212.78898360043095</v>
      </c>
      <c r="AH59" s="16">
        <f>'INPUT DATA'!AH238</f>
        <v>196.93926790806381</v>
      </c>
      <c r="AI59" s="16">
        <f>'INPUT DATA'!AI238</f>
        <v>192.46880738273842</v>
      </c>
      <c r="AJ59" s="16">
        <f>'INPUT DATA'!AJ238</f>
        <v>196.48627939077966</v>
      </c>
      <c r="AK59" s="16">
        <f>'INPUT DATA'!AK238</f>
        <v>183.99577203011805</v>
      </c>
    </row>
    <row r="60" spans="1:37" s="16" customFormat="1">
      <c r="B60" s="16" t="str">
        <f>'INPUT DATA'!B239</f>
        <v>FMEP</v>
      </c>
      <c r="C60" s="16" t="str">
        <f>'INPUT DATA'!C239</f>
        <v>bar</v>
      </c>
      <c r="D60" s="16">
        <f>'INPUT DATA'!D239</f>
        <v>1.017537983806279</v>
      </c>
      <c r="E60" s="16">
        <f>'INPUT DATA'!E239</f>
        <v>1.0164974541184062</v>
      </c>
      <c r="F60" s="16">
        <f>'INPUT DATA'!F239</f>
        <v>1.0184163802958253</v>
      </c>
      <c r="G60" s="16">
        <f>'INPUT DATA'!G239</f>
        <v>1.0085102823987455</v>
      </c>
      <c r="H60" s="16">
        <f>'INPUT DATA'!H239</f>
        <v>1.0182613520412183</v>
      </c>
      <c r="I60" s="16">
        <f>'INPUT DATA'!I239</f>
        <v>1.0203647632208046</v>
      </c>
      <c r="M60" s="16" t="str">
        <f>'INPUT DATA'!M239</f>
        <v>FMEP</v>
      </c>
      <c r="N60" s="16" t="str">
        <f>'INPUT DATA'!N239</f>
        <v>bar</v>
      </c>
      <c r="O60" s="16">
        <f>'INPUT DATA'!O239</f>
        <v>-10.242188450137684</v>
      </c>
      <c r="P60" s="16">
        <f>'INPUT DATA'!P239</f>
        <v>-10.936538992933329</v>
      </c>
      <c r="Q60" s="16">
        <f>'INPUT DATA'!Q239</f>
        <v>-15.578320933217329</v>
      </c>
      <c r="R60" s="16">
        <f>'INPUT DATA'!R239</f>
        <v>-16.134724492491895</v>
      </c>
      <c r="S60" s="16">
        <f>'INPUT DATA'!S239</f>
        <v>-15.989677746971083</v>
      </c>
      <c r="X60" s="16" t="str">
        <f>'INPUT DATA'!X239</f>
        <v>FMEP</v>
      </c>
      <c r="Y60" s="16" t="str">
        <f>'INPUT DATA'!Y239</f>
        <v>bar</v>
      </c>
      <c r="Z60" s="16">
        <f>'INPUT DATA'!Z239</f>
        <v>1.013925396689503</v>
      </c>
      <c r="AA60" s="16">
        <f>'INPUT DATA'!AA239</f>
        <v>1.0139893753932974</v>
      </c>
      <c r="AB60" s="16">
        <f>'INPUT DATA'!AB239</f>
        <v>1.0137541530034113</v>
      </c>
      <c r="AC60" s="16">
        <f>'INPUT DATA'!AC239</f>
        <v>1.0138679428959829</v>
      </c>
      <c r="AD60" s="16">
        <f>'INPUT DATA'!AD239</f>
        <v>1.0138027004286236</v>
      </c>
      <c r="AE60" s="16">
        <f>'INPUT DATA'!AE239</f>
        <v>1.0144452163874327</v>
      </c>
      <c r="AF60" s="16">
        <f>'INPUT DATA'!AF239</f>
        <v>1.0139659469690514</v>
      </c>
      <c r="AG60" s="16">
        <f>'INPUT DATA'!AG239</f>
        <v>1.0138960278805538</v>
      </c>
      <c r="AH60" s="16">
        <f>'INPUT DATA'!AH239</f>
        <v>1.0137483458827923</v>
      </c>
      <c r="AI60" s="16">
        <f>'INPUT DATA'!AI239</f>
        <v>1.0138395644314553</v>
      </c>
      <c r="AJ60" s="16">
        <f>'INPUT DATA'!AJ239</f>
        <v>1.0138490591570637</v>
      </c>
      <c r="AK60" s="16">
        <f>'INPUT DATA'!AK239</f>
        <v>1.0138679428959918</v>
      </c>
    </row>
    <row r="61" spans="1:37" s="16" customFormat="1">
      <c r="B61" s="16" t="str">
        <f>'INPUT DATA'!B240</f>
        <v>Pmax</v>
      </c>
      <c r="C61" s="16" t="str">
        <f>'INPUT DATA'!C240</f>
        <v>bar</v>
      </c>
      <c r="D61" s="16">
        <f>'INPUT DATA'!D240</f>
        <v>76.17378400072667</v>
      </c>
      <c r="E61" s="16">
        <f>'INPUT DATA'!E240</f>
        <v>105.50671736689</v>
      </c>
      <c r="F61" s="16">
        <f>'INPUT DATA'!F240</f>
        <v>135.67298406638665</v>
      </c>
      <c r="G61" s="16">
        <f>'INPUT DATA'!G240</f>
        <v>151.00605075493999</v>
      </c>
      <c r="H61" s="16">
        <f>'INPUT DATA'!H240</f>
        <v>151.00565078777001</v>
      </c>
      <c r="I61" s="16">
        <f>'INPUT DATA'!I240</f>
        <v>151.33791754198333</v>
      </c>
      <c r="M61" s="16" t="str">
        <f>'INPUT DATA'!M240</f>
        <v>Pmax</v>
      </c>
      <c r="N61" s="16" t="str">
        <f>'INPUT DATA'!N240</f>
        <v>bar</v>
      </c>
      <c r="O61" s="16">
        <f>'INPUT DATA'!O240</f>
        <v>99.170584263366678</v>
      </c>
      <c r="P61" s="16">
        <f>'INPUT DATA'!P240</f>
        <v>101.67058426336668</v>
      </c>
      <c r="Q61" s="16">
        <f>'INPUT DATA'!Q240</f>
        <v>135.17058426336666</v>
      </c>
      <c r="R61" s="16">
        <f>'INPUT DATA'!R240</f>
        <v>142.00391759670001</v>
      </c>
      <c r="S61" s="16">
        <f>'INPUT DATA'!S240</f>
        <v>141.17058426336666</v>
      </c>
      <c r="X61" s="16" t="str">
        <f>'INPUT DATA'!X240</f>
        <v>Pmax</v>
      </c>
      <c r="Y61" s="16" t="str">
        <f>'INPUT DATA'!Y240</f>
        <v>bar</v>
      </c>
      <c r="Z61" s="16">
        <f>'INPUT DATA'!Z240</f>
        <v>135.36533333333335</v>
      </c>
      <c r="AA61" s="16">
        <f>'INPUT DATA'!AA240</f>
        <v>138.69666666666666</v>
      </c>
      <c r="AB61" s="16">
        <f>'INPUT DATA'!AB240</f>
        <v>135.51300000000001</v>
      </c>
      <c r="AC61" s="16">
        <f>'INPUT DATA'!AC240</f>
        <v>139.542</v>
      </c>
      <c r="AD61" s="16">
        <f>'INPUT DATA'!AD240</f>
        <v>134.52099999999999</v>
      </c>
      <c r="AE61" s="16">
        <f>'INPUT DATA'!AE240</f>
        <v>134.35733333333334</v>
      </c>
      <c r="AF61" s="16">
        <f>'INPUT DATA'!AF240</f>
        <v>132.02000000000001</v>
      </c>
      <c r="AG61" s="16">
        <f>'INPUT DATA'!AG240</f>
        <v>134.02199999999999</v>
      </c>
      <c r="AH61" s="16">
        <f>'INPUT DATA'!AH240</f>
        <v>136.511</v>
      </c>
      <c r="AI61" s="16">
        <f>'INPUT DATA'!AI240</f>
        <v>143.52099999999999</v>
      </c>
      <c r="AJ61" s="16">
        <f>'INPUT DATA'!AJ240</f>
        <v>142.51900000000001</v>
      </c>
      <c r="AK61" s="16">
        <f>'INPUT DATA'!AK240</f>
        <v>137.35733333333334</v>
      </c>
    </row>
    <row r="62" spans="1:37" s="16" customFormat="1">
      <c r="B62" s="16" t="str">
        <f>'INPUT DATA'!B241</f>
        <v>Pcomp</v>
      </c>
      <c r="C62" s="16" t="str">
        <f>'INPUT DATA'!C241</f>
        <v>bar</v>
      </c>
      <c r="D62" s="16">
        <f>'INPUT DATA'!D241</f>
        <v>49.007117334059998</v>
      </c>
      <c r="E62" s="16">
        <f>'INPUT DATA'!E241</f>
        <v>75.673384033556673</v>
      </c>
      <c r="F62" s="16">
        <f>'INPUT DATA'!F241</f>
        <v>106.17298406638668</v>
      </c>
      <c r="G62" s="16">
        <f>'INPUT DATA'!G241</f>
        <v>124.17271742160668</v>
      </c>
      <c r="H62" s="16">
        <f>'INPUT DATA'!H241</f>
        <v>137.17231745443667</v>
      </c>
      <c r="I62" s="16">
        <f>'INPUT DATA'!I241</f>
        <v>146.83791754198333</v>
      </c>
      <c r="M62" s="16" t="str">
        <f>'INPUT DATA'!M241</f>
        <v>Pcomp</v>
      </c>
      <c r="N62" s="16" t="str">
        <f>'INPUT DATA'!N241</f>
        <v>bar</v>
      </c>
      <c r="O62" s="16">
        <f>'INPUT DATA'!O241</f>
        <v>75.003917596700006</v>
      </c>
      <c r="P62" s="16">
        <f>'INPUT DATA'!P241</f>
        <v>78.670584263366678</v>
      </c>
      <c r="Q62" s="16">
        <f>'INPUT DATA'!Q241</f>
        <v>121.33725093003333</v>
      </c>
      <c r="R62" s="16">
        <f>'INPUT DATA'!R241</f>
        <v>125.17058426336668</v>
      </c>
      <c r="S62" s="16">
        <f>'INPUT DATA'!S241</f>
        <v>124.83725093003333</v>
      </c>
      <c r="X62" s="16" t="str">
        <f>'INPUT DATA'!X241</f>
        <v>Pcomp</v>
      </c>
      <c r="Y62" s="16" t="str">
        <f>'INPUT DATA'!Y241</f>
        <v>bar</v>
      </c>
      <c r="Z62" s="16">
        <f>'INPUT DATA'!Z241</f>
        <v>117.49866666666665</v>
      </c>
      <c r="AA62" s="16">
        <f>'INPUT DATA'!AA241</f>
        <v>121.51333333333334</v>
      </c>
      <c r="AB62" s="16">
        <f>'INPUT DATA'!AB241</f>
        <v>116.87966666666668</v>
      </c>
      <c r="AC62" s="16">
        <f>'INPUT DATA'!AC241</f>
        <v>127.84200000000001</v>
      </c>
      <c r="AD62" s="16">
        <f>'INPUT DATA'!AD241</f>
        <v>117.93766666666667</v>
      </c>
      <c r="AE62" s="16">
        <f>'INPUT DATA'!AE241</f>
        <v>117.09066666666666</v>
      </c>
      <c r="AF62" s="16">
        <f>'INPUT DATA'!AF241</f>
        <v>113.77</v>
      </c>
      <c r="AG62" s="16">
        <f>'INPUT DATA'!AG241</f>
        <v>118.43866666666668</v>
      </c>
      <c r="AH62" s="16">
        <f>'INPUT DATA'!AH241</f>
        <v>123.84433333333332</v>
      </c>
      <c r="AI62" s="16">
        <f>'INPUT DATA'!AI241</f>
        <v>119.70433333333332</v>
      </c>
      <c r="AJ62" s="16">
        <f>'INPUT DATA'!AJ241</f>
        <v>117.03566666666667</v>
      </c>
      <c r="AK62" s="16">
        <f>'INPUT DATA'!AK241</f>
        <v>109.50733333333334</v>
      </c>
    </row>
    <row r="63" spans="1:37">
      <c r="A63" s="11"/>
      <c r="B63" s="11"/>
      <c r="C63" s="11"/>
      <c r="D63" s="11"/>
      <c r="E63" s="11"/>
      <c r="F63" s="11"/>
      <c r="G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s="29" customFormat="1" ht="15.75">
      <c r="A64" s="29">
        <f>'INPUT DATA'!A243</f>
        <v>4</v>
      </c>
      <c r="B64" s="29" t="str">
        <f>'INPUT DATA'!B243</f>
        <v>Turbocharger Data</v>
      </c>
      <c r="L64" s="29">
        <f>$A$64</f>
        <v>4</v>
      </c>
      <c r="M64" s="29" t="str">
        <f>$B$64</f>
        <v>Turbocharger Data</v>
      </c>
      <c r="W64" s="29">
        <f>$A$64</f>
        <v>4</v>
      </c>
      <c r="X64" s="29" t="str">
        <f>$B$64</f>
        <v>Turbocharger Data</v>
      </c>
    </row>
    <row r="65" spans="1:37" s="52" customFormat="1">
      <c r="B65" s="52" t="str">
        <f>'INPUT DATA'!B244</f>
        <v xml:space="preserve">Air Cooler Pressure Drop </v>
      </c>
      <c r="C65" s="52" t="str">
        <f>'INPUT DATA'!C244</f>
        <v>bar</v>
      </c>
      <c r="D65" s="52">
        <f>'INPUT DATA'!D244</f>
        <v>6.0310897500000004E-3</v>
      </c>
      <c r="E65" s="52">
        <f>'INPUT DATA'!E244</f>
        <v>1.1179580999999999E-2</v>
      </c>
      <c r="F65" s="52">
        <f>'INPUT DATA'!F244</f>
        <v>1.5690639999999999E-2</v>
      </c>
      <c r="G65" s="52">
        <f>'INPUT DATA'!G244</f>
        <v>1.7897136250000001E-2</v>
      </c>
      <c r="H65" s="52">
        <f>'INPUT DATA'!H244</f>
        <v>1.9368133749999999E-2</v>
      </c>
      <c r="I65" s="52">
        <f>'INPUT DATA'!I244</f>
        <v>2.0103632499999999E-2</v>
      </c>
      <c r="M65" s="52" t="str">
        <f>'INPUT DATA'!M244</f>
        <v xml:space="preserve">Air Cooler Pressure Drop </v>
      </c>
      <c r="N65" s="52" t="str">
        <f>'INPUT DATA'!N244</f>
        <v>bar</v>
      </c>
      <c r="O65" s="52">
        <f>'INPUT DATA'!O244</f>
        <v>1.12776475E-2</v>
      </c>
      <c r="P65" s="52">
        <f>'INPUT DATA'!P244</f>
        <v>1.201314625E-2</v>
      </c>
      <c r="Q65" s="52">
        <f>'INPUT DATA'!Q244</f>
        <v>1.8142302499999999E-2</v>
      </c>
      <c r="R65" s="52">
        <f>'INPUT DATA'!R244</f>
        <v>1.8877801249999999E-2</v>
      </c>
      <c r="S65" s="52">
        <f>'INPUT DATA'!S244</f>
        <v>1.8632635000000002E-2</v>
      </c>
      <c r="X65" s="52" t="str">
        <f>'INPUT DATA'!X244</f>
        <v xml:space="preserve">Air Cooler Pressure Drop </v>
      </c>
      <c r="Y65" s="52" t="str">
        <f>'INPUT DATA'!Y244</f>
        <v>bar</v>
      </c>
      <c r="Z65" s="52">
        <f>'INPUT DATA'!Z244</f>
        <v>1.96133E-2</v>
      </c>
      <c r="AA65" s="52">
        <f>'INPUT DATA'!AA244</f>
        <v>1.8632635000000002E-2</v>
      </c>
      <c r="AB65" s="52">
        <f>'INPUT DATA'!AB244</f>
        <v>1.8632635000000002E-2</v>
      </c>
      <c r="AC65" s="52">
        <f>'INPUT DATA'!AC244</f>
        <v>2.1084297500000002E-2</v>
      </c>
      <c r="AD65" s="52">
        <f>'INPUT DATA'!AD244</f>
        <v>1.6671305000000001E-2</v>
      </c>
      <c r="AE65" s="52">
        <f>'INPUT DATA'!AE244</f>
        <v>1.8632635000000002E-2</v>
      </c>
      <c r="AF65" s="52">
        <f>'INPUT DATA'!AF244</f>
        <v>1.6671305000000001E-2</v>
      </c>
      <c r="AG65" s="52">
        <f>'INPUT DATA'!AG244</f>
        <v>1.8142302499999999E-2</v>
      </c>
      <c r="AH65" s="52">
        <f>'INPUT DATA'!AH244</f>
        <v>1.8632635000000002E-2</v>
      </c>
      <c r="AI65" s="52">
        <f>'INPUT DATA'!AI244</f>
        <v>1.8632635000000002E-2</v>
      </c>
      <c r="AJ65" s="52">
        <f>'INPUT DATA'!AJ244</f>
        <v>1.6671305000000001E-2</v>
      </c>
      <c r="AK65" s="52">
        <f>'INPUT DATA'!AK244</f>
        <v>1.71616375E-2</v>
      </c>
    </row>
    <row r="66" spans="1:37" s="52" customFormat="1">
      <c r="B66" s="52" t="str">
        <f>'INPUT DATA'!B245</f>
        <v>Compressor Outlet Pressure</v>
      </c>
      <c r="C66" s="52" t="str">
        <f>'INPUT DATA'!C245</f>
        <v>bar</v>
      </c>
      <c r="D66" s="52">
        <f>'INPUT DATA'!D245</f>
        <v>1.4031484238099998</v>
      </c>
      <c r="E66" s="52">
        <f>'INPUT DATA'!E245</f>
        <v>2.1178969478899998</v>
      </c>
      <c r="F66" s="52">
        <f>'INPUT DATA'!F245</f>
        <v>2.9520080397199999</v>
      </c>
      <c r="G66" s="52">
        <f>'INPUT DATA'!G245</f>
        <v>3.3939478911899998</v>
      </c>
      <c r="H66" s="52">
        <f>'INPUT DATA'!H245</f>
        <v>3.7650189215200003</v>
      </c>
      <c r="I66" s="52">
        <f>'INPUT DATA'!I245</f>
        <v>4.0346878411499993</v>
      </c>
      <c r="M66" s="52" t="str">
        <f>'INPUT DATA'!M245</f>
        <v>Compressor Outlet Pressure</v>
      </c>
      <c r="N66" s="52" t="str">
        <f>'INPUT DATA'!N245</f>
        <v>bar</v>
      </c>
      <c r="O66" s="52">
        <f>'INPUT DATA'!O245</f>
        <v>2.1429599941999999</v>
      </c>
      <c r="P66" s="52">
        <f>'INPUT DATA'!P245</f>
        <v>2.2417619929499999</v>
      </c>
      <c r="Q66" s="52">
        <f>'INPUT DATA'!Q245</f>
        <v>3.4246891492000002</v>
      </c>
      <c r="R66" s="52">
        <f>'INPUT DATA'!R245</f>
        <v>3.5234911479499997</v>
      </c>
      <c r="S66" s="52">
        <f>'INPUT DATA'!S245</f>
        <v>3.4742127316999998</v>
      </c>
      <c r="X66" s="52" t="str">
        <f>'INPUT DATA'!X245</f>
        <v>Compressor Outlet Pressure</v>
      </c>
      <c r="Y66" s="52" t="str">
        <f>'INPUT DATA'!Y245</f>
        <v>bar</v>
      </c>
      <c r="Z66" s="52">
        <f>'INPUT DATA'!Z245</f>
        <v>3.3516132999999999</v>
      </c>
      <c r="AA66" s="52">
        <f>'INPUT DATA'!AA245</f>
        <v>3.4486326349999996</v>
      </c>
      <c r="AB66" s="52">
        <f>'INPUT DATA'!AB245</f>
        <v>3.5316326349999998</v>
      </c>
      <c r="AC66" s="52">
        <f>'INPUT DATA'!AC245</f>
        <v>3.5630842974999997</v>
      </c>
      <c r="AD66" s="52">
        <f>'INPUT DATA'!AD245</f>
        <v>3.3376713049999998</v>
      </c>
      <c r="AE66" s="52">
        <f>'INPUT DATA'!AE245</f>
        <v>3.5426326349999999</v>
      </c>
      <c r="AF66" s="52">
        <f>'INPUT DATA'!AF245</f>
        <v>3.2366713050000002</v>
      </c>
      <c r="AG66" s="52">
        <f>'INPUT DATA'!AG245</f>
        <v>3.5401423025000001</v>
      </c>
      <c r="AH66" s="52">
        <f>'INPUT DATA'!AH245</f>
        <v>3.7296326350000002</v>
      </c>
      <c r="AI66" s="52">
        <f>'INPUT DATA'!AI245</f>
        <v>3.6396326349999999</v>
      </c>
      <c r="AJ66" s="52">
        <f>'INPUT DATA'!AJ245</f>
        <v>3.2356713050000003</v>
      </c>
      <c r="AK66" s="52">
        <f>'INPUT DATA'!AK245</f>
        <v>3.1411616375000002</v>
      </c>
    </row>
    <row r="67" spans="1:37">
      <c r="A67" s="11"/>
      <c r="B67" s="11" t="str">
        <f>'INPUT DATA'!B246</f>
        <v>Compressor Delivery Temp</v>
      </c>
      <c r="C67" s="11" t="str">
        <f>'INPUT DATA'!C246</f>
        <v>K</v>
      </c>
      <c r="D67" s="11">
        <f>'INPUT DATA'!D246</f>
        <v>296.14999999999998</v>
      </c>
      <c r="E67" s="11">
        <f>'INPUT DATA'!E246</f>
        <v>355.65</v>
      </c>
      <c r="F67" s="11">
        <f>'INPUT DATA'!F246</f>
        <v>400.65</v>
      </c>
      <c r="G67" s="11">
        <f>'INPUT DATA'!G246</f>
        <v>425.65</v>
      </c>
      <c r="H67" s="11">
        <f>'INPUT DATA'!H246</f>
        <v>443.15</v>
      </c>
      <c r="I67" s="11">
        <f>'INPUT DATA'!I246</f>
        <v>458.15</v>
      </c>
      <c r="J67" s="11"/>
      <c r="K67" s="11"/>
      <c r="L67" s="11"/>
      <c r="M67" s="11" t="str">
        <f>'INPUT DATA'!M246</f>
        <v>Compressor Delivery Temp</v>
      </c>
      <c r="N67" s="11" t="str">
        <f>'INPUT DATA'!N246</f>
        <v>K</v>
      </c>
      <c r="O67" s="11">
        <f>'INPUT DATA'!O246</f>
        <v>383.15</v>
      </c>
      <c r="P67" s="11">
        <f>'INPUT DATA'!P246</f>
        <v>390.65</v>
      </c>
      <c r="Q67" s="11">
        <f>'INPUT DATA'!Q246</f>
        <v>453.15</v>
      </c>
      <c r="R67" s="11">
        <f>'INPUT DATA'!R246</f>
        <v>460.15</v>
      </c>
      <c r="S67" s="11">
        <f>'INPUT DATA'!S246</f>
        <v>456.65</v>
      </c>
      <c r="U67" s="11"/>
      <c r="V67" s="11"/>
      <c r="W67" s="11"/>
      <c r="X67" s="11" t="str">
        <f>'INPUT DATA'!X246</f>
        <v>Compressor Delivery Temp</v>
      </c>
      <c r="Y67" s="11" t="str">
        <f>'INPUT DATA'!Y246</f>
        <v>K</v>
      </c>
      <c r="Z67" s="11">
        <f>'INPUT DATA'!Z246</f>
        <v>435.65</v>
      </c>
      <c r="AA67" s="11">
        <f>'INPUT DATA'!AA246</f>
        <v>430.65</v>
      </c>
      <c r="AB67" s="11">
        <f>'INPUT DATA'!AB246</f>
        <v>428.15</v>
      </c>
      <c r="AC67" s="11">
        <f>'INPUT DATA'!AC246</f>
        <v>435.65</v>
      </c>
      <c r="AD67" s="11">
        <f>'INPUT DATA'!AD246</f>
        <v>438.15</v>
      </c>
      <c r="AE67" s="11">
        <f>'INPUT DATA'!AE246</f>
        <v>445.65</v>
      </c>
      <c r="AF67" s="11">
        <f>'INPUT DATA'!AF246</f>
        <v>443.15</v>
      </c>
      <c r="AG67" s="11">
        <f>'INPUT DATA'!AG246</f>
        <v>450.65</v>
      </c>
      <c r="AH67" s="11">
        <f>'INPUT DATA'!AH246</f>
        <v>435.65</v>
      </c>
      <c r="AI67" s="11">
        <f>'INPUT DATA'!AI246</f>
        <v>450.65</v>
      </c>
      <c r="AJ67" s="11">
        <f>'INPUT DATA'!AJ246</f>
        <v>443.15</v>
      </c>
      <c r="AK67" s="11">
        <f>'INPUT DATA'!AK246</f>
        <v>425.65</v>
      </c>
    </row>
    <row r="68" spans="1:37" s="59" customFormat="1">
      <c r="B68" s="59" t="str">
        <f>'INPUT DATA'!B247</f>
        <v>Compressor Pressure Ratio (π)</v>
      </c>
      <c r="D68" s="59">
        <f>'INPUT DATA'!D247</f>
        <v>1.3937073093003121</v>
      </c>
      <c r="E68" s="59">
        <f>'INPUT DATA'!E247</f>
        <v>2.1062272507094488</v>
      </c>
      <c r="F68" s="59">
        <f>'INPUT DATA'!F247</f>
        <v>2.9399223029233812</v>
      </c>
      <c r="G68" s="59">
        <f>'INPUT DATA'!G247</f>
        <v>3.3827682044335114</v>
      </c>
      <c r="H68" s="59">
        <f>'INPUT DATA'!H247</f>
        <v>3.7559498303372099</v>
      </c>
      <c r="I68" s="59">
        <f>'INPUT DATA'!I247</f>
        <v>4.0308353776948129</v>
      </c>
      <c r="M68" s="59" t="str">
        <f>'INPUT DATA'!M247</f>
        <v>Compressor Pressure Ratio (π)</v>
      </c>
      <c r="O68" s="59">
        <f>'INPUT DATA'!O247</f>
        <v>2.138671316715524</v>
      </c>
      <c r="P68" s="59">
        <f>'INPUT DATA'!P247</f>
        <v>2.2373850710404466</v>
      </c>
      <c r="Q68" s="59">
        <f>'INPUT DATA'!Q247</f>
        <v>3.4247064895163684</v>
      </c>
      <c r="R68" s="59">
        <f>'INPUT DATA'!R247</f>
        <v>3.5243730502323913</v>
      </c>
      <c r="S68" s="59">
        <f>'INPUT DATA'!S247</f>
        <v>3.474230322770393</v>
      </c>
      <c r="X68" s="59" t="str">
        <f>'INPUT DATA'!X247</f>
        <v>Compressor Pressure Ratio (π)</v>
      </c>
      <c r="Z68" s="59">
        <f>'INPUT DATA'!Z247</f>
        <v>3.2631916562284649</v>
      </c>
      <c r="AA68" s="59">
        <f>'INPUT DATA'!AA247</f>
        <v>3.3563357373923006</v>
      </c>
      <c r="AB68" s="59">
        <f>'INPUT DATA'!AB247</f>
        <v>3.4954470522957126</v>
      </c>
      <c r="AC68" s="59">
        <f>'INPUT DATA'!AC247</f>
        <v>3.4323880892150092</v>
      </c>
      <c r="AD68" s="59">
        <f>'INPUT DATA'!AD247</f>
        <v>3.2816297971990998</v>
      </c>
      <c r="AE68" s="59">
        <f>'INPUT DATA'!AE247</f>
        <v>3.4745760871222164</v>
      </c>
      <c r="AF68" s="59">
        <f>'INPUT DATA'!AF247</f>
        <v>3.1819259359649812</v>
      </c>
      <c r="AG68" s="59">
        <f>'INPUT DATA'!AG247</f>
        <v>3.4764451151498839</v>
      </c>
      <c r="AH68" s="59">
        <f>'INPUT DATA'!AH247</f>
        <v>3.6980207059237755</v>
      </c>
      <c r="AI68" s="59">
        <f>'INPUT DATA'!AI247</f>
        <v>3.5673422240417283</v>
      </c>
      <c r="AJ68" s="59">
        <f>'INPUT DATA'!AJ247</f>
        <v>3.1860715859877877</v>
      </c>
      <c r="AK68" s="59">
        <f>'INPUT DATA'!AK247</f>
        <v>3.0778572770244206</v>
      </c>
    </row>
    <row r="69" spans="1:37" s="59" customFormat="1">
      <c r="B69" s="59" t="s">
        <v>180</v>
      </c>
      <c r="D69" s="59">
        <f>IF(D38/D34&lt;1,0,D38/D34)</f>
        <v>1.305267251178035</v>
      </c>
      <c r="E69" s="59">
        <f t="shared" ref="E69:I69" si="0">IF(E38/E34&lt;1,0,E38/E34)</f>
        <v>1.9243550299994052</v>
      </c>
      <c r="F69" s="59">
        <f t="shared" si="0"/>
        <v>2.6903005758588816</v>
      </c>
      <c r="G69" s="59">
        <f t="shared" si="0"/>
        <v>3.0986811052379069</v>
      </c>
      <c r="H69" s="59">
        <f t="shared" si="0"/>
        <v>3.4030139610613355</v>
      </c>
      <c r="I69" s="59">
        <f t="shared" si="0"/>
        <v>3.6996204776663544</v>
      </c>
      <c r="M69" s="59" t="s">
        <v>180</v>
      </c>
      <c r="O69" s="59">
        <f>IF(O38/O34&lt;1,0,O38/O34)</f>
        <v>0</v>
      </c>
      <c r="P69" s="59">
        <f t="shared" ref="P69:S69" si="1">IF(P38/P34&lt;1,0,P38/P34)</f>
        <v>0</v>
      </c>
      <c r="Q69" s="59">
        <f t="shared" si="1"/>
        <v>0</v>
      </c>
      <c r="R69" s="59">
        <f t="shared" si="1"/>
        <v>0</v>
      </c>
      <c r="S69" s="59">
        <f t="shared" si="1"/>
        <v>0</v>
      </c>
      <c r="X69" s="59" t="s">
        <v>180</v>
      </c>
      <c r="Z69" s="59">
        <f>IF(Z38/Z34&lt;1,0,Z38/Z34)</f>
        <v>3.1317829457364343</v>
      </c>
      <c r="AA69" s="59">
        <f t="shared" ref="AA69:AI69" si="2">IF(AA38/AA34&lt;1,0,AA38/AA34)</f>
        <v>3.4271844660194177</v>
      </c>
      <c r="AB69" s="59">
        <f t="shared" si="2"/>
        <v>3.4679170779861801</v>
      </c>
      <c r="AC69" s="59">
        <f t="shared" si="2"/>
        <v>3.0153550863723613</v>
      </c>
      <c r="AD69" s="59">
        <f t="shared" si="2"/>
        <v>3.1547502448579827</v>
      </c>
      <c r="AE69" s="59">
        <f t="shared" si="2"/>
        <v>1</v>
      </c>
      <c r="AF69" s="59">
        <f t="shared" si="2"/>
        <v>2.9607843137254903</v>
      </c>
      <c r="AG69" s="59">
        <f t="shared" si="2"/>
        <v>1</v>
      </c>
      <c r="AH69" s="59">
        <f t="shared" si="2"/>
        <v>1</v>
      </c>
      <c r="AI69" s="59">
        <f t="shared" si="2"/>
        <v>3.2526934378060726</v>
      </c>
      <c r="AJ69" s="59">
        <f t="shared" ref="AJ69:AK69" si="3">IF(AJ38/AJ34&lt;1,0,AJ38/AJ34)</f>
        <v>2.7664376840039258</v>
      </c>
      <c r="AK69" s="59">
        <f t="shared" si="3"/>
        <v>2.5625</v>
      </c>
    </row>
    <row r="70" spans="1:37" s="40" customFormat="1">
      <c r="B70" s="40" t="str">
        <f>'INPUT DATA'!B248</f>
        <v xml:space="preserve">Scavenge Temperature </v>
      </c>
      <c r="C70" s="40" t="str">
        <f>'INPUT DATA'!C248</f>
        <v>°C</v>
      </c>
      <c r="D70" s="40">
        <f>'INPUT DATA'!D248</f>
        <v>30</v>
      </c>
      <c r="E70" s="40">
        <f>'INPUT DATA'!E248</f>
        <v>28</v>
      </c>
      <c r="F70" s="40">
        <f>'INPUT DATA'!F248</f>
        <v>28</v>
      </c>
      <c r="G70" s="40">
        <f>'INPUT DATA'!G248</f>
        <v>30</v>
      </c>
      <c r="H70" s="40">
        <f>'INPUT DATA'!H248</f>
        <v>32</v>
      </c>
      <c r="I70" s="40">
        <f>'INPUT DATA'!I248</f>
        <v>36</v>
      </c>
      <c r="M70" s="40" t="str">
        <f>'INPUT DATA'!M248</f>
        <v xml:space="preserve">Scavenge Temperature </v>
      </c>
      <c r="N70" s="40" t="str">
        <f>'INPUT DATA'!N248</f>
        <v>°C</v>
      </c>
      <c r="O70" s="40">
        <f>'INPUT DATA'!O248</f>
        <v>38</v>
      </c>
      <c r="P70" s="40">
        <f>'INPUT DATA'!P248</f>
        <v>39</v>
      </c>
      <c r="Q70" s="40">
        <f>'INPUT DATA'!Q248</f>
        <v>43</v>
      </c>
      <c r="R70" s="40">
        <f>'INPUT DATA'!R248</f>
        <v>44</v>
      </c>
      <c r="S70" s="40">
        <f>'INPUT DATA'!S248</f>
        <v>42</v>
      </c>
      <c r="X70" s="40" t="str">
        <f>'INPUT DATA'!X248</f>
        <v xml:space="preserve">Scavenge Temperature </v>
      </c>
      <c r="Y70" s="40" t="str">
        <f>'INPUT DATA'!Y248</f>
        <v>°C</v>
      </c>
      <c r="Z70" s="40">
        <f>'INPUT DATA'!Z248</f>
        <v>43</v>
      </c>
      <c r="AA70" s="40">
        <f>'INPUT DATA'!AA248</f>
        <v>41</v>
      </c>
      <c r="AB70" s="40">
        <f>'INPUT DATA'!AB248</f>
        <v>41</v>
      </c>
      <c r="AC70" s="40">
        <f>'INPUT DATA'!AC248</f>
        <v>42</v>
      </c>
      <c r="AD70" s="40">
        <f>'INPUT DATA'!AD248</f>
        <v>45</v>
      </c>
      <c r="AE70" s="40">
        <f>'INPUT DATA'!AE248</f>
        <v>41</v>
      </c>
      <c r="AF70" s="40">
        <f>'INPUT DATA'!AF248</f>
        <v>41</v>
      </c>
      <c r="AG70" s="40">
        <f>'INPUT DATA'!AG248</f>
        <v>44</v>
      </c>
      <c r="AH70" s="40">
        <f>'INPUT DATA'!AH248</f>
        <v>44</v>
      </c>
      <c r="AI70" s="40">
        <f>'INPUT DATA'!AI248</f>
        <v>43</v>
      </c>
      <c r="AJ70" s="40">
        <f>'INPUT DATA'!AJ248</f>
        <v>42</v>
      </c>
      <c r="AK70" s="40">
        <f>'INPUT DATA'!AK248</f>
        <v>40</v>
      </c>
    </row>
    <row r="71" spans="1:37" s="11" customFormat="1">
      <c r="B71" s="11" t="str">
        <f>'INPUT DATA'!B249</f>
        <v>TC speed corrected</v>
      </c>
      <c r="C71" s="11" t="str">
        <f>'INPUT DATA'!C249</f>
        <v>rpm</v>
      </c>
      <c r="D71" s="11">
        <f>'INPUT DATA'!D249</f>
        <v>5506.2352357876762</v>
      </c>
      <c r="E71" s="11">
        <f>'INPUT DATA'!E249</f>
        <v>9260.7324442013396</v>
      </c>
      <c r="F71" s="11">
        <f>'INPUT DATA'!F249</f>
        <v>11452.432347177655</v>
      </c>
      <c r="G71" s="11">
        <f>'INPUT DATA'!G249</f>
        <v>12405.166790630559</v>
      </c>
      <c r="H71" s="11">
        <f>'INPUT DATA'!H249</f>
        <v>13025.370844924732</v>
      </c>
      <c r="I71" s="11">
        <f>'INPUT DATA'!I249</f>
        <v>13628.941184128962</v>
      </c>
      <c r="M71" s="11" t="str">
        <f>'INPUT DATA'!M249</f>
        <v>TC speed corrected</v>
      </c>
      <c r="N71" s="11" t="str">
        <f>'INPUT DATA'!N249</f>
        <v>rpm</v>
      </c>
      <c r="O71" s="11">
        <f>'INPUT DATA'!O249</f>
        <v>9355.399999395011</v>
      </c>
      <c r="P71" s="11">
        <f>'INPUT DATA'!P249</f>
        <v>9711.9709589639297</v>
      </c>
      <c r="Q71" s="11">
        <f>'INPUT DATA'!Q249</f>
        <v>12402.963121922738</v>
      </c>
      <c r="R71" s="11">
        <f>'INPUT DATA'!R249</f>
        <v>12628.372304884435</v>
      </c>
      <c r="S71" s="11">
        <f>'INPUT DATA'!S249</f>
        <v>12706.809399945829</v>
      </c>
      <c r="X71" s="11" t="str">
        <f>'INPUT DATA'!X249</f>
        <v>TC speed corrected</v>
      </c>
      <c r="Y71" s="11" t="str">
        <f>'INPUT DATA'!Y249</f>
        <v>rpm</v>
      </c>
      <c r="Z71" s="11">
        <f>'INPUT DATA'!Z249</f>
        <v>12153.321793741245</v>
      </c>
      <c r="AA71" s="11">
        <f>'INPUT DATA'!AA249</f>
        <v>12326.689321937822</v>
      </c>
      <c r="AB71" s="11">
        <f>'INPUT DATA'!AB249</f>
        <v>12282.033144713656</v>
      </c>
      <c r="AC71" s="11">
        <f>'INPUT DATA'!AC249</f>
        <v>12479.089982014224</v>
      </c>
      <c r="AD71" s="11">
        <f>'INPUT DATA'!AD249</f>
        <v>12313.909253416832</v>
      </c>
      <c r="AE71" s="11">
        <f>'INPUT DATA'!AE249</f>
        <v>12192.34812912085</v>
      </c>
      <c r="AF71" s="11">
        <f>'INPUT DATA'!AF249</f>
        <v>12039.113628235711</v>
      </c>
      <c r="AG71" s="11">
        <f>'INPUT DATA'!AG249</f>
        <v>12304.167236602421</v>
      </c>
      <c r="AH71" s="11">
        <f>'INPUT DATA'!AH249</f>
        <v>12611.214190339755</v>
      </c>
      <c r="AI71" s="11">
        <f>'INPUT DATA'!AI249</f>
        <v>12250.769203730797</v>
      </c>
      <c r="AJ71" s="11">
        <f>'INPUT DATA'!AJ249</f>
        <v>12163.204331803001</v>
      </c>
      <c r="AK71" s="11">
        <f>'INPUT DATA'!AK249</f>
        <v>11723.179337119982</v>
      </c>
    </row>
    <row r="72" spans="1:37" s="11" customFormat="1">
      <c r="B72" s="11" t="s">
        <v>108</v>
      </c>
      <c r="C72" s="11" t="s">
        <v>173</v>
      </c>
      <c r="D72" s="11">
        <f>D71/60</f>
        <v>91.770587263127936</v>
      </c>
      <c r="E72" s="11">
        <f t="shared" ref="E72:I72" si="4">E71/60</f>
        <v>154.345540736689</v>
      </c>
      <c r="F72" s="11">
        <f t="shared" si="4"/>
        <v>190.87387245296091</v>
      </c>
      <c r="G72" s="11">
        <f t="shared" si="4"/>
        <v>206.75277984384266</v>
      </c>
      <c r="H72" s="11">
        <f t="shared" si="4"/>
        <v>217.08951408207886</v>
      </c>
      <c r="I72" s="11">
        <f t="shared" si="4"/>
        <v>227.14901973548271</v>
      </c>
      <c r="M72" s="11" t="s">
        <v>108</v>
      </c>
      <c r="N72" s="11" t="s">
        <v>173</v>
      </c>
      <c r="O72" s="11">
        <f>O71/60</f>
        <v>155.92333332325018</v>
      </c>
      <c r="P72" s="11">
        <f t="shared" ref="P72" si="5">P71/60</f>
        <v>161.86618264939884</v>
      </c>
      <c r="Q72" s="11">
        <f t="shared" ref="Q72" si="6">Q71/60</f>
        <v>206.71605203204564</v>
      </c>
      <c r="R72" s="11">
        <f t="shared" ref="R72" si="7">R71/60</f>
        <v>210.47287174807391</v>
      </c>
      <c r="S72" s="11">
        <f t="shared" ref="S72" si="8">S71/60</f>
        <v>211.78015666576383</v>
      </c>
      <c r="X72" s="11" t="s">
        <v>108</v>
      </c>
      <c r="Y72" s="11" t="s">
        <v>173</v>
      </c>
      <c r="Z72" s="11">
        <f t="shared" ref="Z72" si="9">Z71/60</f>
        <v>202.55536322902074</v>
      </c>
      <c r="AA72" s="11">
        <f t="shared" ref="AA72" si="10">AA71/60</f>
        <v>205.44482203229703</v>
      </c>
      <c r="AB72" s="11">
        <f t="shared" ref="AB72" si="11">AB71/60</f>
        <v>204.70055241189428</v>
      </c>
      <c r="AC72" s="11">
        <f t="shared" ref="AC72" si="12">AC71/60</f>
        <v>207.9848330335704</v>
      </c>
      <c r="AD72" s="11">
        <f t="shared" ref="AD72:AI72" si="13">AD71/60</f>
        <v>205.23182089028055</v>
      </c>
      <c r="AE72" s="11">
        <f t="shared" si="13"/>
        <v>203.20580215201417</v>
      </c>
      <c r="AF72" s="11">
        <f t="shared" si="13"/>
        <v>200.65189380392852</v>
      </c>
      <c r="AG72" s="11">
        <f t="shared" si="13"/>
        <v>205.0694539433737</v>
      </c>
      <c r="AH72" s="11">
        <f t="shared" si="13"/>
        <v>210.18690317232924</v>
      </c>
      <c r="AI72" s="11">
        <f t="shared" si="13"/>
        <v>204.17948672884663</v>
      </c>
      <c r="AJ72" s="11">
        <f t="shared" ref="AJ72:AK72" si="14">AJ71/60</f>
        <v>202.72007219671667</v>
      </c>
      <c r="AK72" s="11">
        <f t="shared" si="14"/>
        <v>195.38632228533302</v>
      </c>
    </row>
    <row r="73" spans="1:37">
      <c r="A73" s="11"/>
      <c r="B73" s="11" t="str">
        <f>'INPUT DATA'!B250</f>
        <v>Corrected flow rate - map</v>
      </c>
      <c r="C73" s="11" t="str">
        <f>'INPUT DATA'!C250</f>
        <v>m3/s</v>
      </c>
      <c r="D73" s="11">
        <f>'INPUT DATA'!D250</f>
        <v>0</v>
      </c>
      <c r="E73" s="11">
        <f>'INPUT DATA'!E250</f>
        <v>0</v>
      </c>
      <c r="F73" s="11">
        <f>'INPUT DATA'!F250</f>
        <v>0</v>
      </c>
      <c r="G73" s="11">
        <f>'INPUT DATA'!G250</f>
        <v>0</v>
      </c>
      <c r="H73" s="11">
        <f>'INPUT DATA'!H250</f>
        <v>0</v>
      </c>
      <c r="I73" s="11">
        <f>'INPUT DATA'!I250</f>
        <v>0</v>
      </c>
      <c r="J73" s="11"/>
      <c r="K73" s="11"/>
      <c r="L73" s="11"/>
      <c r="M73" s="11" t="str">
        <f>'INPUT DATA'!M250</f>
        <v>Corrected flow rate - map</v>
      </c>
      <c r="N73" s="11" t="str">
        <f>'INPUT DATA'!N250</f>
        <v>m3/s</v>
      </c>
      <c r="O73" s="11">
        <f>'INPUT DATA'!O250</f>
        <v>0</v>
      </c>
      <c r="P73" s="11">
        <f>'INPUT DATA'!P250</f>
        <v>0</v>
      </c>
      <c r="Q73" s="11">
        <f>'INPUT DATA'!Q250</f>
        <v>0</v>
      </c>
      <c r="R73" s="11">
        <f>'INPUT DATA'!R250</f>
        <v>0</v>
      </c>
      <c r="S73" s="11">
        <f>'INPUT DATA'!S250</f>
        <v>0</v>
      </c>
      <c r="U73" s="11"/>
      <c r="V73" s="11"/>
      <c r="W73" s="11"/>
      <c r="X73" s="11" t="str">
        <f>'INPUT DATA'!X250</f>
        <v>Corrected flow rate - map</v>
      </c>
      <c r="Y73" s="11" t="str">
        <f>'INPUT DATA'!Y250</f>
        <v>m3/s</v>
      </c>
      <c r="Z73" s="11">
        <f>'INPUT DATA'!Z250</f>
        <v>0</v>
      </c>
      <c r="AA73" s="11">
        <f>'INPUT DATA'!AA250</f>
        <v>0</v>
      </c>
      <c r="AB73" s="11">
        <f>'INPUT DATA'!AB250</f>
        <v>0</v>
      </c>
      <c r="AC73" s="11">
        <f>'INPUT DATA'!AC250</f>
        <v>0</v>
      </c>
      <c r="AD73" s="11">
        <f>'INPUT DATA'!AD250</f>
        <v>0</v>
      </c>
      <c r="AE73" s="11">
        <f>'INPUT DATA'!AE250</f>
        <v>0</v>
      </c>
      <c r="AF73" s="11">
        <f>'INPUT DATA'!AF250</f>
        <v>0</v>
      </c>
      <c r="AG73" s="11">
        <f>'INPUT DATA'!AG250</f>
        <v>0</v>
      </c>
      <c r="AH73" s="11">
        <f>'INPUT DATA'!AH250</f>
        <v>0</v>
      </c>
      <c r="AI73" s="11">
        <f>'INPUT DATA'!AI250</f>
        <v>0</v>
      </c>
      <c r="AJ73" s="11">
        <f>'INPUT DATA'!AJ250</f>
        <v>0</v>
      </c>
      <c r="AK73" s="11">
        <f>'INPUT DATA'!AK250</f>
        <v>0</v>
      </c>
    </row>
    <row r="74" spans="1:37">
      <c r="A74" s="11"/>
      <c r="B74" s="11" t="str">
        <f>'INPUT DATA'!B251</f>
        <v>Actual volumetric rate</v>
      </c>
      <c r="C74" s="11" t="str">
        <f>'INPUT DATA'!C251</f>
        <v>m3/s</v>
      </c>
      <c r="D74" s="11">
        <f>'INPUT DATA'!D251</f>
        <v>0</v>
      </c>
      <c r="E74" s="11">
        <f>'INPUT DATA'!E251</f>
        <v>0</v>
      </c>
      <c r="F74" s="11">
        <f>'INPUT DATA'!F251</f>
        <v>0</v>
      </c>
      <c r="G74" s="11">
        <f>'INPUT DATA'!G251</f>
        <v>0</v>
      </c>
      <c r="H74" s="11">
        <f>'INPUT DATA'!H251</f>
        <v>0</v>
      </c>
      <c r="I74" s="11">
        <f>'INPUT DATA'!I251</f>
        <v>0</v>
      </c>
      <c r="J74" s="11"/>
      <c r="K74" s="11"/>
      <c r="L74" s="11"/>
      <c r="M74" s="11" t="str">
        <f>'INPUT DATA'!M251</f>
        <v>Actual volumetric rate</v>
      </c>
      <c r="N74" s="11" t="str">
        <f>'INPUT DATA'!N251</f>
        <v>m3/s</v>
      </c>
      <c r="O74" s="11">
        <f>'INPUT DATA'!O251</f>
        <v>0</v>
      </c>
      <c r="P74" s="11">
        <f>'INPUT DATA'!P251</f>
        <v>0</v>
      </c>
      <c r="Q74" s="11">
        <f>'INPUT DATA'!Q251</f>
        <v>0</v>
      </c>
      <c r="R74" s="11">
        <f>'INPUT DATA'!R251</f>
        <v>0</v>
      </c>
      <c r="S74" s="11">
        <f>'INPUT DATA'!S251</f>
        <v>0</v>
      </c>
      <c r="U74" s="11"/>
      <c r="V74" s="11"/>
      <c r="W74" s="11"/>
      <c r="X74" s="11" t="str">
        <f>'INPUT DATA'!X251</f>
        <v>Actual volumetric rate</v>
      </c>
      <c r="Y74" s="11" t="str">
        <f>'INPUT DATA'!Y251</f>
        <v>m3/s</v>
      </c>
      <c r="Z74" s="11">
        <f>'INPUT DATA'!Z251</f>
        <v>0</v>
      </c>
      <c r="AA74" s="11">
        <f>'INPUT DATA'!AA251</f>
        <v>0</v>
      </c>
      <c r="AB74" s="11">
        <f>'INPUT DATA'!AB251</f>
        <v>0</v>
      </c>
      <c r="AC74" s="11">
        <f>'INPUT DATA'!AC251</f>
        <v>0</v>
      </c>
      <c r="AD74" s="11">
        <f>'INPUT DATA'!AD251</f>
        <v>0</v>
      </c>
      <c r="AE74" s="11">
        <f>'INPUT DATA'!AE251</f>
        <v>0</v>
      </c>
      <c r="AF74" s="11">
        <f>'INPUT DATA'!AF251</f>
        <v>0</v>
      </c>
      <c r="AG74" s="11">
        <f>'INPUT DATA'!AG251</f>
        <v>0</v>
      </c>
      <c r="AH74" s="11">
        <f>'INPUT DATA'!AH251</f>
        <v>0</v>
      </c>
      <c r="AI74" s="11">
        <f>'INPUT DATA'!AI251</f>
        <v>0</v>
      </c>
      <c r="AJ74" s="11">
        <f>'INPUT DATA'!AJ251</f>
        <v>0</v>
      </c>
      <c r="AK74" s="11">
        <f>'INPUT DATA'!AK251</f>
        <v>0</v>
      </c>
    </row>
    <row r="75" spans="1:37" s="16" customFormat="1">
      <c r="B75" s="16" t="str">
        <f>'INPUT DATA'!B252</f>
        <v>Air Density</v>
      </c>
      <c r="C75" s="16" t="str">
        <f>'INPUT DATA'!C252</f>
        <v>kg/m3</v>
      </c>
      <c r="D75" s="16">
        <f>'INPUT DATA'!D252</f>
        <v>1.2241826725522693</v>
      </c>
      <c r="E75" s="16">
        <f>'INPUT DATA'!E252</f>
        <v>1.2152177436474372</v>
      </c>
      <c r="F75" s="16">
        <f>'INPUT DATA'!F252</f>
        <v>1.2147349396173828</v>
      </c>
      <c r="G75" s="16">
        <f>'INPUT DATA'!G252</f>
        <v>1.212313099539019</v>
      </c>
      <c r="H75" s="16">
        <f>'INPUT DATA'!H252</f>
        <v>1.2055770560758028</v>
      </c>
      <c r="I75" s="16">
        <f>'INPUT DATA'!I252</f>
        <v>1.2022302627272246</v>
      </c>
      <c r="M75" s="16" t="str">
        <f>'INPUT DATA'!M252</f>
        <v>Air Density</v>
      </c>
      <c r="N75" s="16" t="str">
        <f>'INPUT DATA'!N252</f>
        <v>kg/m3</v>
      </c>
      <c r="O75" s="16">
        <f>'INPUT DATA'!O252</f>
        <v>1.1260166490291517</v>
      </c>
      <c r="P75" s="16">
        <f>'INPUT DATA'!P252</f>
        <v>1.1296530664327658</v>
      </c>
      <c r="Q75" s="16">
        <f>'INPUT DATA'!Q252</f>
        <v>1.1287417619261244</v>
      </c>
      <c r="R75" s="16">
        <f>'INPUT DATA'!R252</f>
        <v>1.1278319265545895</v>
      </c>
      <c r="S75" s="16">
        <f>'INPUT DATA'!S252</f>
        <v>1.1278319265545895</v>
      </c>
      <c r="X75" s="16" t="str">
        <f>'INPUT DATA'!X252</f>
        <v>Air Density</v>
      </c>
      <c r="Y75" s="16" t="str">
        <f>'INPUT DATA'!Y252</f>
        <v>kg/m3</v>
      </c>
      <c r="Z75" s="16">
        <f>'INPUT DATA'!Z252</f>
        <v>1.1822517886999873</v>
      </c>
      <c r="AA75" s="16">
        <f>'INPUT DATA'!AA252</f>
        <v>1.2077570837004974</v>
      </c>
      <c r="AB75" s="16">
        <f>'INPUT DATA'!AB252</f>
        <v>1.1604855251483401</v>
      </c>
      <c r="AC75" s="16">
        <f>'INPUT DATA'!AC252</f>
        <v>1.21365937519837</v>
      </c>
      <c r="AD75" s="16">
        <f>'INPUT DATA'!AD252</f>
        <v>1.1324180452645571</v>
      </c>
      <c r="AE75" s="16">
        <f>'INPUT DATA'!AE252</f>
        <v>1.1616292530916752</v>
      </c>
      <c r="AF75" s="16">
        <f>'INPUT DATA'!AF252</f>
        <v>1.1458993934035515</v>
      </c>
      <c r="AG75" s="16">
        <f>'INPUT DATA'!AG252</f>
        <v>1.1335271716556097</v>
      </c>
      <c r="AH75" s="16">
        <f>'INPUT DATA'!AH252</f>
        <v>1.1357885164029322</v>
      </c>
      <c r="AI75" s="16">
        <f>'INPUT DATA'!AI252</f>
        <v>1.1433364259034569</v>
      </c>
      <c r="AJ75" s="16">
        <f>'INPUT DATA'!AJ252</f>
        <v>1.1522059542702008</v>
      </c>
      <c r="AK75" s="16">
        <f>'INPUT DATA'!AK252</f>
        <v>1.1692427497529347</v>
      </c>
    </row>
    <row r="76" spans="1:37">
      <c r="A76" s="11"/>
      <c r="B76" s="11" t="str">
        <f>'INPUT DATA'!B253</f>
        <v>Compressor Flow Rate</v>
      </c>
      <c r="C76" s="11" t="str">
        <f>'INPUT DATA'!C253</f>
        <v>kg/s</v>
      </c>
      <c r="D76" s="11">
        <f>'INPUT DATA'!D253</f>
        <v>0</v>
      </c>
      <c r="E76" s="11">
        <f>'INPUT DATA'!E253</f>
        <v>0</v>
      </c>
      <c r="F76" s="11">
        <f>'INPUT DATA'!F253</f>
        <v>0</v>
      </c>
      <c r="G76" s="11">
        <f>'INPUT DATA'!G253</f>
        <v>0</v>
      </c>
      <c r="H76" s="11">
        <f>'INPUT DATA'!H253</f>
        <v>0</v>
      </c>
      <c r="I76" s="11">
        <f>'INPUT DATA'!I253</f>
        <v>0</v>
      </c>
      <c r="J76" s="11"/>
      <c r="K76" s="11"/>
      <c r="L76" s="11"/>
      <c r="M76" s="11" t="str">
        <f>'INPUT DATA'!M253</f>
        <v>Compressor Flow Rate</v>
      </c>
      <c r="N76" s="11" t="str">
        <f>'INPUT DATA'!N253</f>
        <v>kg/s</v>
      </c>
      <c r="O76" s="11">
        <f>'INPUT DATA'!O253</f>
        <v>0</v>
      </c>
      <c r="P76" s="11">
        <f>'INPUT DATA'!P253</f>
        <v>0</v>
      </c>
      <c r="Q76" s="11">
        <f>'INPUT DATA'!Q253</f>
        <v>0</v>
      </c>
      <c r="R76" s="11">
        <f>'INPUT DATA'!R253</f>
        <v>0</v>
      </c>
      <c r="S76" s="11">
        <f>'INPUT DATA'!S253</f>
        <v>0</v>
      </c>
      <c r="U76" s="11"/>
      <c r="V76" s="11"/>
      <c r="W76" s="11"/>
      <c r="X76" s="11" t="str">
        <f>'INPUT DATA'!X253</f>
        <v>Compressor Flow Rate</v>
      </c>
      <c r="Y76" s="11" t="str">
        <f>'INPUT DATA'!Y253</f>
        <v>kg/s</v>
      </c>
      <c r="Z76" s="11">
        <f>'INPUT DATA'!Z253</f>
        <v>0</v>
      </c>
      <c r="AA76" s="11">
        <f>'INPUT DATA'!AA253</f>
        <v>0</v>
      </c>
      <c r="AB76" s="11">
        <f>'INPUT DATA'!AB253</f>
        <v>0</v>
      </c>
      <c r="AC76" s="11">
        <f>'INPUT DATA'!AC253</f>
        <v>0</v>
      </c>
      <c r="AD76" s="11">
        <f>'INPUT DATA'!AD253</f>
        <v>0</v>
      </c>
      <c r="AE76" s="11">
        <f>'INPUT DATA'!AE253</f>
        <v>0</v>
      </c>
      <c r="AF76" s="11">
        <f>'INPUT DATA'!AF253</f>
        <v>0</v>
      </c>
      <c r="AG76" s="11">
        <f>'INPUT DATA'!AG253</f>
        <v>0</v>
      </c>
      <c r="AH76" s="11">
        <f>'INPUT DATA'!AH253</f>
        <v>0</v>
      </c>
      <c r="AI76" s="11">
        <f>'INPUT DATA'!AI253</f>
        <v>0</v>
      </c>
      <c r="AJ76" s="11">
        <f>'INPUT DATA'!AJ253</f>
        <v>0</v>
      </c>
      <c r="AK76" s="11">
        <f>'INPUT DATA'!AK253</f>
        <v>0</v>
      </c>
    </row>
    <row r="77" spans="1:37">
      <c r="A77" s="11"/>
      <c r="B77" s="11" t="str">
        <f>'INPUT DATA'!B254</f>
        <v>Actual Flow Rate/cylinder</v>
      </c>
      <c r="C77" s="11" t="str">
        <f>'INPUT DATA'!C254</f>
        <v>kg/s</v>
      </c>
      <c r="D77" s="11">
        <f>'INPUT DATA'!D254</f>
        <v>0</v>
      </c>
      <c r="E77" s="11">
        <f>'INPUT DATA'!E254</f>
        <v>0</v>
      </c>
      <c r="F77" s="11">
        <f>'INPUT DATA'!F254</f>
        <v>0</v>
      </c>
      <c r="G77" s="11">
        <f>'INPUT DATA'!G254</f>
        <v>0</v>
      </c>
      <c r="H77" s="11">
        <f>'INPUT DATA'!H254</f>
        <v>0</v>
      </c>
      <c r="I77" s="11">
        <f>'INPUT DATA'!I254</f>
        <v>0</v>
      </c>
      <c r="J77" s="11"/>
      <c r="K77" s="11"/>
      <c r="L77" s="11"/>
      <c r="M77" s="11" t="str">
        <f>'INPUT DATA'!M254</f>
        <v>Actual Flow Rate/cylinder</v>
      </c>
      <c r="N77" s="11" t="str">
        <f>'INPUT DATA'!N254</f>
        <v>kg/s</v>
      </c>
      <c r="O77" s="11">
        <f>'INPUT DATA'!O254</f>
        <v>0</v>
      </c>
      <c r="P77" s="11">
        <f>'INPUT DATA'!P254</f>
        <v>0</v>
      </c>
      <c r="Q77" s="11">
        <f>'INPUT DATA'!Q254</f>
        <v>0</v>
      </c>
      <c r="R77" s="11">
        <f>'INPUT DATA'!R254</f>
        <v>0</v>
      </c>
      <c r="S77" s="11">
        <f>'INPUT DATA'!S254</f>
        <v>0</v>
      </c>
      <c r="U77" s="11"/>
      <c r="V77" s="11"/>
      <c r="W77" s="11"/>
      <c r="X77" s="11" t="str">
        <f>'INPUT DATA'!X254</f>
        <v>Actual Flow Rate/cylinder</v>
      </c>
      <c r="Y77" s="11" t="str">
        <f>'INPUT DATA'!Y254</f>
        <v>kg/s</v>
      </c>
      <c r="Z77" s="11">
        <f>'INPUT DATA'!Z254</f>
        <v>0</v>
      </c>
      <c r="AA77" s="11">
        <f>'INPUT DATA'!AA254</f>
        <v>0</v>
      </c>
      <c r="AB77" s="11">
        <f>'INPUT DATA'!AB254</f>
        <v>0</v>
      </c>
      <c r="AC77" s="11">
        <f>'INPUT DATA'!AC254</f>
        <v>0</v>
      </c>
      <c r="AD77" s="11">
        <f>'INPUT DATA'!AD254</f>
        <v>0</v>
      </c>
      <c r="AE77" s="11">
        <f>'INPUT DATA'!AE254</f>
        <v>0</v>
      </c>
      <c r="AF77" s="11">
        <f>'INPUT DATA'!AF254</f>
        <v>0</v>
      </c>
      <c r="AG77" s="11">
        <f>'INPUT DATA'!AG254</f>
        <v>0</v>
      </c>
      <c r="AH77" s="11">
        <f>'INPUT DATA'!AH254</f>
        <v>0</v>
      </c>
      <c r="AI77" s="11">
        <f>'INPUT DATA'!AI254</f>
        <v>0</v>
      </c>
      <c r="AJ77" s="11">
        <f>'INPUT DATA'!AJ254</f>
        <v>0</v>
      </c>
      <c r="AK77" s="11">
        <f>'INPUT DATA'!AK254</f>
        <v>0</v>
      </c>
    </row>
    <row r="78" spans="1:37">
      <c r="A78" s="11"/>
      <c r="B78" s="11"/>
      <c r="C78" s="11"/>
      <c r="D78" s="11"/>
      <c r="E78" s="11"/>
      <c r="F78" s="11"/>
      <c r="G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s="29" customFormat="1" ht="15.75">
      <c r="A79" s="29">
        <v>5</v>
      </c>
      <c r="B79" s="29" t="s">
        <v>167</v>
      </c>
      <c r="L79" s="29">
        <v>5</v>
      </c>
      <c r="M79" s="29" t="str">
        <f>$B$79</f>
        <v>EXTRA</v>
      </c>
      <c r="W79" s="29">
        <v>5</v>
      </c>
      <c r="X79" s="29" t="str">
        <f>$B$79</f>
        <v>EXTRA</v>
      </c>
    </row>
    <row r="80" spans="1:37">
      <c r="A80" s="11"/>
      <c r="B80" s="11"/>
      <c r="C80" s="11"/>
      <c r="D80" s="11"/>
      <c r="E80" s="11"/>
      <c r="F80" s="11"/>
      <c r="G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U80" s="11"/>
      <c r="V80" s="11"/>
      <c r="W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s="16" customFormat="1">
      <c r="B81" s="16" t="s">
        <v>168</v>
      </c>
      <c r="D81" s="16">
        <f>D62/D36</f>
        <v>35.077309642738541</v>
      </c>
      <c r="E81" s="16">
        <f t="shared" ref="E81:I81" si="15">E62/E36</f>
        <v>35.920045670515364</v>
      </c>
      <c r="F81" s="16">
        <f t="shared" si="15"/>
        <v>36.158551550493506</v>
      </c>
      <c r="G81" s="16">
        <f t="shared" si="15"/>
        <v>36.780465234389965</v>
      </c>
      <c r="H81" s="16">
        <f t="shared" si="15"/>
        <v>36.621758200823407</v>
      </c>
      <c r="I81" s="16">
        <f t="shared" si="15"/>
        <v>36.576120940644337</v>
      </c>
      <c r="M81" s="16" t="str">
        <f>$B$81</f>
        <v>Pcomp/Pscav</v>
      </c>
      <c r="O81" s="16">
        <f>O62/O36</f>
        <v>35.185316289179553</v>
      </c>
      <c r="P81" s="16">
        <f t="shared" ref="P81:S81" si="16">P62/P36</f>
        <v>35.282262565040973</v>
      </c>
      <c r="Q81" s="16">
        <f t="shared" si="16"/>
        <v>35.618841128685929</v>
      </c>
      <c r="R81" s="16">
        <f t="shared" si="16"/>
        <v>35.715946919288349</v>
      </c>
      <c r="S81" s="16">
        <f t="shared" si="16"/>
        <v>36.126279072289499</v>
      </c>
      <c r="X81" s="16" t="str">
        <f>$B$81</f>
        <v>Pcomp/Pscav</v>
      </c>
      <c r="Z81" s="16">
        <f>Z62/Z36</f>
        <v>35.263705482192876</v>
      </c>
      <c r="AA81" s="16">
        <f t="shared" ref="AA81:AD81" si="17">AA62/AA36</f>
        <v>35.426627793974738</v>
      </c>
      <c r="AB81" s="16">
        <f t="shared" si="17"/>
        <v>33.270613910238168</v>
      </c>
      <c r="AC81" s="16">
        <f>AC62/AC36</f>
        <v>36.093167701863358</v>
      </c>
      <c r="AD81" s="16">
        <f t="shared" si="17"/>
        <v>35.512696978821644</v>
      </c>
      <c r="AE81" s="16">
        <f t="shared" ref="AE81:AI81" si="18">AE62/AE36</f>
        <v>33.226636398032539</v>
      </c>
      <c r="AF81" s="16">
        <f t="shared" si="18"/>
        <v>35.33229813664596</v>
      </c>
      <c r="AG81" s="16">
        <f t="shared" si="18"/>
        <v>33.628241529434035</v>
      </c>
      <c r="AH81" s="16">
        <f t="shared" si="18"/>
        <v>33.372226713374644</v>
      </c>
      <c r="AI81" s="16">
        <f t="shared" si="18"/>
        <v>33.058363251403847</v>
      </c>
      <c r="AJ81" s="16">
        <f t="shared" ref="AJ81:AK81" si="19">AJ62/AJ36</f>
        <v>36.357771564668113</v>
      </c>
      <c r="AK81" s="16">
        <f t="shared" si="19"/>
        <v>35.053563807084934</v>
      </c>
    </row>
    <row r="82" spans="1:37" s="12" customFormat="1">
      <c r="B82" s="12" t="s">
        <v>170</v>
      </c>
      <c r="D82" s="12">
        <f>D27/D36</f>
        <v>3864.3855232334677</v>
      </c>
      <c r="E82" s="12">
        <f t="shared" ref="E82:I82" si="20">E27/E36</f>
        <v>4325.2123627059718</v>
      </c>
      <c r="F82" s="12">
        <f t="shared" si="20"/>
        <v>3837.6300876310361</v>
      </c>
      <c r="G82" s="12">
        <f t="shared" si="20"/>
        <v>3618.5771147321257</v>
      </c>
      <c r="H82" s="12">
        <f t="shared" si="20"/>
        <v>3433.4487459405123</v>
      </c>
      <c r="I82" s="12">
        <f t="shared" si="20"/>
        <v>3354.7683396405673</v>
      </c>
      <c r="M82" s="12" t="s">
        <v>170</v>
      </c>
      <c r="O82" s="12">
        <f>O27/O36</f>
        <v>4479.7950383101515</v>
      </c>
      <c r="P82" s="12">
        <f t="shared" ref="P82:S82" si="21">P27/P36</f>
        <v>4438.8407307164553</v>
      </c>
      <c r="Q82" s="12">
        <f t="shared" si="21"/>
        <v>3711.9700884928384</v>
      </c>
      <c r="R82" s="12">
        <f t="shared" si="21"/>
        <v>3675.1557806306978</v>
      </c>
      <c r="S82" s="12">
        <f t="shared" si="21"/>
        <v>3750.4556796054312</v>
      </c>
      <c r="X82" s="12" t="s">
        <v>170</v>
      </c>
      <c r="Z82" s="12">
        <f t="shared" ref="Z82:AD82" si="22">Z27/Z36</f>
        <v>3683.9735894357746</v>
      </c>
      <c r="AA82" s="12">
        <f t="shared" si="22"/>
        <v>3587.7551020408168</v>
      </c>
      <c r="AB82" s="12">
        <f t="shared" si="22"/>
        <v>3531.1699402220324</v>
      </c>
      <c r="AC82" s="12">
        <f t="shared" si="22"/>
        <v>3529.0796160361378</v>
      </c>
      <c r="AD82" s="12">
        <f t="shared" si="22"/>
        <v>3806.0825052694972</v>
      </c>
      <c r="AE82" s="12">
        <f t="shared" ref="AE82:AI82" si="23">AE27/AE36</f>
        <v>3511.6345062429059</v>
      </c>
      <c r="AF82" s="12">
        <f t="shared" si="23"/>
        <v>3813.3540372670805</v>
      </c>
      <c r="AG82" s="12">
        <f t="shared" si="23"/>
        <v>3586.0306643952299</v>
      </c>
      <c r="AH82" s="12">
        <f t="shared" si="23"/>
        <v>3466.0468876313657</v>
      </c>
      <c r="AI82" s="12">
        <f t="shared" si="23"/>
        <v>3456.2275614471141</v>
      </c>
      <c r="AJ82" s="12">
        <f t="shared" ref="AJ82:AK82" si="24">AJ27/AJ36</f>
        <v>3841.4103758931342</v>
      </c>
      <c r="AK82" s="12">
        <f t="shared" si="24"/>
        <v>3796.414852752881</v>
      </c>
    </row>
    <row r="83" spans="1:37">
      <c r="A83" s="11"/>
      <c r="B83" s="11" t="s">
        <v>171</v>
      </c>
      <c r="C83" s="11" t="s">
        <v>20</v>
      </c>
      <c r="D83" s="11">
        <f>D36-D38</f>
        <v>7.9999999999999849E-2</v>
      </c>
      <c r="E83" s="11">
        <f t="shared" ref="E83:I83" si="25">E36-E38</f>
        <v>0.15999999999999992</v>
      </c>
      <c r="F83" s="11">
        <f t="shared" si="25"/>
        <v>0.20000000000000018</v>
      </c>
      <c r="G83" s="11">
        <f t="shared" si="25"/>
        <v>0.20999999999999996</v>
      </c>
      <c r="H83" s="11">
        <f t="shared" si="25"/>
        <v>0.26000000000000023</v>
      </c>
      <c r="I83" s="11">
        <f t="shared" si="25"/>
        <v>0.21999999999999975</v>
      </c>
      <c r="M83" s="11" t="s">
        <v>171</v>
      </c>
      <c r="N83" s="11" t="s">
        <v>20</v>
      </c>
      <c r="O83" s="16">
        <f>O36-O38</f>
        <v>1.1277647499999999</v>
      </c>
      <c r="P83" s="16">
        <f t="shared" ref="P83:S83" si="26">P36-P38</f>
        <v>1.2258312499999997</v>
      </c>
      <c r="Q83" s="16">
        <f t="shared" si="26"/>
        <v>2.4026292500000004</v>
      </c>
      <c r="R83" s="16">
        <f t="shared" si="26"/>
        <v>2.5006957499999998</v>
      </c>
      <c r="S83" s="16">
        <f t="shared" si="26"/>
        <v>2.4516624999999999</v>
      </c>
      <c r="X83" s="11" t="s">
        <v>171</v>
      </c>
      <c r="Y83" s="11" t="s">
        <v>20</v>
      </c>
      <c r="Z83" s="11">
        <f t="shared" ref="Z83:AD83" si="27">Z36-Z38</f>
        <v>9.9999999999999645E-2</v>
      </c>
      <c r="AA83" s="11">
        <f t="shared" si="27"/>
        <v>-0.10000000000000053</v>
      </c>
      <c r="AB83" s="11">
        <f t="shared" si="27"/>
        <v>0</v>
      </c>
      <c r="AC83" s="11">
        <f t="shared" si="27"/>
        <v>0.39999999999999947</v>
      </c>
      <c r="AD83" s="11">
        <f t="shared" si="27"/>
        <v>9.9999999999999645E-2</v>
      </c>
      <c r="AE83" s="11">
        <f t="shared" ref="AE83:AI83" si="28">AE36-AE38</f>
        <v>2.5</v>
      </c>
      <c r="AF83" s="11">
        <f t="shared" si="28"/>
        <v>0.20000000000000018</v>
      </c>
      <c r="AG83" s="11">
        <f t="shared" si="28"/>
        <v>2.5</v>
      </c>
      <c r="AH83" s="11">
        <f t="shared" si="28"/>
        <v>2.7</v>
      </c>
      <c r="AI83" s="11">
        <f t="shared" si="28"/>
        <v>0.30000000000000027</v>
      </c>
      <c r="AJ83" s="11">
        <f t="shared" ref="AJ83:AK83" si="29">AJ36-AJ38</f>
        <v>0.40000000000000036</v>
      </c>
      <c r="AK83" s="11">
        <f t="shared" si="29"/>
        <v>0.5</v>
      </c>
    </row>
    <row r="84" spans="1:37" s="11" customFormat="1">
      <c r="B84" s="11" t="s">
        <v>192</v>
      </c>
      <c r="C84" s="11" t="s">
        <v>20</v>
      </c>
      <c r="D84" s="16">
        <f>D61-D62</f>
        <v>27.166666666666671</v>
      </c>
      <c r="E84" s="16">
        <f t="shared" ref="E84:I84" si="30">E61-E62</f>
        <v>29.833333333333329</v>
      </c>
      <c r="F84" s="16">
        <f t="shared" si="30"/>
        <v>29.499999999999972</v>
      </c>
      <c r="G84" s="16">
        <f t="shared" si="30"/>
        <v>26.833333333333314</v>
      </c>
      <c r="H84" s="16">
        <f t="shared" si="30"/>
        <v>13.833333333333343</v>
      </c>
      <c r="I84" s="16">
        <f t="shared" si="30"/>
        <v>4.5</v>
      </c>
      <c r="J84" s="16"/>
      <c r="K84" s="16"/>
      <c r="M84" s="11" t="s">
        <v>192</v>
      </c>
      <c r="N84" s="11" t="s">
        <v>20</v>
      </c>
      <c r="O84" s="16">
        <f>O61-O62</f>
        <v>24.166666666666671</v>
      </c>
      <c r="P84" s="16">
        <f t="shared" ref="P84:S84" si="31">P61-P62</f>
        <v>23</v>
      </c>
      <c r="Q84" s="16">
        <f t="shared" si="31"/>
        <v>13.833333333333329</v>
      </c>
      <c r="R84" s="16">
        <f t="shared" si="31"/>
        <v>16.833333333333329</v>
      </c>
      <c r="S84" s="16">
        <f t="shared" si="31"/>
        <v>16.333333333333329</v>
      </c>
      <c r="X84" s="11" t="s">
        <v>192</v>
      </c>
      <c r="Y84" s="11" t="s">
        <v>20</v>
      </c>
      <c r="Z84" s="16">
        <f>Z61-Z62</f>
        <v>17.866666666666703</v>
      </c>
      <c r="AA84" s="16">
        <f t="shared" ref="AA84:AI84" si="32">AA61-AA62</f>
        <v>17.183333333333323</v>
      </c>
      <c r="AB84" s="16">
        <f t="shared" si="32"/>
        <v>18.633333333333326</v>
      </c>
      <c r="AC84" s="16">
        <f t="shared" si="32"/>
        <v>11.699999999999989</v>
      </c>
      <c r="AD84" s="16">
        <f t="shared" si="32"/>
        <v>16.583333333333314</v>
      </c>
      <c r="AE84" s="16">
        <f t="shared" si="32"/>
        <v>17.26666666666668</v>
      </c>
      <c r="AF84" s="16">
        <f t="shared" si="32"/>
        <v>18.250000000000014</v>
      </c>
      <c r="AG84" s="16">
        <f t="shared" si="32"/>
        <v>15.583333333333314</v>
      </c>
      <c r="AH84" s="16">
        <f t="shared" si="32"/>
        <v>12.666666666666671</v>
      </c>
      <c r="AI84" s="16">
        <f t="shared" si="32"/>
        <v>23.816666666666663</v>
      </c>
      <c r="AJ84" s="16">
        <f t="shared" ref="AJ84:AK84" si="33">AJ61-AJ62</f>
        <v>25.483333333333334</v>
      </c>
      <c r="AK84" s="16">
        <f t="shared" si="33"/>
        <v>27.850000000000009</v>
      </c>
    </row>
    <row r="85" spans="1:37" s="16" customFormat="1">
      <c r="B85" s="16" t="s">
        <v>178</v>
      </c>
      <c r="C85" s="16" t="s">
        <v>76</v>
      </c>
      <c r="D85" s="16">
        <f>D33*D68^'INPUT DATA'!$J$12</f>
        <v>315.16924072373138</v>
      </c>
      <c r="E85" s="16">
        <f>E33*E68^'INPUT DATA'!$J$12</f>
        <v>357.10968349802368</v>
      </c>
      <c r="F85" s="16">
        <f>F33*F68^'INPUT DATA'!$J$12</f>
        <v>392.80933988694625</v>
      </c>
      <c r="G85" s="16">
        <f>G33*G68^'INPUT DATA'!$J$12</f>
        <v>409.58480503139566</v>
      </c>
      <c r="H85" s="16">
        <f>H33*H68^'INPUT DATA'!$J$12</f>
        <v>424.20519176834063</v>
      </c>
      <c r="I85" s="16">
        <f>I33*I68^'INPUT DATA'!$J$12</f>
        <v>433.59754245873785</v>
      </c>
      <c r="M85" s="16" t="s">
        <v>178</v>
      </c>
      <c r="N85" s="16" t="s">
        <v>76</v>
      </c>
      <c r="O85" s="16">
        <f>O33*O68^'INPUT DATA'!$J$12</f>
        <v>386.00970866456419</v>
      </c>
      <c r="P85" s="16">
        <f>P33*P68^'INPUT DATA'!$J$12</f>
        <v>389.75976870630632</v>
      </c>
      <c r="Q85" s="16">
        <f>Q33*Q68^'INPUT DATA'!$J$12</f>
        <v>440.52555471404111</v>
      </c>
      <c r="R85" s="16">
        <f>R33*R68^'INPUT DATA'!$J$12</f>
        <v>444.50934094606214</v>
      </c>
      <c r="S85" s="16">
        <f>S33*S68^'INPUT DATA'!$J$12</f>
        <v>442.69316419781967</v>
      </c>
      <c r="X85" s="16" t="s">
        <v>178</v>
      </c>
      <c r="Y85" s="16" t="s">
        <v>76</v>
      </c>
      <c r="Z85" s="16">
        <f>Z33*Z68^'INPUT DATA'!$J$12</f>
        <v>426.42518268390984</v>
      </c>
      <c r="AA85" s="16">
        <f>AA33*AA68^'INPUT DATA'!$J$12</f>
        <v>419.97456693974686</v>
      </c>
      <c r="AB85" s="16">
        <f>AB33*AB68^'INPUT DATA'!$J$12</f>
        <v>434.8848860630697</v>
      </c>
      <c r="AC85" s="16">
        <f>AC33*AC68^'INPUT DATA'!$J$12</f>
        <v>425.51663813145547</v>
      </c>
      <c r="AD85" s="16">
        <f>AD33*AD68^'INPUT DATA'!$J$12</f>
        <v>441.15502617792527</v>
      </c>
      <c r="AE85" s="16">
        <f>AE33*AE68^'INPUT DATA'!$J$12</f>
        <v>438.42357455100648</v>
      </c>
      <c r="AF85" s="16">
        <f>AF33*AF68^'INPUT DATA'!$J$12</f>
        <v>431.7153780086561</v>
      </c>
      <c r="AG85" s="16">
        <f>AG33*AG68^'INPUT DATA'!$J$12</f>
        <v>448.4842250935007</v>
      </c>
      <c r="AH85" s="16">
        <f>AH33*AH68^'INPUT DATA'!$J$12</f>
        <v>450.65971671489211</v>
      </c>
      <c r="AI85" s="16">
        <f>AI33*AI68^'INPUT DATA'!$J$12</f>
        <v>447.48924095398291</v>
      </c>
      <c r="AJ85" s="16">
        <f>AJ33*AJ68^'INPUT DATA'!$J$12</f>
        <v>429.09105999028333</v>
      </c>
      <c r="AK85" s="16">
        <f>AK33*AK68^'INPUT DATA'!$J$12</f>
        <v>420.73916358170743</v>
      </c>
    </row>
    <row r="86" spans="1:37" s="16" customFormat="1">
      <c r="B86" s="16" t="s">
        <v>181</v>
      </c>
      <c r="C86" s="16" t="s">
        <v>76</v>
      </c>
      <c r="D86" s="16">
        <f>IFERROR(D39*(1/D69)^'INPUT DATA'!$J$13,0)</f>
        <v>490.79006829063201</v>
      </c>
      <c r="E86" s="16">
        <f>IFERROR(E39*(1/E69)^'INPUT DATA'!$J$13,0)</f>
        <v>489.95453997912614</v>
      </c>
      <c r="F86" s="16">
        <f>IFERROR(F39*(1/F69)^'INPUT DATA'!$J$13,0)</f>
        <v>464.14591330207497</v>
      </c>
      <c r="G86" s="16">
        <f>IFERROR(G39*(1/G69)^'INPUT DATA'!$J$13,0)</f>
        <v>462.29959845579225</v>
      </c>
      <c r="H86" s="16">
        <f>IFERROR(H39*(1/H69)^'INPUT DATA'!$J$13,0)</f>
        <v>464.71538834496982</v>
      </c>
      <c r="I86" s="16">
        <f>IFERROR(I39*(1/I69)^'INPUT DATA'!$J$13,0)</f>
        <v>473.99905485513972</v>
      </c>
      <c r="M86" s="16" t="s">
        <v>179</v>
      </c>
      <c r="N86" s="16" t="s">
        <v>76</v>
      </c>
      <c r="O86" s="16">
        <f>IFERROR(O39*(1/O69)^'INPUT DATA'!$J$13,0)</f>
        <v>0</v>
      </c>
      <c r="P86" s="16">
        <f>IFERROR(P39*(1/P69)^'INPUT DATA'!$J$13,0)</f>
        <v>0</v>
      </c>
      <c r="Q86" s="16">
        <f>IFERROR(Q39*(1/Q69)^'INPUT DATA'!$J$13,0)</f>
        <v>0</v>
      </c>
      <c r="R86" s="16">
        <f>IFERROR(R39*(1/R69)^'INPUT DATA'!$J$13,0)</f>
        <v>0</v>
      </c>
      <c r="S86" s="16">
        <f>IFERROR(S39*(1/S69)^'INPUT DATA'!$J$13,0)</f>
        <v>0</v>
      </c>
      <c r="X86" s="16" t="s">
        <v>179</v>
      </c>
      <c r="Y86" s="16" t="s">
        <v>76</v>
      </c>
      <c r="Z86" s="16">
        <f>IFERROR(Z39*(1/Z69)^'INPUT DATA'!$J$13,0)</f>
        <v>475.41546669088876</v>
      </c>
      <c r="AA86" s="16">
        <f>IFERROR(AA39*(1/AA69)^'INPUT DATA'!$J$13,0)</f>
        <v>455.18432942311983</v>
      </c>
      <c r="AB86" s="16">
        <f>IFERROR(AB39*(1/AB69)^'INPUT DATA'!$J$13,0)</f>
        <v>460.95811772661443</v>
      </c>
      <c r="AC86" s="16">
        <f>IFERROR(AC39*(1/AC69)^'INPUT DATA'!$J$13,0)</f>
        <v>476.47384186097293</v>
      </c>
      <c r="AD86" s="16">
        <f>IFERROR(AD39*(1/AD69)^'INPUT DATA'!$J$13,0)</f>
        <v>489.25222335970489</v>
      </c>
      <c r="AE86" s="16">
        <f>IFERROR(AE39*(1/AE69)^'INPUT DATA'!$J$13,0)</f>
        <v>645.65</v>
      </c>
      <c r="AF86" s="16">
        <f>IFERROR(AF39*(1/AF69)^'INPUT DATA'!$J$13,0)</f>
        <v>486.28556721377151</v>
      </c>
      <c r="AG86" s="16">
        <f>IFERROR(AG39*(1/AG69)^'INPUT DATA'!$J$13,0)</f>
        <v>660.65</v>
      </c>
      <c r="AH86" s="16">
        <f>IFERROR(AH39*(1/AH69)^'INPUT DATA'!$J$13,0)</f>
        <v>664.15</v>
      </c>
      <c r="AI86" s="16">
        <f>IFERROR(AI39*(1/AI69)^'INPUT DATA'!$J$13,0)</f>
        <v>481.64950134795544</v>
      </c>
      <c r="AJ86" s="16">
        <f>IFERROR(AJ39*(1/AJ69)^'INPUT DATA'!$J$13,0)</f>
        <v>496.24984391636923</v>
      </c>
      <c r="AK86" s="16">
        <f>IFERROR(AK39*(1/AK69)^'INPUT DATA'!$J$13,0)</f>
        <v>505.24240528379329</v>
      </c>
    </row>
    <row r="87" spans="1:37" s="46" customFormat="1">
      <c r="B87" s="46" t="s">
        <v>182</v>
      </c>
      <c r="D87" s="46">
        <f>IFERROR(0.9055*D33*(D68^'INPUT DATA'!$J$12-1)/(D39*(1-(1/D69^'INPUT DATA'!$J$13))),0)</f>
        <v>0.72014003497370149</v>
      </c>
      <c r="E87" s="46">
        <f>IFERROR(0.9055*E33*(E68^'INPUT DATA'!$J$12-1)/(E39*(1-(1/E69^'INPUT DATA'!$J$13))),0)</f>
        <v>0.66875166694788535</v>
      </c>
      <c r="F87" s="46">
        <f>IFERROR(0.9055*F33*(F68^'INPUT DATA'!$J$12-1)/(F39*(1-(1/F69^'INPUT DATA'!$J$13))),0)</f>
        <v>0.67851445600007521</v>
      </c>
      <c r="G87" s="46">
        <f>IFERROR(0.9055*G33*(G68^'INPUT DATA'!$J$12-1)/(G39*(1-(1/G69^'INPUT DATA'!$J$13))),0)</f>
        <v>0.67588128019656402</v>
      </c>
      <c r="H87" s="46">
        <f>IFERROR(0.9055*H33*(H68^'INPUT DATA'!$J$12-1)/(H39*(1-(1/H69^'INPUT DATA'!$J$13))),0)</f>
        <v>0.67965543646276727</v>
      </c>
      <c r="I87" s="46">
        <f>IFERROR(0.9055*I33*(I68^'INPUT DATA'!$J$12-1)/(I39*(1-(1/I69^'INPUT DATA'!$J$13))),0)</f>
        <v>0.65758668458685732</v>
      </c>
      <c r="M87" s="46" t="s">
        <v>182</v>
      </c>
      <c r="O87" s="46">
        <f>IFERROR(0.9055*O33*(O68^'INPUT DATA'!$J$12-1)/(O39*(1-(1/O69^'INPUT DATA'!$J$13))),0)</f>
        <v>0</v>
      </c>
      <c r="P87" s="46">
        <f>IFERROR(0.9055*P33*(P68^'INPUT DATA'!$J$12-1)/(P39*(1-(1/P69^'INPUT DATA'!$J$13))),0)</f>
        <v>0</v>
      </c>
      <c r="Q87" s="46">
        <f>IFERROR(0.9055*Q33*(Q68^'INPUT DATA'!$J$12-1)/(Q39*(1-(1/Q69^'INPUT DATA'!$J$13))),0)</f>
        <v>0</v>
      </c>
      <c r="R87" s="46">
        <f>IFERROR(0.9055*R33*(R68^'INPUT DATA'!$J$12-1)/(R39*(1-(1/R69^'INPUT DATA'!$J$13))),0)</f>
        <v>0</v>
      </c>
      <c r="S87" s="46">
        <f>IFERROR(0.9055*S33*(S68^'INPUT DATA'!$J$12-1)/(S39*(1-(1/S69^'INPUT DATA'!$J$13))),0)</f>
        <v>0</v>
      </c>
      <c r="X87" s="46" t="s">
        <v>182</v>
      </c>
      <c r="Z87" s="46">
        <f>IFERROR(0.9055*Z33*(Z68^'INPUT DATA'!$J$12-1)/(Z39*(1-(1/Z69^'INPUT DATA'!$J$13))),0)</f>
        <v>0.66009172789862303</v>
      </c>
      <c r="AA87" s="46">
        <f>IFERROR(0.9055*AA33*(AA68^'INPUT DATA'!$J$12-1)/(AA39*(1-(1/AA69^'INPUT DATA'!$J$13))),0)</f>
        <v>0.63384276250898286</v>
      </c>
      <c r="AB87" s="46">
        <f>IFERROR(0.9055*AB33*(AB68^'INPUT DATA'!$J$12-1)/(AB39*(1-(1/AB69^'INPUT DATA'!$J$13))),0)</f>
        <v>0.65879681281319147</v>
      </c>
      <c r="AC87" s="46">
        <f>IFERROR(0.9055*AC33*(AC68^'INPUT DATA'!$J$12-1)/(AC39*(1-(1/AC69^'INPUT DATA'!$J$13))),0)</f>
        <v>0.7077418967961725</v>
      </c>
      <c r="AD87" s="46">
        <f>IFERROR(0.9055*AD33*(AD68^'INPUT DATA'!$J$12-1)/(AD39*(1-(1/AD69^'INPUT DATA'!$J$13))),0)</f>
        <v>0.66132559844047556</v>
      </c>
      <c r="AE87" s="46">
        <f>IFERROR(0.9055*AE33*(AE68^'INPUT DATA'!$J$12-1)/(AE39*(1-(1/AE69^'INPUT DATA'!$J$13))),0)</f>
        <v>0</v>
      </c>
      <c r="AF87" s="46">
        <f>IFERROR(0.9055*AF33*(AF68^'INPUT DATA'!$J$12-1)/(AF39*(1-(1/AF69^'INPUT DATA'!$J$13))),0)</f>
        <v>0.68005952816215909</v>
      </c>
      <c r="AG87" s="46">
        <f>IFERROR(0.9055*AG33*(AG68^'INPUT DATA'!$J$12-1)/(AG39*(1-(1/AG69^'INPUT DATA'!$J$13))),0)</f>
        <v>0</v>
      </c>
      <c r="AH87" s="46">
        <f>IFERROR(0.9055*AH33*(AH68^'INPUT DATA'!$J$12-1)/(AH39*(1-(1/AH69^'INPUT DATA'!$J$13))),0)</f>
        <v>0</v>
      </c>
      <c r="AI87" s="46">
        <f>IFERROR(0.9055*AI33*(AI68^'INPUT DATA'!$J$12-1)/(AI39*(1-(1/AI69^'INPUT DATA'!$J$13))),0)</f>
        <v>0.69946081527629422</v>
      </c>
      <c r="AJ87" s="46">
        <f>IFERROR(0.9055*AJ33*(AJ68^'INPUT DATA'!$J$12-1)/(AJ39*(1-(1/AJ69^'INPUT DATA'!$J$13))),0)</f>
        <v>0.71389842498920075</v>
      </c>
      <c r="AK87" s="46">
        <f>IFERROR(0.9055*AK33*(AK68^'INPUT DATA'!$J$12-1)/(AK39*(1-(1/AK69^'INPUT DATA'!$J$13))),0)</f>
        <v>0.73240325562183906</v>
      </c>
    </row>
    <row r="88" spans="1:37" s="46" customFormat="1">
      <c r="B88" s="46" t="s">
        <v>184</v>
      </c>
      <c r="D88" s="46">
        <f>(D68^'INPUT DATA'!$J$12-1)*3614400*D33/((PI()*D27*'INPUT DATA'!$C$14)^2)/'INPUT DATA'!$C$15</f>
        <v>0.93383372783923657</v>
      </c>
      <c r="E88" s="46">
        <f>(E68^'INPUT DATA'!$J$12-1)*3614400*E33/((PI()*E27*'INPUT DATA'!$C$14)^2)/'INPUT DATA'!$C$15</f>
        <v>0.78698366195837388</v>
      </c>
      <c r="F88" s="46">
        <f>(F68^'INPUT DATA'!$J$12-1)*3614400*F33/((PI()*F27*'INPUT DATA'!$C$14)^2)/'INPUT DATA'!$C$15</f>
        <v>0.78293237573628882</v>
      </c>
      <c r="G88" s="46">
        <f>(G68^'INPUT DATA'!$J$12-1)*3614400*G33/((PI()*G27*'INPUT DATA'!$C$14)^2)/'INPUT DATA'!$C$15</f>
        <v>0.77022332563351137</v>
      </c>
      <c r="H88" s="46">
        <f>(H68^'INPUT DATA'!$J$12-1)*3614400*H33/((PI()*H27*'INPUT DATA'!$C$14)^2)/'INPUT DATA'!$C$15</f>
        <v>0.7707318730872893</v>
      </c>
      <c r="I88" s="46">
        <f>(I68^'INPUT DATA'!$J$12-1)*3614400*I33/((PI()*I27*'INPUT DATA'!$C$14)^2)/'INPUT DATA'!$C$15</f>
        <v>0.74956102629783694</v>
      </c>
      <c r="M88" s="46" t="s">
        <v>184</v>
      </c>
      <c r="O88" s="46">
        <f>(O68^'INPUT DATA'!$J$12-1)*3614400*O33/((PI()*O27*'INPUT DATA'!$C$14)^2)/'INPUT DATA'!$C$15</f>
        <v>0.78874423185555675</v>
      </c>
      <c r="P88" s="46">
        <f>(P68^'INPUT DATA'!$J$12-1)*3614400*P33/((PI()*P27*'INPUT DATA'!$C$14)^2)/'INPUT DATA'!$C$15</f>
        <v>0.78053558672234813</v>
      </c>
      <c r="Q88" s="46">
        <f>(Q68^'INPUT DATA'!$J$12-1)*3614400*Q33/((PI()*Q27*'INPUT DATA'!$C$14)^2)/'INPUT DATA'!$C$15</f>
        <v>0.77973805764266801</v>
      </c>
      <c r="R88" s="46">
        <f>(R68^'INPUT DATA'!$J$12-1)*3614400*R33/((PI()*R27*'INPUT DATA'!$C$14)^2)/'INPUT DATA'!$C$15</f>
        <v>0.77302651460487393</v>
      </c>
      <c r="S88" s="46">
        <f>(S68^'INPUT DATA'!$J$12-1)*3614400*S33/((PI()*S27*'INPUT DATA'!$C$14)^2)/'INPUT DATA'!$C$15</f>
        <v>0.75319179915890166</v>
      </c>
      <c r="X88" s="46" t="s">
        <v>184</v>
      </c>
      <c r="Z88" s="46">
        <f>(Z68^'INPUT DATA'!$J$12-1)*3614400*Z33/((PI()*Z27*'INPUT DATA'!$C$14)^2)/'INPUT DATA'!$C$15</f>
        <v>0.77455733364337309</v>
      </c>
      <c r="AA88" s="46">
        <f>(AA68^'INPUT DATA'!$J$12-1)*3614400*AA33/((PI()*AA27*'INPUT DATA'!$C$14)^2)/'INPUT DATA'!$C$15</f>
        <v>0.77412246628416259</v>
      </c>
      <c r="AB88" s="46">
        <f>(AB68^'INPUT DATA'!$J$12-1)*3614400*AB33/((PI()*AB27*'INPUT DATA'!$C$14)^2)/'INPUT DATA'!$C$15</f>
        <v>0.81087928706305157</v>
      </c>
      <c r="AC88" s="46">
        <f>(AC68^'INPUT DATA'!$J$12-1)*3614400*AC33/((PI()*AC27*'INPUT DATA'!$C$14)^2)/'INPUT DATA'!$C$15</f>
        <v>0.77191709170354394</v>
      </c>
      <c r="AD88" s="46">
        <f>(AD68^'INPUT DATA'!$J$12-1)*3614400*AD33/((PI()*AD27*'INPUT DATA'!$C$14)^2)/'INPUT DATA'!$C$15</f>
        <v>0.75872607906465372</v>
      </c>
      <c r="AE88" s="46">
        <f>(AE68^'INPUT DATA'!$J$12-1)*3614400*AE33/((PI()*AE27*'INPUT DATA'!$C$14)^2)/'INPUT DATA'!$C$15</f>
        <v>0.8181730073981115</v>
      </c>
      <c r="AF88" s="46">
        <f>(AF68^'INPUT DATA'!$J$12-1)*3614400*AF33/((PI()*AF27*'INPUT DATA'!$C$14)^2)/'INPUT DATA'!$C$15</f>
        <v>0.76955941823505392</v>
      </c>
      <c r="AG88" s="46">
        <f>(AG68^'INPUT DATA'!$J$12-1)*3614400*AG33/((PI()*AG27*'INPUT DATA'!$C$14)^2)/'INPUT DATA'!$C$15</f>
        <v>0.80378190473348676</v>
      </c>
      <c r="AH88" s="46">
        <f>(AH68^'INPUT DATA'!$J$12-1)*3614400*AH33/((PI()*AH27*'INPUT DATA'!$C$14)^2)/'INPUT DATA'!$C$15</f>
        <v>0.81061350361208273</v>
      </c>
      <c r="AI88" s="46">
        <f>(AI68^'INPUT DATA'!$J$12-1)*3614400*AI33/((PI()*AI27*'INPUT DATA'!$C$14)^2)/'INPUT DATA'!$C$15</f>
        <v>0.83084003515091076</v>
      </c>
      <c r="AJ88" s="46">
        <f>(AJ68^'INPUT DATA'!$J$12-1)*3614400*AJ33/((PI()*AJ27*'INPUT DATA'!$C$14)^2)/'INPUT DATA'!$C$15</f>
        <v>0.75493343237686139</v>
      </c>
      <c r="AK88" s="46">
        <f>(AK68^'INPUT DATA'!$J$12-1)*3614400*AK33/((PI()*AK27*'INPUT DATA'!$C$14)^2)/'INPUT DATA'!$C$15</f>
        <v>0.7843429451381182</v>
      </c>
    </row>
    <row r="89" spans="1:37" s="46" customFormat="1">
      <c r="B89" s="46" t="s">
        <v>183</v>
      </c>
      <c r="D89" s="46">
        <f>D87/D88</f>
        <v>0.77116515874834268</v>
      </c>
      <c r="E89" s="46">
        <f t="shared" ref="E89:I89" si="34">E87/E88</f>
        <v>0.84976562954779333</v>
      </c>
      <c r="F89" s="46">
        <f t="shared" si="34"/>
        <v>0.86663226228444512</v>
      </c>
      <c r="G89" s="46">
        <f t="shared" si="34"/>
        <v>0.87751338826391589</v>
      </c>
      <c r="H89" s="46">
        <f t="shared" si="34"/>
        <v>0.88183123106132766</v>
      </c>
      <c r="I89" s="46">
        <f t="shared" si="34"/>
        <v>0.87729572578599657</v>
      </c>
      <c r="M89" s="46" t="s">
        <v>183</v>
      </c>
      <c r="O89" s="46">
        <f>O87/O88</f>
        <v>0</v>
      </c>
      <c r="P89" s="46">
        <f t="shared" ref="P89" si="35">P87/P88</f>
        <v>0</v>
      </c>
      <c r="Q89" s="46">
        <f t="shared" ref="Q89" si="36">Q87/Q88</f>
        <v>0</v>
      </c>
      <c r="R89" s="46">
        <f t="shared" ref="R89" si="37">R87/R88</f>
        <v>0</v>
      </c>
      <c r="S89" s="46">
        <f t="shared" ref="S89" si="38">S87/S88</f>
        <v>0</v>
      </c>
      <c r="X89" s="46" t="s">
        <v>183</v>
      </c>
      <c r="Z89" s="46">
        <f t="shared" ref="Z89" si="39">Z87/Z88</f>
        <v>0.85221803374280214</v>
      </c>
      <c r="AA89" s="46">
        <f t="shared" ref="AA89" si="40">AA87/AA88</f>
        <v>0.81878874482414743</v>
      </c>
      <c r="AB89" s="46">
        <f t="shared" ref="AB89" si="41">AB87/AB88</f>
        <v>0.81244745466283608</v>
      </c>
      <c r="AC89" s="46">
        <f>AC87/AC88</f>
        <v>0.91686258071350224</v>
      </c>
      <c r="AD89" s="46">
        <f t="shared" ref="AD89:AI89" si="42">AD87/AD88</f>
        <v>0.87162629134317882</v>
      </c>
      <c r="AE89" s="46">
        <f t="shared" si="42"/>
        <v>0</v>
      </c>
      <c r="AF89" s="46">
        <f t="shared" si="42"/>
        <v>0.88369983142021913</v>
      </c>
      <c r="AG89" s="46">
        <f t="shared" si="42"/>
        <v>0</v>
      </c>
      <c r="AH89" s="46">
        <f t="shared" si="42"/>
        <v>0</v>
      </c>
      <c r="AI89" s="46">
        <f t="shared" si="42"/>
        <v>0.84187182331584043</v>
      </c>
      <c r="AJ89" s="46">
        <f t="shared" ref="AJ89:AK89" si="43">AJ87/AJ88</f>
        <v>0.94564420433936214</v>
      </c>
      <c r="AK89" s="46">
        <f t="shared" si="43"/>
        <v>0.93377936291996244</v>
      </c>
    </row>
    <row r="90" spans="1:37">
      <c r="A90" s="11"/>
      <c r="B90" s="46" t="s">
        <v>212</v>
      </c>
      <c r="C90" s="11" t="s">
        <v>213</v>
      </c>
      <c r="D90" s="16">
        <f t="shared" ref="D90:I90" si="44">30*D48/PI()/D8</f>
        <v>709.60977110494036</v>
      </c>
      <c r="E90" s="11">
        <f t="shared" si="44"/>
        <v>1129.7918383033734</v>
      </c>
      <c r="F90" s="11">
        <f t="shared" si="44"/>
        <v>1478.6409129470705</v>
      </c>
      <c r="G90" s="11">
        <f t="shared" si="44"/>
        <v>1673.2111430500381</v>
      </c>
      <c r="H90" s="11">
        <f t="shared" si="44"/>
        <v>1793.3736043612264</v>
      </c>
      <c r="I90" s="11">
        <f t="shared" si="44"/>
        <v>1917.1911817454763</v>
      </c>
      <c r="M90" s="46" t="s">
        <v>212</v>
      </c>
      <c r="N90" s="11" t="s">
        <v>213</v>
      </c>
      <c r="O90" s="11">
        <f>30*O48/PI()/O8</f>
        <v>1053.9211915191675</v>
      </c>
      <c r="P90" s="11">
        <f>30*P48/PI()/P8</f>
        <v>1125.3698623728394</v>
      </c>
      <c r="Q90" s="11">
        <f>30*Q48/PI()/Q8</f>
        <v>1603.0092240280626</v>
      </c>
      <c r="R90" s="11">
        <f>30*R48/PI()/R8</f>
        <v>1660.2631502774157</v>
      </c>
      <c r="S90" s="11">
        <f>30*S48/PI()/S8</f>
        <v>1645.3378401633245</v>
      </c>
      <c r="X90" s="46" t="s">
        <v>212</v>
      </c>
      <c r="Y90" t="s">
        <v>213</v>
      </c>
      <c r="Z90" s="9">
        <f t="shared" ref="Z90:AI90" si="45">30*Z48/PI()/Z8</f>
        <v>1512.7416641979603</v>
      </c>
      <c r="AA90" s="9">
        <f t="shared" si="45"/>
        <v>1441.4515397932294</v>
      </c>
      <c r="AB90" s="9">
        <f t="shared" si="45"/>
        <v>1422.324921050496</v>
      </c>
      <c r="AC90" s="9">
        <f t="shared" si="45"/>
        <v>1495.3538289772946</v>
      </c>
      <c r="AD90" s="9">
        <f t="shared" si="45"/>
        <v>1455.3618079697619</v>
      </c>
      <c r="AE90" s="9">
        <f t="shared" si="45"/>
        <v>1411.8922199180963</v>
      </c>
      <c r="AF90" s="9">
        <f t="shared" si="45"/>
        <v>1420.5861375284296</v>
      </c>
      <c r="AG90" s="9">
        <f t="shared" si="45"/>
        <v>1479.7047772786948</v>
      </c>
      <c r="AH90" s="9">
        <f t="shared" si="45"/>
        <v>1550.9949016834264</v>
      </c>
      <c r="AI90" s="9">
        <f t="shared" si="45"/>
        <v>1538.8234170289597</v>
      </c>
      <c r="AJ90" s="9">
        <f t="shared" ref="AJ90:AK90" si="46">30*AJ48/PI()/AJ8</f>
        <v>1481.4435608007614</v>
      </c>
      <c r="AK90" s="9">
        <f t="shared" si="46"/>
        <v>1563.1663863378924</v>
      </c>
    </row>
    <row r="91" spans="1:37">
      <c r="A91" s="11"/>
      <c r="B91" s="11"/>
      <c r="C91" s="11"/>
      <c r="D91" s="45"/>
      <c r="E91" s="45"/>
      <c r="F91" s="45"/>
      <c r="G91" s="45"/>
      <c r="H91" s="45"/>
      <c r="I91" s="45"/>
      <c r="AJ91" s="11"/>
      <c r="AK91" s="11"/>
    </row>
    <row r="92" spans="1:37">
      <c r="A92" s="11"/>
      <c r="B92" s="46" t="s">
        <v>208</v>
      </c>
      <c r="C92" s="11"/>
      <c r="D92" s="11">
        <f>D19*'INPUT DATA'!$J$6</f>
        <v>1.9613299999999998E-3</v>
      </c>
      <c r="E92" s="11">
        <f>E19*'INPUT DATA'!$J$6</f>
        <v>4.903325E-3</v>
      </c>
      <c r="F92" s="11">
        <f>F19*'INPUT DATA'!$J$6</f>
        <v>1.0787315E-2</v>
      </c>
      <c r="G92" s="11">
        <f>G19*'INPUT DATA'!$J$6</f>
        <v>1.5690639999999999E-2</v>
      </c>
      <c r="H92" s="11">
        <f>H19*'INPUT DATA'!$J$6</f>
        <v>1.8632635000000002E-2</v>
      </c>
      <c r="I92" s="11">
        <f>I19*'INPUT DATA'!$J$6</f>
        <v>2.1084297500000002E-2</v>
      </c>
      <c r="M92" s="46" t="s">
        <v>209</v>
      </c>
      <c r="O92" s="11">
        <f t="shared" ref="O92:R92" si="47">O23/42700</f>
        <v>0.93894137704918024</v>
      </c>
      <c r="P92" s="11">
        <f t="shared" si="47"/>
        <v>0.93894137704918024</v>
      </c>
      <c r="Q92" s="11">
        <f t="shared" si="47"/>
        <v>0.93894137704918024</v>
      </c>
      <c r="R92" s="11">
        <f t="shared" si="47"/>
        <v>0.93894137704918024</v>
      </c>
      <c r="S92" s="11">
        <f>S23/42700</f>
        <v>0.93894137704918024</v>
      </c>
      <c r="X92" s="46" t="s">
        <v>209</v>
      </c>
      <c r="Z92">
        <f>IF(Z23=0,1,Z23/42700)</f>
        <v>0.9646370023419204</v>
      </c>
      <c r="AA92" s="11">
        <f t="shared" ref="AA92:AK92" si="48">IF(AA23=0,1,AA23/42700)</f>
        <v>0.96276346604215457</v>
      </c>
      <c r="AB92" s="11">
        <f t="shared" si="48"/>
        <v>0.9639344262295082</v>
      </c>
      <c r="AC92" s="11">
        <f t="shared" si="48"/>
        <v>0.9639344262295082</v>
      </c>
      <c r="AD92" s="11">
        <f t="shared" si="48"/>
        <v>1.0007025761124122</v>
      </c>
      <c r="AE92" s="11">
        <f t="shared" si="48"/>
        <v>1.0007025761124122</v>
      </c>
      <c r="AF92" s="11">
        <f t="shared" si="48"/>
        <v>1.0007025761124122</v>
      </c>
      <c r="AG92" s="11">
        <f t="shared" si="48"/>
        <v>1.0142857142857142</v>
      </c>
      <c r="AH92" s="11">
        <f t="shared" si="48"/>
        <v>0.96768149882903987</v>
      </c>
      <c r="AI92" s="11">
        <f t="shared" si="48"/>
        <v>0.96768149882903987</v>
      </c>
      <c r="AJ92" s="11">
        <f t="shared" si="48"/>
        <v>0.96768149882903987</v>
      </c>
      <c r="AK92" s="11">
        <f t="shared" si="48"/>
        <v>1.0166276346604215</v>
      </c>
    </row>
    <row r="93" spans="1:37">
      <c r="A93" s="11"/>
      <c r="B93" s="11"/>
      <c r="C93" s="11"/>
      <c r="D93" s="11"/>
      <c r="E93" s="11"/>
      <c r="F93" s="11"/>
      <c r="G93" s="11"/>
      <c r="M93" s="46" t="s">
        <v>210</v>
      </c>
      <c r="O93" s="58">
        <f>('INPUT DATA'!$S$40+0.009807692-0.000653846*'INPUT DATA'!O37)/'INPUT DATA'!$I$40</f>
        <v>0.99486953345952567</v>
      </c>
      <c r="P93" s="58">
        <f>('INPUT DATA'!$S$40+0.009807692-0.000653846*'INPUT DATA'!P37)/'INPUT DATA'!$I$40</f>
        <v>0.99486953345952567</v>
      </c>
      <c r="Q93" s="58">
        <f>('INPUT DATA'!$S$40+0.009807692-0.000653846*'INPUT DATA'!Q37)/'INPUT DATA'!$I$40</f>
        <v>0.99341346843335943</v>
      </c>
      <c r="R93" s="58">
        <f>('INPUT DATA'!$S$40+0.009807692-0.000653846*'INPUT DATA'!R37)/'INPUT DATA'!$I$40</f>
        <v>0.99341346843335943</v>
      </c>
      <c r="S93" s="58">
        <f>('INPUT DATA'!$S$40+0.009807692-0.000653846*'INPUT DATA'!S37)/'INPUT DATA'!$I$40</f>
        <v>0.99341346843335943</v>
      </c>
      <c r="X93" s="46" t="s">
        <v>210</v>
      </c>
      <c r="Z93">
        <f>('INPUT DATA'!Z40+0.009807692-0.000653846*'INPUT DATA'!Z37)/'INPUT DATA'!$I$40</f>
        <v>1.0196312036521544</v>
      </c>
      <c r="AA93" s="11">
        <f>('INPUT DATA'!AA40+0.009807692-0.000653846*'INPUT DATA'!AA37)/'INPUT DATA'!$I$40</f>
        <v>1.0196312036521544</v>
      </c>
      <c r="AB93" s="11">
        <f>('INPUT DATA'!AB40+0.009807692-0.000653846*'INPUT DATA'!AB37)/'INPUT DATA'!$I$40</f>
        <v>1.0254554637568198</v>
      </c>
      <c r="AC93" s="11">
        <f>('INPUT DATA'!AC40+0.009807692-0.000653846*'INPUT DATA'!AC37)/'INPUT DATA'!$I$40</f>
        <v>1.021815301191404</v>
      </c>
      <c r="AD93" s="11">
        <f>('INPUT DATA'!AD40+0.009807692-0.000653846*'INPUT DATA'!AD37)/'INPUT DATA'!$I$40</f>
        <v>1.0440845362431801</v>
      </c>
      <c r="AE93" s="11">
        <f>('INPUT DATA'!AE40+0.009807692-0.000653846*'INPUT DATA'!AE37)/'INPUT DATA'!$I$40</f>
        <v>1.0440845362431801</v>
      </c>
      <c r="AF93" s="11">
        <f>('INPUT DATA'!AF40+0.009807692-0.000653846*'INPUT DATA'!AF37)/'INPUT DATA'!$I$40</f>
        <v>1.010680683665516</v>
      </c>
      <c r="AG93" s="11">
        <f>('INPUT DATA'!AG40+0.009807692-0.000653846*'INPUT DATA'!AG37)/'INPUT DATA'!$I$40</f>
        <v>1.010680683665516</v>
      </c>
      <c r="AH93" s="11">
        <f>('INPUT DATA'!AH40+0.009807692-0.000653846*'INPUT DATA'!AH37)/'INPUT DATA'!$I$40</f>
        <v>1.0034003585346842</v>
      </c>
      <c r="AI93" s="11">
        <f>('INPUT DATA'!AI40+0.009807692-0.000653846*'INPUT DATA'!AI37)/'INPUT DATA'!$I$40</f>
        <v>1.0034003585346842</v>
      </c>
      <c r="AJ93" s="11">
        <f>('INPUT DATA'!AJ40+0.009807692-0.000653846*'INPUT DATA'!AJ37)/'INPUT DATA'!$I$40</f>
        <v>1.0070405211001001</v>
      </c>
      <c r="AK93" s="11">
        <f>('INPUT DATA'!AK40+0.009807692-0.000653846*'INPUT DATA'!AK37)/'INPUT DATA'!$I$40</f>
        <v>1.0070405211001001</v>
      </c>
    </row>
    <row r="94" spans="1:37">
      <c r="A94" s="11"/>
      <c r="B94" s="11"/>
      <c r="C94" s="11"/>
      <c r="D94" s="11"/>
      <c r="E94" s="11"/>
      <c r="F94" s="11"/>
      <c r="G94" s="11"/>
      <c r="M94" s="46" t="s">
        <v>211</v>
      </c>
      <c r="O94" s="16">
        <f>O92*O93*O12</f>
        <v>58.071385884929065</v>
      </c>
      <c r="P94" s="16">
        <f t="shared" ref="P94:S94" si="49">P92*P93*P12</f>
        <v>60.251008947634183</v>
      </c>
      <c r="Q94" s="16">
        <f t="shared" si="49"/>
        <v>78.817967347536765</v>
      </c>
      <c r="R94" s="16">
        <f>R92*R93*R12</f>
        <v>81.616238377626829</v>
      </c>
      <c r="S94" s="16">
        <f t="shared" si="49"/>
        <v>79.750724357566781</v>
      </c>
      <c r="X94" s="46" t="s">
        <v>211</v>
      </c>
      <c r="Z94" s="16">
        <f>Z92*Z93*Z12</f>
        <v>81.800569984143991</v>
      </c>
      <c r="AA94" s="16">
        <f t="shared" ref="AA94:AC94" si="50">AA92*AA93*AA12</f>
        <v>79.514757408743449</v>
      </c>
      <c r="AB94" s="16">
        <f t="shared" si="50"/>
        <v>76.936056974253461</v>
      </c>
      <c r="AC94" s="16">
        <f t="shared" si="50"/>
        <v>84.706813361716257</v>
      </c>
      <c r="AD94" s="16">
        <f t="shared" ref="AD94" si="51">AD92*AD93*AD12</f>
        <v>89.157809928335666</v>
      </c>
      <c r="AE94" s="16">
        <f t="shared" ref="AE94:AF94" si="52">AE92*AE93*AE12</f>
        <v>86.545764715591446</v>
      </c>
      <c r="AF94" s="16">
        <f t="shared" si="52"/>
        <v>82.091216992757197</v>
      </c>
      <c r="AG94" s="16">
        <f t="shared" ref="AG94" si="53">AG92*AG93*AG12</f>
        <v>87.135113227448414</v>
      </c>
      <c r="AH94" s="16">
        <f t="shared" ref="AH94:AI94" si="54">AH92*AH93*AH12</f>
        <v>85.931018714210879</v>
      </c>
      <c r="AI94" s="16">
        <f t="shared" si="54"/>
        <v>85.607361393253399</v>
      </c>
      <c r="AJ94" s="16">
        <f t="shared" ref="AJ94:AK94" si="55">AJ92*AJ93*AJ12</f>
        <v>82.669615124569759</v>
      </c>
      <c r="AK94" s="16">
        <f t="shared" si="55"/>
        <v>82.585341319837568</v>
      </c>
    </row>
    <row r="95" spans="1:37">
      <c r="A95" s="11"/>
      <c r="B95" s="11" t="s">
        <v>229</v>
      </c>
      <c r="C95" s="11"/>
      <c r="D95" s="11">
        <f>IF('INPUT DATA'!$B$41="Fuel Viscosity (@40°C)",'INPUT DATA'!D40*1000-81-141*LOG10(LOG10('INPUT DATA'!D41+0.85))-483*LOG10((40+273)/323),'INPUT DATA'!D40*1000-81-141*LOG10(LOG10('INPUT DATA'!D41+0.85))-483*LOG10((50+273)/323))</f>
        <v>823.30222640680847</v>
      </c>
      <c r="E95" s="11">
        <f>IF('INPUT DATA'!$B$41="Fuel Viscosity (@40°C)",'INPUT DATA'!E40*1000-81-141*LOG10(LOG10('INPUT DATA'!E41+0.85))-483*LOG10((40+273)/323),'INPUT DATA'!E40*1000-81-141*LOG10(LOG10('INPUT DATA'!E41+0.85))-483*LOG10((50+273)/323))</f>
        <v>823.30222640680847</v>
      </c>
      <c r="F95" s="11">
        <f>IF('INPUT DATA'!$B$41="Fuel Viscosity (@40°C)",'INPUT DATA'!F40*1000-81-141*LOG10(LOG10('INPUT DATA'!F41+0.85))-483*LOG10((40+273)/323),'INPUT DATA'!F40*1000-81-141*LOG10(LOG10('INPUT DATA'!F41+0.85))-483*LOG10((50+273)/323))</f>
        <v>823.30222640680847</v>
      </c>
      <c r="G95" s="11">
        <f>IF('INPUT DATA'!$B$41="Fuel Viscosity (@40°C)",'INPUT DATA'!G40*1000-81-141*LOG10(LOG10('INPUT DATA'!G41+0.85))-483*LOG10((40+273)/323),'INPUT DATA'!G40*1000-81-141*LOG10(LOG10('INPUT DATA'!G41+0.85))-483*LOG10((50+273)/323))</f>
        <v>823.30222640680847</v>
      </c>
      <c r="H95" s="11">
        <f>IF('INPUT DATA'!$B$41="Fuel Viscosity (@40°C)",'INPUT DATA'!H40*1000-81-141*LOG10(LOG10('INPUT DATA'!H41+0.85))-483*LOG10((40+273)/323),'INPUT DATA'!H40*1000-81-141*LOG10(LOG10('INPUT DATA'!H41+0.85))-483*LOG10((50+273)/323))</f>
        <v>823.30222640680847</v>
      </c>
      <c r="I95" s="11">
        <f>IF('INPUT DATA'!$B$41="Fuel Viscosity (@40°C)",'INPUT DATA'!I40*1000-81-141*LOG10(LOG10('INPUT DATA'!I41+0.85))-483*LOG10((40+273)/323),'INPUT DATA'!I40*1000-81-141*LOG10(LOG10('INPUT DATA'!I41+0.85))-483*LOG10((50+273)/323))</f>
        <v>823.30222640680847</v>
      </c>
      <c r="M95" s="11" t="s">
        <v>229</v>
      </c>
      <c r="O95" s="11">
        <f>IF('INPUT DATA'!$M$41="Fuel Viscosity (@40°C)",'INPUT DATA'!O40*1000-81-141*LOG10(LOG10('INPUT DATA'!O41+0.85))-483*LOG10((40+273)/323),'INPUT DATA'!O40*1000-81-141*LOG10(LOG10('INPUT DATA'!O41+0.85))-483*LOG10((50+273)/323))</f>
        <v>832.85996881334177</v>
      </c>
      <c r="P95" s="11">
        <f>IF('INPUT DATA'!$M$41="Fuel Viscosity (@40°C)",'INPUT DATA'!P40*1000-81-141*LOG10(LOG10('INPUT DATA'!P41+0.85))-483*LOG10((40+273)/323),'INPUT DATA'!P40*1000-81-141*LOG10(LOG10('INPUT DATA'!P41+0.85))-483*LOG10((50+273)/323))</f>
        <v>832.85996881334177</v>
      </c>
      <c r="Q95" s="11">
        <f>IF('INPUT DATA'!$M$41="Fuel Viscosity (@40°C)",'INPUT DATA'!Q40*1000-81-141*LOG10(LOG10('INPUT DATA'!Q41+0.85))-483*LOG10((40+273)/323),'INPUT DATA'!Q40*1000-81-141*LOG10(LOG10('INPUT DATA'!Q41+0.85))-483*LOG10((50+273)/323))</f>
        <v>832.85996881334177</v>
      </c>
      <c r="R95" s="11">
        <f>IF('INPUT DATA'!$M$41="Fuel Viscosity (@40°C)",'INPUT DATA'!R40*1000-81-141*LOG10(LOG10('INPUT DATA'!R41+0.85))-483*LOG10((40+273)/323),'INPUT DATA'!R40*1000-81-141*LOG10(LOG10('INPUT DATA'!R41+0.85))-483*LOG10((50+273)/323))</f>
        <v>832.85996881334177</v>
      </c>
      <c r="S95" s="11">
        <f>IF('INPUT DATA'!$M$41="Fuel Viscosity (@40°C)",'INPUT DATA'!S40*1000-81-141*LOG10(LOG10('INPUT DATA'!S41+0.85))-483*LOG10((40+273)/323),'INPUT DATA'!S40*1000-81-141*LOG10(LOG10('INPUT DATA'!S41+0.85))-483*LOG10((50+273)/323))</f>
        <v>832.85996881334177</v>
      </c>
      <c r="X95" s="11" t="s">
        <v>229</v>
      </c>
      <c r="Z95" s="16">
        <f>IF('INPUT DATA'!$X$41="Fuel Viscosity (@40°C)",'INPUT DATA'!Z40*1000-81-141*LOG10(LOG10('INPUT DATA'!Z41+0.85))-483*LOG10((40+273)/323),'INPUT DATA'!Z40*1000-81-141*LOG10(LOG10('INPUT DATA'!Z41+0.85))-483*LOG10((50+273)/323))</f>
        <v>831.963456445681</v>
      </c>
      <c r="AA95" s="16">
        <f>IF('INPUT DATA'!$X$41="Fuel Viscosity (@40°C)",'INPUT DATA'!AA40*1000-81-141*LOG10(LOG10('INPUT DATA'!AA41+0.85))-483*LOG10((40+273)/323),'INPUT DATA'!AA40*1000-81-141*LOG10(LOG10('INPUT DATA'!AA41+0.85))-483*LOG10((50+273)/323))</f>
        <v>832.19712808605505</v>
      </c>
      <c r="AB95" s="16">
        <f>IF('INPUT DATA'!$X$41="Fuel Viscosity (@40°C)",'INPUT DATA'!AB40*1000-81-141*LOG10(LOG10('INPUT DATA'!AB41+0.85))-483*LOG10((40+273)/323),'INPUT DATA'!AB40*1000-81-141*LOG10(LOG10('INPUT DATA'!AB41+0.85))-483*LOG10((50+273)/323))</f>
        <v>832.61474621129923</v>
      </c>
      <c r="AC95" s="16">
        <f>IF('INPUT DATA'!$X$41="Fuel Viscosity (@40°C)",'INPUT DATA'!AC40*1000-81-141*LOG10(LOG10('INPUT DATA'!AC41+0.85))-483*LOG10((40+273)/323),'INPUT DATA'!AC40*1000-81-141*LOG10(LOG10('INPUT DATA'!AC41+0.85))-483*LOG10((50+273)/323))</f>
        <v>832.61474621129923</v>
      </c>
      <c r="AD95" s="16">
        <f>IF('INPUT DATA'!$X$41="Fuel Viscosity (@40°C)",'INPUT DATA'!AD40*1000-81-141*LOG10(LOG10('INPUT DATA'!AD41+0.85))-483*LOG10((40+273)/323),'INPUT DATA'!AD40*1000-81-141*LOG10(LOG10('INPUT DATA'!AD41+0.85))-483*LOG10((50+273)/323))</f>
        <v>850.30461776941888</v>
      </c>
      <c r="AE95" s="16">
        <f>IF('INPUT DATA'!$X$41="Fuel Viscosity (@40°C)",'INPUT DATA'!AE40*1000-81-141*LOG10(LOG10('INPUT DATA'!AE41+0.85))-483*LOG10((40+273)/323),'INPUT DATA'!AE40*1000-81-141*LOG10(LOG10('INPUT DATA'!AE41+0.85))-483*LOG10((50+273)/323))</f>
        <v>850.30461776941888</v>
      </c>
      <c r="AF95" s="16">
        <f>IF('INPUT DATA'!$X$41="Fuel Viscosity (@40°C)",'INPUT DATA'!AF40*1000-81-141*LOG10(LOG10('INPUT DATA'!AF41+0.85))-483*LOG10((40+273)/323),'INPUT DATA'!AF40*1000-81-141*LOG10(LOG10('INPUT DATA'!AF41+0.85))-483*LOG10((50+273)/323))</f>
        <v>823.42306754701326</v>
      </c>
      <c r="AG95" s="16">
        <f>IF('INPUT DATA'!$X$41="Fuel Viscosity (@40°C)",'INPUT DATA'!AG40*1000-81-141*LOG10(LOG10('INPUT DATA'!AG41+0.85))-483*LOG10((40+273)/323),'INPUT DATA'!AG40*1000-81-141*LOG10(LOG10('INPUT DATA'!AG41+0.85))-483*LOG10((50+273)/323))</f>
        <v>823.39102292478674</v>
      </c>
      <c r="AH95" s="16">
        <f>IF('INPUT DATA'!$X$41="Fuel Viscosity (@40°C)",'INPUT DATA'!AH40*1000-81-141*LOG10(LOG10('INPUT DATA'!AH41+0.85))-483*LOG10((40+273)/323),'INPUT DATA'!AH40*1000-81-141*LOG10(LOG10('INPUT DATA'!AH41+0.85))-483*LOG10((50+273)/323))</f>
        <v>822.92678683355985</v>
      </c>
      <c r="AI95" s="16">
        <f>IF('INPUT DATA'!$X$41="Fuel Viscosity (@40°C)",'INPUT DATA'!AI40*1000-81-141*LOG10(LOG10('INPUT DATA'!AI41+0.85))-483*LOG10((40+273)/323),'INPUT DATA'!AI40*1000-81-141*LOG10(LOG10('INPUT DATA'!AI41+0.85))-483*LOG10((50+273)/323))</f>
        <v>822.93692482816937</v>
      </c>
      <c r="AJ95" s="16">
        <f>IF('INPUT DATA'!$X$41="Fuel Viscosity (@40°C)",'INPUT DATA'!AJ40*1000-81-141*LOG10(LOG10('INPUT DATA'!AJ41+0.85))-483*LOG10((40+273)/323),'INPUT DATA'!AJ40*1000-81-141*LOG10(LOG10('INPUT DATA'!AJ41+0.85))-483*LOG10((50+273)/323))</f>
        <v>822.93692482816937</v>
      </c>
      <c r="AK95" s="16">
        <f>IF('INPUT DATA'!$X$41="Fuel Viscosity (@40°C)",'INPUT DATA'!AK40*1000-81-141*LOG10(LOG10('INPUT DATA'!AK41+0.85))-483*LOG10((40+273)/323),'INPUT DATA'!AK40*1000-81-141*LOG10(LOG10('INPUT DATA'!AK41+0.85))-483*LOG10((50+273)/323))</f>
        <v>823.67254832289973</v>
      </c>
    </row>
    <row r="96" spans="1:37">
      <c r="A96" s="11"/>
      <c r="B96" s="11"/>
      <c r="C96" s="11"/>
      <c r="D96" s="11"/>
      <c r="E96" s="11"/>
      <c r="F96" s="11"/>
      <c r="G96" s="11"/>
      <c r="M96" s="46" t="s">
        <v>230</v>
      </c>
      <c r="N96" s="11"/>
      <c r="O96" s="16">
        <f>O95-$D$95</f>
        <v>9.5577424065332934</v>
      </c>
      <c r="P96" s="16">
        <f t="shared" ref="P96:S96" si="56">P95-$D$95</f>
        <v>9.5577424065332934</v>
      </c>
      <c r="Q96" s="16">
        <f t="shared" si="56"/>
        <v>9.5577424065332934</v>
      </c>
      <c r="R96" s="16">
        <f t="shared" si="56"/>
        <v>9.5577424065332934</v>
      </c>
      <c r="S96" s="16">
        <f t="shared" si="56"/>
        <v>9.5577424065332934</v>
      </c>
      <c r="X96" s="46" t="s">
        <v>230</v>
      </c>
      <c r="Z96" s="16">
        <f>Z95-$D$95</f>
        <v>8.6612300388725316</v>
      </c>
      <c r="AA96" s="16">
        <f t="shared" ref="AA96:AI96" si="57">AA95-$D$95</f>
        <v>8.8949016792465727</v>
      </c>
      <c r="AB96" s="16">
        <f t="shared" si="57"/>
        <v>9.312519804490762</v>
      </c>
      <c r="AC96" s="16">
        <f t="shared" si="57"/>
        <v>9.312519804490762</v>
      </c>
      <c r="AD96" s="16">
        <f t="shared" si="57"/>
        <v>27.00239136261041</v>
      </c>
      <c r="AE96" s="16">
        <f t="shared" si="57"/>
        <v>27.00239136261041</v>
      </c>
      <c r="AF96" s="16">
        <f t="shared" si="57"/>
        <v>0.12084114020478864</v>
      </c>
      <c r="AG96" s="16">
        <f t="shared" si="57"/>
        <v>8.879651797826682E-2</v>
      </c>
      <c r="AH96" s="16">
        <f t="shared" si="57"/>
        <v>-0.37543957324862731</v>
      </c>
      <c r="AI96" s="16">
        <f t="shared" si="57"/>
        <v>-0.36530157863910517</v>
      </c>
      <c r="AJ96" s="16">
        <f t="shared" ref="AJ96:AK96" si="58">AJ95-$D$95</f>
        <v>-0.36530157863910517</v>
      </c>
      <c r="AK96" s="16">
        <f t="shared" si="58"/>
        <v>0.37032191609125675</v>
      </c>
    </row>
    <row r="97" spans="1:37">
      <c r="A97" s="11"/>
      <c r="B97" s="11"/>
      <c r="C97" s="11"/>
      <c r="D97" s="11"/>
      <c r="E97" s="11"/>
      <c r="F97" s="11"/>
      <c r="G97" s="11"/>
      <c r="M97" s="46" t="s">
        <v>231</v>
      </c>
      <c r="N97" s="11"/>
      <c r="O97" s="11">
        <f>0.007*O96</f>
        <v>6.6904196845733052E-2</v>
      </c>
      <c r="P97" s="11">
        <f t="shared" ref="P97:S97" si="59">0.007*P96</f>
        <v>6.6904196845733052E-2</v>
      </c>
      <c r="Q97" s="11">
        <f t="shared" si="59"/>
        <v>6.6904196845733052E-2</v>
      </c>
      <c r="R97" s="11">
        <f t="shared" si="59"/>
        <v>6.6904196845733052E-2</v>
      </c>
      <c r="S97" s="11">
        <f t="shared" si="59"/>
        <v>6.6904196845733052E-2</v>
      </c>
      <c r="X97" s="46" t="s">
        <v>231</v>
      </c>
      <c r="Z97">
        <f>0.007*Z96</f>
        <v>6.0628610272107725E-2</v>
      </c>
      <c r="AA97" s="11">
        <f t="shared" ref="AA97:AI97" si="60">0.007*AA96</f>
        <v>6.2264311754726014E-2</v>
      </c>
      <c r="AB97" s="11">
        <f t="shared" si="60"/>
        <v>6.5187638631435341E-2</v>
      </c>
      <c r="AC97" s="11">
        <f t="shared" si="60"/>
        <v>6.5187638631435341E-2</v>
      </c>
      <c r="AD97" s="11">
        <f t="shared" si="60"/>
        <v>0.18901673953827289</v>
      </c>
      <c r="AE97" s="11">
        <f t="shared" si="60"/>
        <v>0.18901673953827289</v>
      </c>
      <c r="AF97" s="11">
        <f t="shared" si="60"/>
        <v>8.4588798143352053E-4</v>
      </c>
      <c r="AG97" s="11">
        <f t="shared" si="60"/>
        <v>6.2157562584786775E-4</v>
      </c>
      <c r="AH97" s="11">
        <f t="shared" si="60"/>
        <v>-2.6280770127403911E-3</v>
      </c>
      <c r="AI97" s="11">
        <f t="shared" si="60"/>
        <v>-2.5571110504737362E-3</v>
      </c>
      <c r="AJ97" s="11">
        <f t="shared" ref="AJ97:AK97" si="61">0.007*AJ96</f>
        <v>-2.5571110504737362E-3</v>
      </c>
      <c r="AK97" s="11">
        <f t="shared" si="61"/>
        <v>2.5922534126387974E-3</v>
      </c>
    </row>
    <row r="98" spans="1:37">
      <c r="A98" s="11"/>
      <c r="B98" s="11"/>
      <c r="C98" s="11"/>
      <c r="D98" s="11"/>
      <c r="E98" s="11"/>
      <c r="F98" s="11"/>
      <c r="G98" s="11"/>
      <c r="M98" s="46" t="s">
        <v>232</v>
      </c>
      <c r="N98" s="11"/>
      <c r="O98" s="11">
        <f>O97*O8*'INPUT DATA'!$C$6/1000</f>
        <v>3.0062731810661693E-2</v>
      </c>
      <c r="P98" s="11">
        <f>P97*P8*'INPUT DATA'!$C$6/1000</f>
        <v>3.0066746062472435E-2</v>
      </c>
      <c r="Q98" s="11">
        <f>Q97*Q8*'INPUT DATA'!$C$6/1000</f>
        <v>3.6413278175258669E-2</v>
      </c>
      <c r="R98" s="11">
        <f>R97*R8*'INPUT DATA'!$C$6/1000</f>
        <v>3.6409263923447927E-2</v>
      </c>
      <c r="S98" s="11">
        <f>S97*S8*'INPUT DATA'!$C$6/1000</f>
        <v>3.6449406441555365E-2</v>
      </c>
      <c r="X98" s="46" t="s">
        <v>232</v>
      </c>
      <c r="Z98">
        <f>Z97*Z8*'INPUT DATA'!$C$6/1000</f>
        <v>3.2096786278053832E-2</v>
      </c>
      <c r="AA98" s="11">
        <f>AA97*AA8*'INPUT DATA'!$C$6/1000</f>
        <v>3.3790841989289805E-2</v>
      </c>
      <c r="AB98" s="11">
        <f>AB97*AB8*'INPUT DATA'!$C$6/1000</f>
        <v>3.4849311612365333E-2</v>
      </c>
      <c r="AC98" s="11">
        <f>AC97*AC8*'INPUT DATA'!$C$6/1000</f>
        <v>3.5729344733889709E-2</v>
      </c>
      <c r="AD98" s="11">
        <f>AD97*AD8*'INPUT DATA'!$C$6/1000</f>
        <v>0.10280620463486662</v>
      </c>
      <c r="AE98" s="11">
        <f>AE97*AE8*'INPUT DATA'!$C$6/1000</f>
        <v>0.10180441591531376</v>
      </c>
      <c r="AF98" s="11">
        <f>AF97*AF8*'INPUT DATA'!$C$6/1000</f>
        <v>4.5212712607621661E-4</v>
      </c>
      <c r="AG98" s="11">
        <f>AG97*AG8*'INPUT DATA'!$C$6/1000</f>
        <v>3.3658320139662041E-4</v>
      </c>
      <c r="AH98" s="11">
        <f>AH97*AH8*'INPUT DATA'!$C$6/1000</f>
        <v>-1.4110145481403161E-3</v>
      </c>
      <c r="AI98" s="11">
        <f>AI97*AI8*'INPUT DATA'!$C$6/1000</f>
        <v>-1.3703558119488753E-3</v>
      </c>
      <c r="AJ98" s="11">
        <f>AJ97*AJ8*'INPUT DATA'!$C$6/1000</f>
        <v>-1.3729129229993488E-3</v>
      </c>
      <c r="AK98" s="11">
        <f>AK97*AK8*'INPUT DATA'!$C$6/1000</f>
        <v>1.3531562813974523E-3</v>
      </c>
    </row>
    <row r="99" spans="1:37">
      <c r="A99" s="11"/>
      <c r="B99" s="11"/>
      <c r="C99" s="11"/>
      <c r="D99" s="11"/>
      <c r="E99" s="11"/>
      <c r="F99" s="11"/>
      <c r="G99" s="11"/>
      <c r="M99" s="46" t="s">
        <v>233</v>
      </c>
      <c r="N99" s="11"/>
      <c r="O99" s="11">
        <f>-1.427938*O98</f>
        <v>-4.2927717136252631E-2</v>
      </c>
      <c r="P99" s="11">
        <f t="shared" ref="P99:S99" si="62">-1.427938*P98</f>
        <v>-4.2933449238954764E-2</v>
      </c>
      <c r="Q99" s="11">
        <f t="shared" si="62"/>
        <v>-5.1995903611022513E-2</v>
      </c>
      <c r="R99" s="11">
        <f t="shared" si="62"/>
        <v>-5.1990171508320381E-2</v>
      </c>
      <c r="S99" s="11">
        <f t="shared" si="62"/>
        <v>-5.2047492535341681E-2</v>
      </c>
      <c r="X99" s="46" t="s">
        <v>233</v>
      </c>
      <c r="Z99">
        <f>-1.427938*Z98</f>
        <v>-4.5832220804311631E-2</v>
      </c>
      <c r="AA99" s="11">
        <f t="shared" ref="AA99:AI99" si="63">-1.427938*AA98</f>
        <v>-4.8251227328502504E-2</v>
      </c>
      <c r="AB99" s="11">
        <f t="shared" si="63"/>
        <v>-4.9762656325137725E-2</v>
      </c>
      <c r="AC99" s="11">
        <f t="shared" si="63"/>
        <v>-5.1019289060621004E-2</v>
      </c>
      <c r="AD99" s="11">
        <f t="shared" si="63"/>
        <v>-0.14680088623390217</v>
      </c>
      <c r="AE99" s="11">
        <f t="shared" si="63"/>
        <v>-0.14537039405328131</v>
      </c>
      <c r="AF99" s="11">
        <f t="shared" si="63"/>
        <v>-6.4560950415502058E-4</v>
      </c>
      <c r="AG99" s="11">
        <f t="shared" si="63"/>
        <v>-4.8061994343588736E-4</v>
      </c>
      <c r="AH99" s="11">
        <f t="shared" si="63"/>
        <v>2.0148412918423865E-3</v>
      </c>
      <c r="AI99" s="11">
        <f t="shared" si="63"/>
        <v>1.9567831374026532E-3</v>
      </c>
      <c r="AJ99" s="11">
        <f t="shared" ref="AJ99:AK99" si="64">-1.427938*AJ98</f>
        <v>1.9604345334418441E-3</v>
      </c>
      <c r="AK99" s="11">
        <f t="shared" si="64"/>
        <v>-1.9322232741461152E-3</v>
      </c>
    </row>
    <row r="100" spans="1:37">
      <c r="A100" s="11"/>
      <c r="B100" s="11"/>
      <c r="C100" s="11"/>
      <c r="D100" s="11"/>
      <c r="E100" s="11"/>
      <c r="F100" s="11"/>
      <c r="G100" s="11"/>
      <c r="M100" s="46" t="s">
        <v>234</v>
      </c>
      <c r="N100" s="11"/>
      <c r="O100" s="16">
        <f>O99+O13</f>
        <v>1.8404056161970805</v>
      </c>
      <c r="P100" s="16">
        <f t="shared" ref="P100:S100" si="65">P99+P13</f>
        <v>1.9903998840943788</v>
      </c>
      <c r="Q100" s="16">
        <f t="shared" si="65"/>
        <v>3.2646707630556437</v>
      </c>
      <c r="R100" s="16">
        <f t="shared" si="65"/>
        <v>2.5646764951583463</v>
      </c>
      <c r="S100" s="16">
        <f t="shared" si="65"/>
        <v>2.8812858407979918</v>
      </c>
      <c r="X100" s="46" t="s">
        <v>234</v>
      </c>
      <c r="Z100" s="16">
        <f>Z99+Z13</f>
        <v>3.3708344458623549</v>
      </c>
      <c r="AA100" s="16">
        <f t="shared" ref="AA100:AI100" si="66">AA99+AA13</f>
        <v>3.1184154393381642</v>
      </c>
      <c r="AB100" s="16">
        <f t="shared" si="66"/>
        <v>3.1669040103415287</v>
      </c>
      <c r="AC100" s="16">
        <f t="shared" si="66"/>
        <v>2.348980710939379</v>
      </c>
      <c r="AD100" s="16">
        <f t="shared" si="66"/>
        <v>3.0531991137660976</v>
      </c>
      <c r="AE100" s="16">
        <f t="shared" si="66"/>
        <v>3.1212962726133848</v>
      </c>
      <c r="AF100" s="16">
        <f t="shared" si="66"/>
        <v>3.3660210571625115</v>
      </c>
      <c r="AG100" s="16">
        <f t="shared" si="66"/>
        <v>3.2328527133898972</v>
      </c>
      <c r="AH100" s="16">
        <f t="shared" si="66"/>
        <v>2.5353481746251756</v>
      </c>
      <c r="AI100" s="16">
        <f t="shared" si="66"/>
        <v>5.8019567831374035</v>
      </c>
      <c r="AJ100" s="16">
        <f t="shared" ref="AJ100:AK100" si="67">AJ99+AJ13</f>
        <v>6.1852937678667743</v>
      </c>
      <c r="AK100" s="16">
        <f t="shared" si="67"/>
        <v>6.0480677767258548</v>
      </c>
    </row>
    <row r="101" spans="1:37">
      <c r="A101" s="11"/>
      <c r="B101" s="65" t="s">
        <v>243</v>
      </c>
      <c r="C101" s="11"/>
      <c r="D101" s="11"/>
      <c r="E101" s="11"/>
      <c r="F101" s="11"/>
      <c r="G101" s="11"/>
      <c r="AJ101" s="11"/>
      <c r="AK101" s="11"/>
    </row>
    <row r="102" spans="1:37">
      <c r="A102" s="11"/>
      <c r="B102" s="11"/>
      <c r="C102" s="11"/>
      <c r="D102" s="11"/>
      <c r="E102" s="11"/>
      <c r="F102" s="11"/>
      <c r="G102" s="11"/>
      <c r="AJ102" s="11"/>
      <c r="AK102" s="11"/>
    </row>
    <row r="103" spans="1:37">
      <c r="A103" s="11"/>
      <c r="B103" s="46" t="str">
        <f>B6</f>
        <v>Load</v>
      </c>
      <c r="C103" s="46"/>
      <c r="D103" s="46">
        <f t="shared" ref="D103:I103" si="68">D6</f>
        <v>0.25</v>
      </c>
      <c r="E103" s="46">
        <f t="shared" si="68"/>
        <v>0.5</v>
      </c>
      <c r="F103" s="46">
        <f t="shared" si="68"/>
        <v>0.75</v>
      </c>
      <c r="G103" s="46">
        <f t="shared" si="68"/>
        <v>0.9</v>
      </c>
      <c r="H103" s="46">
        <f t="shared" si="68"/>
        <v>1</v>
      </c>
      <c r="I103" s="46">
        <f t="shared" si="68"/>
        <v>1.1000000000000001</v>
      </c>
      <c r="M103" s="46" t="str">
        <f>M6</f>
        <v>Load</v>
      </c>
      <c r="N103" s="46"/>
      <c r="O103" s="46">
        <f>O6</f>
        <v>0.5</v>
      </c>
      <c r="P103" s="46">
        <f t="shared" ref="P103:S103" si="69">P6</f>
        <v>0.5</v>
      </c>
      <c r="Q103" s="46">
        <f t="shared" si="69"/>
        <v>0.9</v>
      </c>
      <c r="R103" s="46">
        <f t="shared" si="69"/>
        <v>0.9</v>
      </c>
      <c r="S103" s="46">
        <f t="shared" si="69"/>
        <v>0.9</v>
      </c>
      <c r="X103" s="46" t="str">
        <f>X6</f>
        <v>Load</v>
      </c>
      <c r="Y103" s="46"/>
      <c r="Z103" s="46">
        <f>Z6</f>
        <v>0.81780053662605068</v>
      </c>
      <c r="AA103" s="46">
        <f t="shared" ref="AA103:AD103" si="70">AA6</f>
        <v>0.79883770212026628</v>
      </c>
      <c r="AB103" s="46">
        <f t="shared" si="70"/>
        <v>0.77647318045602376</v>
      </c>
      <c r="AC103" s="46">
        <f t="shared" si="70"/>
        <v>0.83695566819794931</v>
      </c>
      <c r="AD103" s="46">
        <f t="shared" si="70"/>
        <v>0.80833003928965508</v>
      </c>
      <c r="AE103" s="46">
        <f t="shared" ref="AE103:AI103" si="71">AE6</f>
        <v>0.77654491454162822</v>
      </c>
      <c r="AF103" s="46">
        <f t="shared" si="71"/>
        <v>0.77537888053131476</v>
      </c>
      <c r="AG103" s="46">
        <f t="shared" si="71"/>
        <v>0.81822401631458408</v>
      </c>
      <c r="AH103" s="46">
        <f t="shared" si="71"/>
        <v>0.8503592886289788</v>
      </c>
      <c r="AI103" s="46">
        <f t="shared" si="71"/>
        <v>0.84211466289410686</v>
      </c>
      <c r="AJ103" s="46">
        <f t="shared" ref="AJ103:AK103" si="72">AJ6</f>
        <v>0.8122265851030156</v>
      </c>
      <c r="AK103" s="46">
        <f t="shared" si="72"/>
        <v>0.83324822337758164</v>
      </c>
    </row>
    <row r="104" spans="1:37" s="11" customFormat="1">
      <c r="B104" s="46" t="s">
        <v>252</v>
      </c>
      <c r="C104" s="46"/>
      <c r="D104" s="9">
        <f>D48/'INPUT DATA'!$J$3</f>
        <v>5720</v>
      </c>
      <c r="E104" s="9">
        <f>E48/'INPUT DATA'!$J$3</f>
        <v>11471</v>
      </c>
      <c r="F104" s="9">
        <f>F48/'INPUT DATA'!$J$3</f>
        <v>17214</v>
      </c>
      <c r="G104" s="9">
        <f>G48/'INPUT DATA'!$J$3</f>
        <v>20654</v>
      </c>
      <c r="H104" s="9">
        <f>H48/'INPUT DATA'!$J$3</f>
        <v>22918</v>
      </c>
      <c r="I104" s="9">
        <f>I48/'INPUT DATA'!$J$3</f>
        <v>25307.999999999996</v>
      </c>
      <c r="M104" s="46" t="s">
        <v>252</v>
      </c>
      <c r="N104" s="46"/>
      <c r="O104" s="9">
        <f>O48/'INPUT DATA'!$J$3</f>
        <v>11084</v>
      </c>
      <c r="P104" s="9">
        <f>P48/'INPUT DATA'!$J$3</f>
        <v>11836.999999999998</v>
      </c>
      <c r="Q104" s="9">
        <f>Q48/'INPUT DATA'!$J$3</f>
        <v>20420</v>
      </c>
      <c r="R104" s="9">
        <f>R48/'INPUT DATA'!$J$3</f>
        <v>21147</v>
      </c>
      <c r="S104" s="9">
        <f>S48/'INPUT DATA'!$J$3</f>
        <v>20980</v>
      </c>
      <c r="X104" s="46" t="s">
        <v>252</v>
      </c>
      <c r="Y104" s="46"/>
      <c r="Z104" s="9">
        <f>Z48/'INPUT DATA'!$J$3</f>
        <v>18743.988299469082</v>
      </c>
      <c r="AA104" s="9">
        <f>AA48/'INPUT DATA'!$J$3</f>
        <v>18309.360132596503</v>
      </c>
      <c r="AB104" s="9">
        <f>AB48/'INPUT DATA'!$J$3</f>
        <v>17796.765296052065</v>
      </c>
      <c r="AC104" s="9">
        <f>AC48/'INPUT DATA'!$J$3</f>
        <v>19183.023915096997</v>
      </c>
      <c r="AD104" s="9">
        <f>AD48/'INPUT DATA'!$J$3</f>
        <v>18526.924500518893</v>
      </c>
      <c r="AE104" s="9">
        <f>AE48/'INPUT DATA'!$J$3</f>
        <v>17798.409441294119</v>
      </c>
      <c r="AF104" s="9">
        <f>AF48/'INPUT DATA'!$J$3</f>
        <v>17771.683941777734</v>
      </c>
      <c r="AG104" s="9">
        <f>AG48/'INPUT DATA'!$J$3</f>
        <v>18753.694453930268</v>
      </c>
      <c r="AH104" s="9">
        <f>AH48/'INPUT DATA'!$J$3</f>
        <v>19490.234895376194</v>
      </c>
      <c r="AI104" s="9">
        <f>AI48/'INPUT DATA'!$J$3</f>
        <v>19301.26807353293</v>
      </c>
      <c r="AJ104" s="9">
        <f>AJ48/'INPUT DATA'!$J$3</f>
        <v>18616.233330561117</v>
      </c>
      <c r="AK104" s="9">
        <f>AK48/'INPUT DATA'!$J$3</f>
        <v>19098.049279814171</v>
      </c>
    </row>
    <row r="105" spans="1:37" s="11" customFormat="1">
      <c r="B105" s="46"/>
      <c r="C105" s="46"/>
      <c r="D105" s="9"/>
      <c r="E105" s="9"/>
      <c r="F105" s="9"/>
      <c r="G105" s="9"/>
      <c r="H105" s="9"/>
      <c r="I105" s="9"/>
      <c r="M105" s="46"/>
      <c r="N105" s="46"/>
      <c r="O105" s="9"/>
      <c r="P105" s="9"/>
      <c r="Q105" s="9"/>
      <c r="R105" s="9"/>
      <c r="S105" s="9"/>
      <c r="X105" s="46"/>
      <c r="Y105" s="46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>
      <c r="A106" s="11"/>
      <c r="B106" s="64" t="s">
        <v>237</v>
      </c>
      <c r="C106" s="11"/>
      <c r="D106" s="11"/>
      <c r="E106" s="11"/>
      <c r="F106" s="11"/>
      <c r="G106" s="11"/>
      <c r="M106" s="64" t="s">
        <v>237</v>
      </c>
      <c r="N106" s="11"/>
      <c r="O106" s="11"/>
      <c r="P106" s="11"/>
      <c r="Q106" s="11"/>
      <c r="R106" s="11"/>
      <c r="S106" s="11"/>
      <c r="X106" s="64" t="s">
        <v>237</v>
      </c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>
      <c r="A107" s="11"/>
      <c r="B107" s="11" t="str">
        <f>B8</f>
        <v>Engine Speed</v>
      </c>
      <c r="C107" s="11" t="str">
        <f t="shared" ref="C107:I107" si="73">C8</f>
        <v>rpm</v>
      </c>
      <c r="D107" s="11">
        <f t="shared" si="73"/>
        <v>57.4</v>
      </c>
      <c r="E107" s="11">
        <f t="shared" si="73"/>
        <v>72.3</v>
      </c>
      <c r="F107" s="11">
        <f t="shared" si="73"/>
        <v>82.9</v>
      </c>
      <c r="G107" s="11">
        <f t="shared" si="73"/>
        <v>87.9</v>
      </c>
      <c r="H107" s="11">
        <f t="shared" si="73"/>
        <v>91</v>
      </c>
      <c r="I107" s="11">
        <f t="shared" si="73"/>
        <v>94</v>
      </c>
      <c r="M107" s="11" t="str">
        <f>M8</f>
        <v>Engine Speed</v>
      </c>
      <c r="N107" s="11" t="str">
        <f t="shared" ref="N107:O107" si="74">N8</f>
        <v>rpm</v>
      </c>
      <c r="O107" s="11">
        <f t="shared" si="74"/>
        <v>74.89</v>
      </c>
      <c r="P107" s="11">
        <f t="shared" ref="P107:S107" si="75">P8</f>
        <v>74.900000000000006</v>
      </c>
      <c r="Q107" s="11">
        <f t="shared" si="75"/>
        <v>90.71</v>
      </c>
      <c r="R107" s="11">
        <f t="shared" si="75"/>
        <v>90.7</v>
      </c>
      <c r="S107" s="11">
        <f t="shared" si="75"/>
        <v>90.8</v>
      </c>
      <c r="X107" s="11" t="str">
        <f>X8</f>
        <v>Engine Speed</v>
      </c>
      <c r="Y107" s="11" t="str">
        <f t="shared" ref="Y107:AD107" si="76">Y8</f>
        <v>rpm</v>
      </c>
      <c r="Z107" s="11">
        <f t="shared" si="76"/>
        <v>88.233333333333334</v>
      </c>
      <c r="AA107" s="11">
        <f t="shared" si="76"/>
        <v>90.45</v>
      </c>
      <c r="AB107" s="11">
        <f t="shared" si="76"/>
        <v>89.100000000000009</v>
      </c>
      <c r="AC107" s="11">
        <f t="shared" si="76"/>
        <v>91.350000000000009</v>
      </c>
      <c r="AD107" s="11">
        <f t="shared" si="76"/>
        <v>90.649999999999991</v>
      </c>
      <c r="AE107" s="11">
        <f>AE8</f>
        <v>89.766666666666652</v>
      </c>
      <c r="AF107" s="11">
        <f>AF8</f>
        <v>89.083333333333329</v>
      </c>
      <c r="AG107" s="11">
        <f>AG8</f>
        <v>90.25</v>
      </c>
      <c r="AH107" s="11">
        <f>AH8</f>
        <v>89.483333333333334</v>
      </c>
      <c r="AI107" s="11">
        <f>AI8</f>
        <v>89.316666666666663</v>
      </c>
      <c r="AJ107" s="11">
        <f t="shared" ref="AJ107:AK107" si="77">AJ8</f>
        <v>89.483333333333334</v>
      </c>
      <c r="AK107" s="11">
        <f t="shared" si="77"/>
        <v>87</v>
      </c>
    </row>
    <row r="108" spans="1:37">
      <c r="A108" s="11"/>
      <c r="B108" s="16" t="str">
        <f>B57</f>
        <v>IMEP</v>
      </c>
      <c r="C108" s="16" t="str">
        <f t="shared" ref="C108:I108" si="78">C57</f>
        <v>bar</v>
      </c>
      <c r="D108" s="16">
        <f t="shared" si="78"/>
        <v>7.9136484901711039</v>
      </c>
      <c r="E108" s="16">
        <f t="shared" si="78"/>
        <v>11.996009974073447</v>
      </c>
      <c r="F108" s="16">
        <f t="shared" si="78"/>
        <v>15.388104552764926</v>
      </c>
      <c r="G108" s="16">
        <f t="shared" si="78"/>
        <v>17.269065608443821</v>
      </c>
      <c r="H108" s="16">
        <f t="shared" si="78"/>
        <v>18.446576263229034</v>
      </c>
      <c r="I108" s="16">
        <f t="shared" si="78"/>
        <v>19.65196030982408</v>
      </c>
      <c r="M108" s="16" t="str">
        <f>M57</f>
        <v>IMEP</v>
      </c>
      <c r="N108" s="16" t="str">
        <f t="shared" ref="N108:O108" si="79">N57</f>
        <v>bar</v>
      </c>
      <c r="O108" s="16">
        <f t="shared" si="79"/>
        <v>0</v>
      </c>
      <c r="P108" s="16">
        <f t="shared" ref="P108:S108" si="80">P57</f>
        <v>0</v>
      </c>
      <c r="Q108" s="16">
        <f t="shared" si="80"/>
        <v>0</v>
      </c>
      <c r="R108" s="16">
        <f t="shared" si="80"/>
        <v>0</v>
      </c>
      <c r="S108" s="16">
        <f t="shared" si="80"/>
        <v>0</v>
      </c>
      <c r="X108" s="16" t="str">
        <f>X57</f>
        <v>IMEP</v>
      </c>
      <c r="Y108" s="16" t="str">
        <f t="shared" ref="Y108:AD108" si="81">Y57</f>
        <v>bar</v>
      </c>
      <c r="Z108" s="16">
        <f t="shared" si="81"/>
        <v>15.715010568681349</v>
      </c>
      <c r="AA108" s="16">
        <f t="shared" si="81"/>
        <v>15.022264786406216</v>
      </c>
      <c r="AB108" s="16">
        <f t="shared" si="81"/>
        <v>14.836153774485394</v>
      </c>
      <c r="AC108" s="16">
        <f t="shared" si="81"/>
        <v>15.545975124405166</v>
      </c>
      <c r="AD108" s="16">
        <f t="shared" si="81"/>
        <v>15.157260503827672</v>
      </c>
      <c r="AE108" s="16">
        <f>AE57</f>
        <v>14.735458043579818</v>
      </c>
      <c r="AF108" s="16">
        <f>AF57</f>
        <v>14.819467769402769</v>
      </c>
      <c r="AG108" s="16">
        <f>AG57</f>
        <v>15.393923017955338</v>
      </c>
      <c r="AH108" s="16">
        <f>AH57</f>
        <v>16.086585096936503</v>
      </c>
      <c r="AI108" s="16">
        <f>AI57</f>
        <v>15.968391722147295</v>
      </c>
      <c r="AJ108" s="16">
        <f t="shared" ref="AJ108:AK108" si="82">AJ57</f>
        <v>15.41077384828011</v>
      </c>
      <c r="AK108" s="16">
        <f t="shared" si="82"/>
        <v>16.204989287287564</v>
      </c>
    </row>
    <row r="109" spans="1:37">
      <c r="A109" s="11"/>
      <c r="B109" s="11"/>
      <c r="C109" s="11"/>
      <c r="D109" s="11"/>
      <c r="E109" s="11"/>
      <c r="F109" s="11"/>
      <c r="G109" s="11"/>
      <c r="M109" s="11"/>
      <c r="N109" s="11"/>
      <c r="O109" s="11"/>
      <c r="P109" s="11"/>
      <c r="Q109" s="11"/>
      <c r="R109" s="11"/>
      <c r="S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>
      <c r="A110" s="11"/>
      <c r="B110" s="4" t="s">
        <v>238</v>
      </c>
      <c r="C110" s="11"/>
      <c r="D110" s="11"/>
      <c r="E110" s="11"/>
      <c r="F110" s="11"/>
      <c r="G110" s="11"/>
      <c r="M110" s="4" t="s">
        <v>238</v>
      </c>
      <c r="N110" s="11"/>
      <c r="O110" s="11"/>
      <c r="P110" s="11"/>
      <c r="Q110" s="11"/>
      <c r="R110" s="11"/>
      <c r="S110" s="11"/>
      <c r="X110" s="4" t="s">
        <v>238</v>
      </c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>
      <c r="A111" s="11"/>
      <c r="B111" s="11" t="str">
        <f>B16</f>
        <v>Blower Inlet Temperature</v>
      </c>
      <c r="C111" s="11" t="str">
        <f t="shared" ref="C111:I111" si="83">C16</f>
        <v>°C</v>
      </c>
      <c r="D111" s="11">
        <f t="shared" si="83"/>
        <v>13.5</v>
      </c>
      <c r="E111" s="11">
        <f t="shared" si="83"/>
        <v>15.5</v>
      </c>
      <c r="F111" s="11">
        <f t="shared" si="83"/>
        <v>15.5</v>
      </c>
      <c r="G111" s="11">
        <f t="shared" si="83"/>
        <v>16</v>
      </c>
      <c r="H111" s="11">
        <f t="shared" si="83"/>
        <v>17.5</v>
      </c>
      <c r="I111" s="11">
        <f t="shared" si="83"/>
        <v>18</v>
      </c>
      <c r="M111" s="11" t="str">
        <f>M16</f>
        <v>Blower Inlet Temperature</v>
      </c>
      <c r="N111" s="11" t="str">
        <f t="shared" ref="N111:O111" si="84">N16</f>
        <v>°C</v>
      </c>
      <c r="O111" s="11">
        <f t="shared" si="84"/>
        <v>37.5</v>
      </c>
      <c r="P111" s="11">
        <f t="shared" ref="P111:S111" si="85">P16</f>
        <v>36.5</v>
      </c>
      <c r="Q111" s="11">
        <f t="shared" si="85"/>
        <v>36.75</v>
      </c>
      <c r="R111" s="11">
        <f t="shared" si="85"/>
        <v>37</v>
      </c>
      <c r="S111" s="11">
        <f t="shared" si="85"/>
        <v>37</v>
      </c>
      <c r="X111" s="11" t="str">
        <f>X16</f>
        <v>Blower Inlet Temperature</v>
      </c>
      <c r="Y111" s="11" t="str">
        <f t="shared" ref="Y111:AD111" si="86">Y16</f>
        <v>°C</v>
      </c>
      <c r="Z111" s="11">
        <f t="shared" si="86"/>
        <v>31</v>
      </c>
      <c r="AA111" s="11">
        <f t="shared" si="86"/>
        <v>24</v>
      </c>
      <c r="AB111" s="11">
        <f t="shared" si="86"/>
        <v>31</v>
      </c>
      <c r="AC111" s="11">
        <f t="shared" si="86"/>
        <v>26</v>
      </c>
      <c r="AD111" s="11">
        <f t="shared" si="86"/>
        <v>41</v>
      </c>
      <c r="AE111" s="11">
        <f>AE16</f>
        <v>34</v>
      </c>
      <c r="AF111" s="11">
        <f>AF16</f>
        <v>37</v>
      </c>
      <c r="AG111" s="11">
        <f>AG16</f>
        <v>41</v>
      </c>
      <c r="AH111" s="11">
        <f>AH16</f>
        <v>37</v>
      </c>
      <c r="AI111" s="11">
        <f>AI16</f>
        <v>38</v>
      </c>
      <c r="AJ111" s="11">
        <f t="shared" ref="AJ111:AK111" si="87">AJ16</f>
        <v>35</v>
      </c>
      <c r="AK111" s="11">
        <f t="shared" si="87"/>
        <v>32</v>
      </c>
    </row>
    <row r="112" spans="1:37">
      <c r="A112" s="11"/>
      <c r="B112" s="11" t="str">
        <f>B28</f>
        <v>Air Cooler CW Inlet Temp.</v>
      </c>
      <c r="C112" s="11" t="str">
        <f t="shared" ref="C112:I112" si="88">C28</f>
        <v>°C</v>
      </c>
      <c r="D112" s="11">
        <f t="shared" si="88"/>
        <v>24</v>
      </c>
      <c r="E112" s="11">
        <f t="shared" si="88"/>
        <v>25</v>
      </c>
      <c r="F112" s="11">
        <f t="shared" si="88"/>
        <v>25</v>
      </c>
      <c r="G112" s="11">
        <f t="shared" si="88"/>
        <v>26</v>
      </c>
      <c r="H112" s="11">
        <f t="shared" si="88"/>
        <v>27</v>
      </c>
      <c r="I112" s="11">
        <f t="shared" si="88"/>
        <v>29</v>
      </c>
      <c r="M112" s="11" t="str">
        <f>M28</f>
        <v>Air Cooler CW Inlet Temp.</v>
      </c>
      <c r="N112" s="11" t="str">
        <f t="shared" ref="N112:O112" si="89">N28</f>
        <v>°C</v>
      </c>
      <c r="O112" s="11">
        <f t="shared" si="89"/>
        <v>36</v>
      </c>
      <c r="P112" s="11">
        <f t="shared" ref="P112:S112" si="90">P28</f>
        <v>36</v>
      </c>
      <c r="Q112" s="11">
        <f t="shared" si="90"/>
        <v>36</v>
      </c>
      <c r="R112" s="11">
        <f t="shared" si="90"/>
        <v>36</v>
      </c>
      <c r="S112" s="11">
        <f t="shared" si="90"/>
        <v>36</v>
      </c>
      <c r="X112" s="11" t="str">
        <f>X28</f>
        <v>Air Cooler CW Inlet Temp.</v>
      </c>
      <c r="Y112" s="11" t="str">
        <f t="shared" ref="Y112:AD112" si="91">Y28</f>
        <v>°C</v>
      </c>
      <c r="Z112" s="11">
        <f t="shared" si="91"/>
        <v>36</v>
      </c>
      <c r="AA112" s="11">
        <f t="shared" si="91"/>
        <v>34</v>
      </c>
      <c r="AB112" s="11">
        <f t="shared" si="91"/>
        <v>35</v>
      </c>
      <c r="AC112" s="11">
        <f t="shared" si="91"/>
        <v>34</v>
      </c>
      <c r="AD112" s="11">
        <f t="shared" si="91"/>
        <v>37</v>
      </c>
      <c r="AE112" s="11">
        <f>AE28</f>
        <v>34</v>
      </c>
      <c r="AF112" s="11">
        <f>AF28</f>
        <v>36</v>
      </c>
      <c r="AG112" s="11">
        <f>AG28</f>
        <v>34</v>
      </c>
      <c r="AH112" s="11">
        <f>AH28</f>
        <v>35</v>
      </c>
      <c r="AI112" s="11">
        <f>AI28</f>
        <v>35</v>
      </c>
      <c r="AJ112" s="11">
        <f t="shared" ref="AJ112:AK112" si="92">AJ28</f>
        <v>35</v>
      </c>
      <c r="AK112" s="11">
        <f t="shared" si="92"/>
        <v>35</v>
      </c>
    </row>
    <row r="113" spans="1:37">
      <c r="A113" s="11"/>
      <c r="B113" s="16" t="str">
        <f>B61</f>
        <v>Pmax</v>
      </c>
      <c r="C113" s="16" t="str">
        <f t="shared" ref="C113:I113" si="93">C61</f>
        <v>bar</v>
      </c>
      <c r="D113" s="16">
        <f t="shared" si="93"/>
        <v>76.17378400072667</v>
      </c>
      <c r="E113" s="16">
        <f t="shared" si="93"/>
        <v>105.50671736689</v>
      </c>
      <c r="F113" s="16">
        <f t="shared" si="93"/>
        <v>135.67298406638665</v>
      </c>
      <c r="G113" s="16">
        <f t="shared" si="93"/>
        <v>151.00605075493999</v>
      </c>
      <c r="H113" s="16">
        <f t="shared" si="93"/>
        <v>151.00565078777001</v>
      </c>
      <c r="I113" s="16">
        <f t="shared" si="93"/>
        <v>151.33791754198333</v>
      </c>
      <c r="M113" s="16" t="str">
        <f>M61</f>
        <v>Pmax</v>
      </c>
      <c r="N113" s="16" t="str">
        <f t="shared" ref="N113:O113" si="94">N61</f>
        <v>bar</v>
      </c>
      <c r="O113" s="16">
        <f t="shared" si="94"/>
        <v>99.170584263366678</v>
      </c>
      <c r="P113" s="16">
        <f t="shared" ref="P113:S113" si="95">P61</f>
        <v>101.67058426336668</v>
      </c>
      <c r="Q113" s="16">
        <f t="shared" si="95"/>
        <v>135.17058426336666</v>
      </c>
      <c r="R113" s="16">
        <f t="shared" si="95"/>
        <v>142.00391759670001</v>
      </c>
      <c r="S113" s="16">
        <f t="shared" si="95"/>
        <v>141.17058426336666</v>
      </c>
      <c r="X113" s="16" t="str">
        <f>X61</f>
        <v>Pmax</v>
      </c>
      <c r="Y113" s="16" t="str">
        <f t="shared" ref="Y113:AD113" si="96">Y61</f>
        <v>bar</v>
      </c>
      <c r="Z113" s="16">
        <f t="shared" si="96"/>
        <v>135.36533333333335</v>
      </c>
      <c r="AA113" s="16">
        <f t="shared" si="96"/>
        <v>138.69666666666666</v>
      </c>
      <c r="AB113" s="16">
        <f t="shared" si="96"/>
        <v>135.51300000000001</v>
      </c>
      <c r="AC113" s="16">
        <f t="shared" si="96"/>
        <v>139.542</v>
      </c>
      <c r="AD113" s="16">
        <f t="shared" si="96"/>
        <v>134.52099999999999</v>
      </c>
      <c r="AE113" s="16">
        <f>AE61</f>
        <v>134.35733333333334</v>
      </c>
      <c r="AF113" s="16">
        <f>AF61</f>
        <v>132.02000000000001</v>
      </c>
      <c r="AG113" s="16">
        <f>AG61</f>
        <v>134.02199999999999</v>
      </c>
      <c r="AH113" s="16">
        <f>AH61</f>
        <v>136.511</v>
      </c>
      <c r="AI113" s="16">
        <f>AI61</f>
        <v>143.52099999999999</v>
      </c>
      <c r="AJ113" s="16">
        <f t="shared" ref="AJ113:AK113" si="97">AJ61</f>
        <v>142.51900000000001</v>
      </c>
      <c r="AK113" s="16">
        <f t="shared" si="97"/>
        <v>137.35733333333334</v>
      </c>
    </row>
    <row r="114" spans="1:37">
      <c r="A114" s="11"/>
      <c r="B114" s="11" t="s">
        <v>239</v>
      </c>
      <c r="C114" s="11"/>
      <c r="D114" s="11">
        <f>(D111-25)*0.002198*D113</f>
        <v>-1.9254447381863677</v>
      </c>
      <c r="E114" s="11">
        <f t="shared" ref="E114:I114" si="98">(E111-25)*0.002198*E113</f>
        <v>-2.20308576533803</v>
      </c>
      <c r="F114" s="11">
        <f t="shared" si="98"/>
        <v>-2.8329875802902196</v>
      </c>
      <c r="G114" s="11">
        <f t="shared" si="98"/>
        <v>-2.9872016960342225</v>
      </c>
      <c r="H114" s="11">
        <f t="shared" si="98"/>
        <v>-2.4893281532363885</v>
      </c>
      <c r="I114" s="11">
        <f t="shared" si="98"/>
        <v>-2.3284851993009554</v>
      </c>
      <c r="M114" s="11" t="s">
        <v>239</v>
      </c>
      <c r="N114" s="11"/>
      <c r="O114" s="11">
        <f>(O111-25)*0.002198*O113</f>
        <v>2.7247118026359995</v>
      </c>
      <c r="P114" s="11">
        <f t="shared" ref="P114:S114" si="99">(P111-25)*0.002198*P113</f>
        <v>2.5699273584251192</v>
      </c>
      <c r="Q114" s="11">
        <f t="shared" si="99"/>
        <v>3.4909830944778388</v>
      </c>
      <c r="R114" s="11">
        <f t="shared" si="99"/>
        <v>3.7454953305305589</v>
      </c>
      <c r="S114" s="11">
        <f t="shared" si="99"/>
        <v>3.7235153305305588</v>
      </c>
      <c r="X114" s="11" t="s">
        <v>239</v>
      </c>
      <c r="Y114" s="11"/>
      <c r="Z114" s="11">
        <f>(Z111-25)*0.002198*Z113</f>
        <v>1.7851980160000001</v>
      </c>
      <c r="AA114" s="11">
        <f t="shared" ref="AA114" si="100">(AA111-25)*0.002198*AA113</f>
        <v>-0.30485527333333329</v>
      </c>
      <c r="AB114" s="11">
        <f t="shared" ref="AB114" si="101">(AB111-25)*0.002198*AB113</f>
        <v>1.7871454439999999</v>
      </c>
      <c r="AC114" s="11">
        <f t="shared" ref="AC114" si="102">(AC111-25)*0.002198*AC113</f>
        <v>0.30671331599999996</v>
      </c>
      <c r="AD114" s="11">
        <f t="shared" ref="AD114" si="103">(AD111-25)*0.002198*AD113</f>
        <v>4.730834527999999</v>
      </c>
      <c r="AE114" s="11">
        <f t="shared" ref="AE114" si="104">(AE111-25)*0.002198*AE113</f>
        <v>2.6578567679999998</v>
      </c>
      <c r="AF114" s="11">
        <f t="shared" ref="AF114" si="105">(AF111-25)*0.002198*AF113</f>
        <v>3.4821595199999997</v>
      </c>
      <c r="AG114" s="11">
        <f t="shared" ref="AG114" si="106">(AG111-25)*0.002198*AG113</f>
        <v>4.7132856959999998</v>
      </c>
      <c r="AH114" s="11">
        <f t="shared" ref="AH114" si="107">(AH111-25)*0.002198*AH113</f>
        <v>3.6006141359999995</v>
      </c>
      <c r="AI114" s="11">
        <f t="shared" ref="AI114:AK114" si="108">(AI111-25)*0.002198*AI113</f>
        <v>4.1009690539999992</v>
      </c>
      <c r="AJ114" s="11">
        <f t="shared" si="108"/>
        <v>3.1325676200000001</v>
      </c>
      <c r="AK114" s="11">
        <f t="shared" si="108"/>
        <v>2.1133799306666665</v>
      </c>
    </row>
    <row r="115" spans="1:37">
      <c r="A115" s="11"/>
      <c r="B115" s="11" t="s">
        <v>240</v>
      </c>
      <c r="C115" s="11"/>
      <c r="D115" s="11">
        <f>(D112-25)*(-0.00081)*D113</f>
        <v>6.17007650405886E-2</v>
      </c>
      <c r="E115" s="11">
        <f t="shared" ref="E115:I115" si="109">(E112-25)*(-0.00081)*E113</f>
        <v>0</v>
      </c>
      <c r="F115" s="11">
        <f t="shared" si="109"/>
        <v>0</v>
      </c>
      <c r="G115" s="11">
        <f t="shared" si="109"/>
        <v>-0.12231490111150138</v>
      </c>
      <c r="H115" s="11">
        <f t="shared" si="109"/>
        <v>-0.24462915427618739</v>
      </c>
      <c r="I115" s="11">
        <f t="shared" si="109"/>
        <v>-0.49033485283602596</v>
      </c>
      <c r="M115" s="11" t="s">
        <v>240</v>
      </c>
      <c r="N115" s="11"/>
      <c r="O115" s="11">
        <f>(O112-25)*(-0.00081)*O113</f>
        <v>-0.88360990578659704</v>
      </c>
      <c r="P115" s="11">
        <f t="shared" ref="P115:S115" si="110">(P112-25)*(-0.00081)*P113</f>
        <v>-0.90588490578659708</v>
      </c>
      <c r="Q115" s="11">
        <f t="shared" si="110"/>
        <v>-1.2043699057865969</v>
      </c>
      <c r="R115" s="11">
        <f t="shared" si="110"/>
        <v>-1.2652549057865969</v>
      </c>
      <c r="S115" s="11">
        <f t="shared" si="110"/>
        <v>-1.2578299057865969</v>
      </c>
      <c r="X115" s="11" t="s">
        <v>240</v>
      </c>
      <c r="Y115" s="11"/>
      <c r="Z115" s="11">
        <f>(Z112-25)*(-0.00081)*Z113</f>
        <v>-1.2061051200000001</v>
      </c>
      <c r="AA115" s="11">
        <f t="shared" ref="AA115:AD115" si="111">(AA112-25)*(-0.00081)*AA113</f>
        <v>-1.0110986999999998</v>
      </c>
      <c r="AB115" s="11">
        <f t="shared" si="111"/>
        <v>-1.0976553</v>
      </c>
      <c r="AC115" s="11">
        <f t="shared" si="111"/>
        <v>-1.01726118</v>
      </c>
      <c r="AD115" s="11">
        <f t="shared" si="111"/>
        <v>-1.3075441199999998</v>
      </c>
      <c r="AE115" s="11">
        <f t="shared" ref="AE115:AI115" si="112">(AE112-25)*(-0.00081)*AE113</f>
        <v>-0.97946496000000005</v>
      </c>
      <c r="AF115" s="11">
        <f t="shared" si="112"/>
        <v>-1.1762982</v>
      </c>
      <c r="AG115" s="11">
        <f t="shared" si="112"/>
        <v>-0.97702037999999991</v>
      </c>
      <c r="AH115" s="11">
        <f t="shared" si="112"/>
        <v>-1.1057390999999999</v>
      </c>
      <c r="AI115" s="11">
        <f t="shared" si="112"/>
        <v>-1.1625200999999998</v>
      </c>
      <c r="AJ115" s="11">
        <f t="shared" ref="AJ115:AK115" si="113">(AJ112-25)*(-0.00081)*AJ113</f>
        <v>-1.1544038999999999</v>
      </c>
      <c r="AK115" s="11">
        <f t="shared" si="113"/>
        <v>-1.1125944000000001</v>
      </c>
    </row>
    <row r="116" spans="1:37">
      <c r="A116" s="11"/>
      <c r="B116" s="11" t="s">
        <v>241</v>
      </c>
      <c r="C116" s="11" t="s">
        <v>20</v>
      </c>
      <c r="D116" s="16">
        <f>D113+D114+D115</f>
        <v>74.310040027580882</v>
      </c>
      <c r="E116" s="16">
        <f t="shared" ref="E116:I116" si="114">E113+E114+E115</f>
        <v>103.30363160155197</v>
      </c>
      <c r="F116" s="16">
        <f t="shared" si="114"/>
        <v>132.83999648609642</v>
      </c>
      <c r="G116" s="16">
        <f t="shared" si="114"/>
        <v>147.89653415779426</v>
      </c>
      <c r="H116" s="16">
        <f t="shared" si="114"/>
        <v>148.27169348025743</v>
      </c>
      <c r="I116" s="16">
        <f t="shared" si="114"/>
        <v>148.51909748984636</v>
      </c>
      <c r="M116" s="11" t="s">
        <v>241</v>
      </c>
      <c r="N116" s="11" t="s">
        <v>20</v>
      </c>
      <c r="O116" s="16">
        <f>O113+O114+O115</f>
        <v>101.01168616021607</v>
      </c>
      <c r="P116" s="16">
        <f t="shared" ref="P116:S116" si="115">P113+P114+P115</f>
        <v>103.3346267160052</v>
      </c>
      <c r="Q116" s="16">
        <f t="shared" si="115"/>
        <v>137.4571974520579</v>
      </c>
      <c r="R116" s="16">
        <f t="shared" si="115"/>
        <v>144.48415802144396</v>
      </c>
      <c r="S116" s="16">
        <f t="shared" si="115"/>
        <v>143.63626968811062</v>
      </c>
      <c r="X116" s="11" t="s">
        <v>241</v>
      </c>
      <c r="Y116" s="11" t="s">
        <v>20</v>
      </c>
      <c r="Z116" s="16">
        <f>Z113+Z114+Z115</f>
        <v>135.94442622933337</v>
      </c>
      <c r="AA116" s="16">
        <f t="shared" ref="AA116" si="116">AA113+AA114+AA115</f>
        <v>137.38071269333332</v>
      </c>
      <c r="AB116" s="16">
        <f t="shared" ref="AB116" si="117">AB113+AB114+AB115</f>
        <v>136.202490144</v>
      </c>
      <c r="AC116" s="16">
        <f t="shared" ref="AC116" si="118">AC113+AC114+AC115</f>
        <v>138.83145213600002</v>
      </c>
      <c r="AD116" s="16">
        <f t="shared" ref="AD116" si="119">AD113+AD114+AD115</f>
        <v>137.944290408</v>
      </c>
      <c r="AE116" s="16">
        <f t="shared" ref="AE116" si="120">AE113+AE114+AE115</f>
        <v>136.03572514133333</v>
      </c>
      <c r="AF116" s="16">
        <f t="shared" ref="AF116" si="121">AF113+AF114+AF115</f>
        <v>134.32586132000003</v>
      </c>
      <c r="AG116" s="16">
        <f t="shared" ref="AG116" si="122">AG113+AG114+AG115</f>
        <v>137.75826531600001</v>
      </c>
      <c r="AH116" s="16">
        <f t="shared" ref="AH116" si="123">AH113+AH114+AH115</f>
        <v>139.00587503599999</v>
      </c>
      <c r="AI116" s="16">
        <f t="shared" ref="AI116:AK116" si="124">AI113+AI114+AI115</f>
        <v>146.45944895399998</v>
      </c>
      <c r="AJ116" s="16">
        <f t="shared" si="124"/>
        <v>144.49716372</v>
      </c>
      <c r="AK116" s="16">
        <f t="shared" si="124"/>
        <v>138.35811886400001</v>
      </c>
    </row>
    <row r="117" spans="1:37">
      <c r="A117" s="11"/>
      <c r="B117" s="11"/>
      <c r="C117" s="11"/>
      <c r="D117" s="11"/>
      <c r="E117" s="11"/>
      <c r="F117" s="11"/>
      <c r="G117" s="11"/>
      <c r="M117" s="11"/>
      <c r="N117" s="11"/>
      <c r="O117" s="11"/>
      <c r="P117" s="11"/>
      <c r="Q117" s="11"/>
      <c r="R117" s="11"/>
      <c r="S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>
      <c r="A118" s="11"/>
      <c r="B118" s="4" t="s">
        <v>242</v>
      </c>
      <c r="C118" s="11"/>
      <c r="D118" s="11"/>
      <c r="E118" s="11"/>
      <c r="F118" s="11"/>
      <c r="G118" s="11"/>
      <c r="M118" s="4" t="s">
        <v>242</v>
      </c>
      <c r="N118" s="11"/>
      <c r="O118" s="11"/>
      <c r="P118" s="11"/>
      <c r="Q118" s="11"/>
      <c r="R118" s="11"/>
      <c r="S118" s="11"/>
      <c r="X118" s="4" t="s">
        <v>242</v>
      </c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>
      <c r="A119" s="11"/>
      <c r="B119" s="16" t="str">
        <f>B12</f>
        <v>Fuel Pump Index</v>
      </c>
      <c r="C119" s="16" t="str">
        <f t="shared" ref="C119:I119" si="125">C12</f>
        <v>-</v>
      </c>
      <c r="D119" s="16">
        <f t="shared" si="125"/>
        <v>41.5</v>
      </c>
      <c r="E119" s="16">
        <f t="shared" si="125"/>
        <v>56.5</v>
      </c>
      <c r="F119" s="16">
        <f t="shared" si="125"/>
        <v>69.666666666666671</v>
      </c>
      <c r="G119" s="16">
        <f t="shared" si="125"/>
        <v>78.5</v>
      </c>
      <c r="H119" s="16">
        <f t="shared" si="125"/>
        <v>84.5</v>
      </c>
      <c r="I119" s="16">
        <f t="shared" si="125"/>
        <v>90.666666666666671</v>
      </c>
      <c r="M119" s="16" t="str">
        <f>M12</f>
        <v>Fuel Pump Index</v>
      </c>
      <c r="N119" s="16" t="str">
        <f t="shared" ref="N119:O119" si="126">N12</f>
        <v>-</v>
      </c>
      <c r="O119" s="16">
        <f t="shared" si="126"/>
        <v>62.166666666666664</v>
      </c>
      <c r="P119" s="16">
        <f t="shared" ref="P119:S119" si="127">P12</f>
        <v>64.5</v>
      </c>
      <c r="Q119" s="16">
        <f t="shared" si="127"/>
        <v>84.5</v>
      </c>
      <c r="R119" s="16">
        <f t="shared" si="127"/>
        <v>87.5</v>
      </c>
      <c r="S119" s="16">
        <f t="shared" si="127"/>
        <v>85.5</v>
      </c>
      <c r="X119" s="16" t="str">
        <f>X12</f>
        <v>Fuel Pump Index</v>
      </c>
      <c r="Y119" s="16" t="str">
        <f t="shared" ref="Y119:AD119" si="128">Y12</f>
        <v>-</v>
      </c>
      <c r="Z119" s="16">
        <f t="shared" si="128"/>
        <v>83.166666666666671</v>
      </c>
      <c r="AA119" s="16">
        <f t="shared" si="128"/>
        <v>81</v>
      </c>
      <c r="AB119" s="16">
        <f t="shared" si="128"/>
        <v>77.833333333333329</v>
      </c>
      <c r="AC119" s="16">
        <f t="shared" si="128"/>
        <v>86</v>
      </c>
      <c r="AD119" s="16">
        <f t="shared" si="128"/>
        <v>85.333333333333329</v>
      </c>
      <c r="AE119" s="16">
        <f>AE12</f>
        <v>82.833333333333329</v>
      </c>
      <c r="AF119" s="16">
        <f>AF12</f>
        <v>81.166666666666671</v>
      </c>
      <c r="AG119" s="16">
        <f>AG12</f>
        <v>85</v>
      </c>
      <c r="AH119" s="16">
        <f>AH12</f>
        <v>88.5</v>
      </c>
      <c r="AI119" s="16">
        <f>AI12</f>
        <v>88.166666666666671</v>
      </c>
      <c r="AJ119" s="16">
        <f t="shared" ref="AJ119:AK119" si="129">AJ12</f>
        <v>84.833333333333329</v>
      </c>
      <c r="AK119" s="16">
        <f t="shared" si="129"/>
        <v>80.666666666666671</v>
      </c>
    </row>
    <row r="120" spans="1:37">
      <c r="A120" s="11"/>
      <c r="B120" s="11"/>
      <c r="C120" s="11"/>
      <c r="D120" s="11"/>
      <c r="E120" s="11"/>
      <c r="F120" s="11"/>
      <c r="G120" s="11"/>
      <c r="M120" s="11"/>
      <c r="N120" s="11"/>
      <c r="O120" s="11"/>
      <c r="P120" s="11"/>
      <c r="Q120" s="11"/>
      <c r="R120" s="11"/>
      <c r="S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>
      <c r="A121" s="11"/>
      <c r="B121" s="4" t="s">
        <v>244</v>
      </c>
      <c r="C121" s="11"/>
      <c r="D121" s="11"/>
      <c r="E121" s="11"/>
      <c r="F121" s="11"/>
      <c r="G121" s="11"/>
      <c r="M121" s="4" t="s">
        <v>244</v>
      </c>
      <c r="N121" s="11"/>
      <c r="O121" s="11"/>
      <c r="P121" s="11"/>
      <c r="Q121" s="11"/>
      <c r="R121" s="11"/>
      <c r="S121" s="11"/>
      <c r="X121" s="4" t="s">
        <v>244</v>
      </c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>
      <c r="A122" s="11"/>
      <c r="B122" s="11" t="str">
        <f>B111</f>
        <v>Blower Inlet Temperature</v>
      </c>
      <c r="C122" s="11" t="str">
        <f t="shared" ref="C122:I122" si="130">C111</f>
        <v>°C</v>
      </c>
      <c r="D122" s="11">
        <f t="shared" si="130"/>
        <v>13.5</v>
      </c>
      <c r="E122" s="11">
        <f t="shared" si="130"/>
        <v>15.5</v>
      </c>
      <c r="F122" s="11">
        <f t="shared" si="130"/>
        <v>15.5</v>
      </c>
      <c r="G122" s="11">
        <f t="shared" si="130"/>
        <v>16</v>
      </c>
      <c r="H122" s="11">
        <f t="shared" si="130"/>
        <v>17.5</v>
      </c>
      <c r="I122" s="11">
        <f t="shared" si="130"/>
        <v>18</v>
      </c>
      <c r="M122" s="11" t="str">
        <f>M111</f>
        <v>Blower Inlet Temperature</v>
      </c>
      <c r="N122" s="11" t="str">
        <f t="shared" ref="N122:O122" si="131">N111</f>
        <v>°C</v>
      </c>
      <c r="O122" s="11">
        <f t="shared" si="131"/>
        <v>37.5</v>
      </c>
      <c r="P122" s="11">
        <f t="shared" ref="P122:S122" si="132">P111</f>
        <v>36.5</v>
      </c>
      <c r="Q122" s="11">
        <f t="shared" si="132"/>
        <v>36.75</v>
      </c>
      <c r="R122" s="11">
        <f t="shared" si="132"/>
        <v>37</v>
      </c>
      <c r="S122" s="11">
        <f t="shared" si="132"/>
        <v>37</v>
      </c>
      <c r="X122" s="11" t="str">
        <f>X111</f>
        <v>Blower Inlet Temperature</v>
      </c>
      <c r="Y122" s="11" t="str">
        <f t="shared" ref="Y122:AD122" si="133">Y111</f>
        <v>°C</v>
      </c>
      <c r="Z122" s="11">
        <f t="shared" si="133"/>
        <v>31</v>
      </c>
      <c r="AA122" s="11">
        <f t="shared" si="133"/>
        <v>24</v>
      </c>
      <c r="AB122" s="11">
        <f t="shared" si="133"/>
        <v>31</v>
      </c>
      <c r="AC122" s="11">
        <f t="shared" si="133"/>
        <v>26</v>
      </c>
      <c r="AD122" s="11">
        <f t="shared" si="133"/>
        <v>41</v>
      </c>
      <c r="AE122" s="11">
        <f t="shared" ref="AE122:AI122" si="134">AE111</f>
        <v>34</v>
      </c>
      <c r="AF122" s="11">
        <f t="shared" si="134"/>
        <v>37</v>
      </c>
      <c r="AG122" s="11">
        <f t="shared" si="134"/>
        <v>41</v>
      </c>
      <c r="AH122" s="11">
        <f t="shared" si="134"/>
        <v>37</v>
      </c>
      <c r="AI122" s="11">
        <f t="shared" si="134"/>
        <v>38</v>
      </c>
      <c r="AJ122" s="11">
        <f t="shared" ref="AJ122:AK122" si="135">AJ111</f>
        <v>35</v>
      </c>
      <c r="AK122" s="11">
        <f t="shared" si="135"/>
        <v>32</v>
      </c>
    </row>
    <row r="123" spans="1:37">
      <c r="A123" s="11"/>
      <c r="B123" s="11" t="str">
        <f>B112</f>
        <v>Air Cooler CW Inlet Temp.</v>
      </c>
      <c r="C123" s="11" t="str">
        <f t="shared" ref="C123:I123" si="136">C112</f>
        <v>°C</v>
      </c>
      <c r="D123" s="11">
        <f t="shared" si="136"/>
        <v>24</v>
      </c>
      <c r="E123" s="11">
        <f t="shared" si="136"/>
        <v>25</v>
      </c>
      <c r="F123" s="11">
        <f t="shared" si="136"/>
        <v>25</v>
      </c>
      <c r="G123" s="11">
        <f t="shared" si="136"/>
        <v>26</v>
      </c>
      <c r="H123" s="11">
        <f t="shared" si="136"/>
        <v>27</v>
      </c>
      <c r="I123" s="11">
        <f t="shared" si="136"/>
        <v>29</v>
      </c>
      <c r="M123" s="11" t="str">
        <f>M112</f>
        <v>Air Cooler CW Inlet Temp.</v>
      </c>
      <c r="N123" s="11" t="str">
        <f t="shared" ref="N123:O123" si="137">N112</f>
        <v>°C</v>
      </c>
      <c r="O123" s="11">
        <f t="shared" si="137"/>
        <v>36</v>
      </c>
      <c r="P123" s="11">
        <f t="shared" ref="P123:S123" si="138">P112</f>
        <v>36</v>
      </c>
      <c r="Q123" s="11">
        <f t="shared" si="138"/>
        <v>36</v>
      </c>
      <c r="R123" s="11">
        <f t="shared" si="138"/>
        <v>36</v>
      </c>
      <c r="S123" s="11">
        <f t="shared" si="138"/>
        <v>36</v>
      </c>
      <c r="X123" s="11" t="str">
        <f>X112</f>
        <v>Air Cooler CW Inlet Temp.</v>
      </c>
      <c r="Y123" s="11" t="str">
        <f t="shared" ref="Y123:AD123" si="139">Y112</f>
        <v>°C</v>
      </c>
      <c r="Z123" s="11">
        <f t="shared" si="139"/>
        <v>36</v>
      </c>
      <c r="AA123" s="11">
        <f t="shared" si="139"/>
        <v>34</v>
      </c>
      <c r="AB123" s="11">
        <f t="shared" si="139"/>
        <v>35</v>
      </c>
      <c r="AC123" s="11">
        <f t="shared" si="139"/>
        <v>34</v>
      </c>
      <c r="AD123" s="11">
        <f t="shared" si="139"/>
        <v>37</v>
      </c>
      <c r="AE123" s="11">
        <f t="shared" ref="AE123:AI123" si="140">AE112</f>
        <v>34</v>
      </c>
      <c r="AF123" s="11">
        <f t="shared" si="140"/>
        <v>36</v>
      </c>
      <c r="AG123" s="11">
        <f t="shared" si="140"/>
        <v>34</v>
      </c>
      <c r="AH123" s="11">
        <f t="shared" si="140"/>
        <v>35</v>
      </c>
      <c r="AI123" s="11">
        <f t="shared" si="140"/>
        <v>35</v>
      </c>
      <c r="AJ123" s="11">
        <f t="shared" ref="AJ123:AK123" si="141">AJ112</f>
        <v>35</v>
      </c>
      <c r="AK123" s="11">
        <f t="shared" si="141"/>
        <v>35</v>
      </c>
    </row>
    <row r="124" spans="1:37">
      <c r="A124" s="11"/>
      <c r="B124" s="11" t="str">
        <f>B39</f>
        <v>T Exhaust receiver</v>
      </c>
      <c r="C124" s="11" t="s">
        <v>26</v>
      </c>
      <c r="D124" s="11">
        <f>D39-273.15</f>
        <v>253.5</v>
      </c>
      <c r="E124" s="11">
        <f t="shared" ref="E124:I124" si="142">E39-273.15</f>
        <v>309.5</v>
      </c>
      <c r="F124" s="11">
        <f t="shared" si="142"/>
        <v>330</v>
      </c>
      <c r="G124" s="11">
        <f t="shared" si="142"/>
        <v>350.5</v>
      </c>
      <c r="H124" s="11">
        <f t="shared" si="142"/>
        <v>369.5</v>
      </c>
      <c r="I124" s="11">
        <f t="shared" si="142"/>
        <v>397</v>
      </c>
      <c r="M124" s="11" t="str">
        <f>M39</f>
        <v>T Exhaust receiver</v>
      </c>
      <c r="N124" s="11" t="s">
        <v>26</v>
      </c>
      <c r="O124" s="11">
        <f>O39-273.15</f>
        <v>350</v>
      </c>
      <c r="P124" s="11">
        <f t="shared" ref="P124:S124" si="143">P39-273.15</f>
        <v>360</v>
      </c>
      <c r="Q124" s="11">
        <f t="shared" si="143"/>
        <v>392</v>
      </c>
      <c r="R124" s="11">
        <f t="shared" si="143"/>
        <v>395</v>
      </c>
      <c r="S124" s="11">
        <f t="shared" si="143"/>
        <v>396.5</v>
      </c>
      <c r="X124" s="11" t="str">
        <f>X39</f>
        <v>T Exhaust receiver</v>
      </c>
      <c r="Y124" s="11" t="s">
        <v>26</v>
      </c>
      <c r="Z124" s="11">
        <f>Z39-273.15</f>
        <v>370</v>
      </c>
      <c r="AA124" s="11">
        <f t="shared" ref="AA124:AD124" si="144">AA39-273.15</f>
        <v>357.5</v>
      </c>
      <c r="AB124" s="11">
        <f t="shared" si="144"/>
        <v>367.5</v>
      </c>
      <c r="AC124" s="11">
        <f t="shared" si="144"/>
        <v>365</v>
      </c>
      <c r="AD124" s="11">
        <f t="shared" si="144"/>
        <v>390</v>
      </c>
      <c r="AE124" s="11">
        <f>AE39-273.15</f>
        <v>372.5</v>
      </c>
      <c r="AF124" s="11">
        <f>AF39-273.15</f>
        <v>375</v>
      </c>
      <c r="AG124" s="11">
        <f>AG39-273.15</f>
        <v>387.5</v>
      </c>
      <c r="AH124" s="11">
        <f>AH39-273.15</f>
        <v>391</v>
      </c>
      <c r="AI124" s="11">
        <f>AI39-273.15</f>
        <v>385</v>
      </c>
      <c r="AJ124" s="11">
        <f t="shared" ref="AJ124:AK124" si="145">AJ39-273.15</f>
        <v>376.5</v>
      </c>
      <c r="AK124" s="11">
        <f t="shared" si="145"/>
        <v>375</v>
      </c>
    </row>
    <row r="125" spans="1:37">
      <c r="A125" s="11"/>
      <c r="B125" s="11" t="s">
        <v>239</v>
      </c>
      <c r="C125" s="11"/>
      <c r="D125" s="11">
        <f>(D122-25)*(-0.002446)*(273+D124)</f>
        <v>14.809918499999998</v>
      </c>
      <c r="E125" s="11">
        <f t="shared" ref="E125:I125" si="146">(E122-25)*(-0.002446)*(273+E124)</f>
        <v>13.535552499999998</v>
      </c>
      <c r="F125" s="11">
        <f t="shared" si="146"/>
        <v>14.011910999999998</v>
      </c>
      <c r="G125" s="11">
        <f>(G122-25)*(-0.002446)*(273+G124)</f>
        <v>13.725728999999999</v>
      </c>
      <c r="H125" s="11">
        <f t="shared" si="146"/>
        <v>11.7866625</v>
      </c>
      <c r="I125" s="11">
        <f t="shared" si="146"/>
        <v>11.471739999999999</v>
      </c>
      <c r="M125" s="11" t="s">
        <v>239</v>
      </c>
      <c r="N125" s="11"/>
      <c r="O125" s="11">
        <f>(O122-25)*(-0.002446)*(273+O124)</f>
        <v>-19.048224999999999</v>
      </c>
      <c r="P125" s="11">
        <f t="shared" ref="P125:S125" si="147">(P122-25)*(-0.002446)*(273+P124)</f>
        <v>-17.805657</v>
      </c>
      <c r="Q125" s="11">
        <f t="shared" si="147"/>
        <v>-19.112432500000001</v>
      </c>
      <c r="R125" s="11">
        <f t="shared" si="147"/>
        <v>-19.607135999999997</v>
      </c>
      <c r="S125" s="11">
        <f t="shared" si="147"/>
        <v>-19.651163999999998</v>
      </c>
      <c r="X125" s="11" t="s">
        <v>239</v>
      </c>
      <c r="Y125" s="11"/>
      <c r="Z125" s="11">
        <f>(Z122-25)*(-0.002446)*(273+Z124)</f>
        <v>-9.4366679999999992</v>
      </c>
      <c r="AA125" s="11">
        <f t="shared" ref="AA125" si="148">(AA122-25)*(-0.002446)*(273+AA124)</f>
        <v>1.542203</v>
      </c>
      <c r="AB125" s="11">
        <f t="shared" ref="AB125" si="149">(AB122-25)*(-0.002446)*(273+AB124)</f>
        <v>-9.3999779999999991</v>
      </c>
      <c r="AC125" s="11">
        <f t="shared" ref="AC125" si="150">(AC122-25)*(-0.002446)*(273+AC124)</f>
        <v>-1.5605479999999998</v>
      </c>
      <c r="AD125" s="11">
        <f t="shared" ref="AD125" si="151">(AD122-25)*(-0.002446)*(273+AD124)</f>
        <v>-25.947167999999998</v>
      </c>
      <c r="AE125" s="11">
        <f t="shared" ref="AE125" si="152">(AE122-25)*(-0.002446)*(273+AE124)</f>
        <v>-14.210037</v>
      </c>
      <c r="AF125" s="11">
        <f t="shared" ref="AF125" si="153">(AF122-25)*(-0.002446)*(273+AF124)</f>
        <v>-19.020095999999999</v>
      </c>
      <c r="AG125" s="11">
        <f t="shared" ref="AG125" si="154">(AG122-25)*(-0.002446)*(273+AG124)</f>
        <v>-25.849328</v>
      </c>
      <c r="AH125" s="11">
        <f t="shared" ref="AH125" si="155">(AH122-25)*(-0.002446)*(273+AH124)</f>
        <v>-19.489727999999996</v>
      </c>
      <c r="AI125" s="11">
        <f t="shared" ref="AI125:AK125" si="156">(AI122-25)*(-0.002446)*(273+AI124)</f>
        <v>-20.923083999999999</v>
      </c>
      <c r="AJ125" s="11">
        <f t="shared" si="156"/>
        <v>-15.88677</v>
      </c>
      <c r="AK125" s="11">
        <f t="shared" si="156"/>
        <v>-11.095056</v>
      </c>
    </row>
    <row r="126" spans="1:37">
      <c r="A126" s="11"/>
      <c r="B126" s="11" t="s">
        <v>240</v>
      </c>
      <c r="C126" s="11"/>
      <c r="D126" s="11">
        <f>(D123-25)*(-0.00059)*(273+D124)</f>
        <v>0.31063499999999999</v>
      </c>
      <c r="E126" s="11">
        <f t="shared" ref="E126:I126" si="157">(E123-25)*(-0.00059)*(273+E124)</f>
        <v>0</v>
      </c>
      <c r="F126" s="11">
        <f t="shared" si="157"/>
        <v>0</v>
      </c>
      <c r="G126" s="11">
        <f t="shared" si="157"/>
        <v>-0.367865</v>
      </c>
      <c r="H126" s="11">
        <f t="shared" si="157"/>
        <v>-0.75814999999999999</v>
      </c>
      <c r="I126" s="11">
        <f t="shared" si="157"/>
        <v>-1.5812000000000002</v>
      </c>
      <c r="M126" s="11" t="s">
        <v>240</v>
      </c>
      <c r="N126" s="11"/>
      <c r="O126" s="11">
        <f>(O123-25)*(-0.00059)*(273+O124)</f>
        <v>-4.0432699999999997</v>
      </c>
      <c r="P126" s="11">
        <f t="shared" ref="P126:S126" si="158">(P123-25)*(-0.00059)*(273+P124)</f>
        <v>-4.1081700000000003</v>
      </c>
      <c r="Q126" s="11">
        <f t="shared" si="158"/>
        <v>-4.3158500000000002</v>
      </c>
      <c r="R126" s="11">
        <f t="shared" si="158"/>
        <v>-4.3353200000000003</v>
      </c>
      <c r="S126" s="11">
        <f t="shared" si="158"/>
        <v>-4.3450550000000003</v>
      </c>
      <c r="X126" s="11" t="s">
        <v>240</v>
      </c>
      <c r="Y126" s="11"/>
      <c r="Z126" s="11">
        <f>(Z123-25)*(-0.00059)*(273+Z124)</f>
        <v>-4.1730700000000001</v>
      </c>
      <c r="AA126" s="11">
        <f t="shared" ref="AA126:AD126" si="159">(AA123-25)*(-0.00059)*(273+AA124)</f>
        <v>-3.3479550000000002</v>
      </c>
      <c r="AB126" s="11">
        <f t="shared" si="159"/>
        <v>-3.7789500000000005</v>
      </c>
      <c r="AC126" s="11">
        <f t="shared" si="159"/>
        <v>-3.3877800000000002</v>
      </c>
      <c r="AD126" s="11">
        <f t="shared" si="159"/>
        <v>-4.6940400000000002</v>
      </c>
      <c r="AE126" s="11">
        <f t="shared" ref="AE126:AI126" si="160">(AE123-25)*(-0.00059)*(273+AE124)</f>
        <v>-3.4276050000000002</v>
      </c>
      <c r="AF126" s="11">
        <f t="shared" si="160"/>
        <v>-4.2055199999999999</v>
      </c>
      <c r="AG126" s="11">
        <f t="shared" si="160"/>
        <v>-3.5072550000000002</v>
      </c>
      <c r="AH126" s="11">
        <f t="shared" si="160"/>
        <v>-3.9176000000000006</v>
      </c>
      <c r="AI126" s="11">
        <f t="shared" si="160"/>
        <v>-3.8822000000000005</v>
      </c>
      <c r="AJ126" s="11">
        <f t="shared" ref="AJ126:AK126" si="161">(AJ123-25)*(-0.00059)*(273+AJ124)</f>
        <v>-3.8320500000000006</v>
      </c>
      <c r="AK126" s="11">
        <f t="shared" si="161"/>
        <v>-3.8232000000000004</v>
      </c>
    </row>
    <row r="127" spans="1:37">
      <c r="A127" s="11"/>
      <c r="B127" s="11" t="s">
        <v>245</v>
      </c>
      <c r="C127" s="11" t="s">
        <v>26</v>
      </c>
      <c r="D127" s="11">
        <f>D124+D125+D126</f>
        <v>268.62055349999997</v>
      </c>
      <c r="E127" s="11">
        <f t="shared" ref="E127:I127" si="162">E124+E125+E126</f>
        <v>323.03555249999999</v>
      </c>
      <c r="F127" s="11">
        <f t="shared" si="162"/>
        <v>344.011911</v>
      </c>
      <c r="G127" s="11">
        <f t="shared" si="162"/>
        <v>363.85786400000001</v>
      </c>
      <c r="H127" s="11">
        <f t="shared" si="162"/>
        <v>380.52851249999998</v>
      </c>
      <c r="I127" s="11">
        <f t="shared" si="162"/>
        <v>406.89053999999999</v>
      </c>
      <c r="M127" s="11" t="s">
        <v>245</v>
      </c>
      <c r="N127" s="11" t="s">
        <v>26</v>
      </c>
      <c r="O127" s="11">
        <f>O124+O125+O126</f>
        <v>326.90850499999999</v>
      </c>
      <c r="P127" s="11">
        <f t="shared" ref="P127:S127" si="163">P124+P125+P126</f>
        <v>338.08617300000003</v>
      </c>
      <c r="Q127" s="11">
        <f t="shared" si="163"/>
        <v>368.57171749999998</v>
      </c>
      <c r="R127" s="11">
        <f t="shared" si="163"/>
        <v>371.05754400000001</v>
      </c>
      <c r="S127" s="11">
        <f t="shared" si="163"/>
        <v>372.503781</v>
      </c>
      <c r="X127" s="11" t="s">
        <v>245</v>
      </c>
      <c r="Y127" s="11" t="s">
        <v>26</v>
      </c>
      <c r="Z127" s="11">
        <f>Z124+Z125+Z126</f>
        <v>356.39026200000001</v>
      </c>
      <c r="AA127" s="11">
        <f t="shared" ref="AA127" si="164">AA124+AA125+AA126</f>
        <v>355.69424799999996</v>
      </c>
      <c r="AB127" s="11">
        <f t="shared" ref="AB127" si="165">AB124+AB125+AB126</f>
        <v>354.32107200000002</v>
      </c>
      <c r="AC127" s="11">
        <f t="shared" ref="AC127" si="166">AC124+AC125+AC126</f>
        <v>360.051672</v>
      </c>
      <c r="AD127" s="11">
        <f t="shared" ref="AD127" si="167">AD124+AD125+AD126</f>
        <v>359.35879200000005</v>
      </c>
      <c r="AE127" s="11">
        <f t="shared" ref="AE127" si="168">AE124+AE125+AE126</f>
        <v>354.86235799999997</v>
      </c>
      <c r="AF127" s="11">
        <f t="shared" ref="AF127" si="169">AF124+AF125+AF126</f>
        <v>351.774384</v>
      </c>
      <c r="AG127" s="11">
        <f t="shared" ref="AG127" si="170">AG124+AG125+AG126</f>
        <v>358.143417</v>
      </c>
      <c r="AH127" s="11">
        <f t="shared" ref="AH127" si="171">AH124+AH125+AH126</f>
        <v>367.59267199999999</v>
      </c>
      <c r="AI127" s="11">
        <f t="shared" ref="AI127:AK127" si="172">AI124+AI125+AI126</f>
        <v>360.19471599999997</v>
      </c>
      <c r="AJ127" s="11">
        <f t="shared" si="172"/>
        <v>356.78118000000001</v>
      </c>
      <c r="AK127" s="11">
        <f t="shared" si="172"/>
        <v>360.08174400000001</v>
      </c>
    </row>
    <row r="128" spans="1:37">
      <c r="A128" s="11"/>
      <c r="B128" s="11"/>
      <c r="C128" s="11"/>
      <c r="D128" s="11"/>
      <c r="E128" s="11"/>
      <c r="F128" s="11"/>
      <c r="G128" s="11"/>
      <c r="M128" s="11"/>
      <c r="N128" s="11"/>
      <c r="O128" s="11"/>
      <c r="P128" s="11"/>
      <c r="Q128" s="11"/>
      <c r="R128" s="11"/>
      <c r="S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>
      <c r="A129" s="11"/>
      <c r="B129" s="4" t="s">
        <v>246</v>
      </c>
      <c r="C129" s="11"/>
      <c r="D129" s="11"/>
      <c r="E129" s="11"/>
      <c r="F129" s="11"/>
      <c r="G129" s="11"/>
      <c r="M129" s="4" t="s">
        <v>246</v>
      </c>
      <c r="N129" s="11"/>
      <c r="O129" s="11"/>
      <c r="P129" s="11"/>
      <c r="Q129" s="11"/>
      <c r="R129" s="11"/>
      <c r="S129" s="11"/>
      <c r="X129" s="4" t="s">
        <v>246</v>
      </c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>
      <c r="A130" s="11"/>
      <c r="B130" s="11" t="str">
        <f>B122</f>
        <v>Blower Inlet Temperature</v>
      </c>
      <c r="C130" s="11" t="str">
        <f t="shared" ref="C130:I130" si="173">C122</f>
        <v>°C</v>
      </c>
      <c r="D130" s="11">
        <f t="shared" si="173"/>
        <v>13.5</v>
      </c>
      <c r="E130" s="11">
        <f t="shared" si="173"/>
        <v>15.5</v>
      </c>
      <c r="F130" s="11">
        <f t="shared" si="173"/>
        <v>15.5</v>
      </c>
      <c r="G130" s="11">
        <f t="shared" si="173"/>
        <v>16</v>
      </c>
      <c r="H130" s="11">
        <f t="shared" si="173"/>
        <v>17.5</v>
      </c>
      <c r="I130" s="11">
        <f t="shared" si="173"/>
        <v>18</v>
      </c>
      <c r="M130" s="11" t="str">
        <f>M122</f>
        <v>Blower Inlet Temperature</v>
      </c>
      <c r="N130" s="11" t="str">
        <f t="shared" ref="N130:O130" si="174">N122</f>
        <v>°C</v>
      </c>
      <c r="O130" s="11">
        <f t="shared" si="174"/>
        <v>37.5</v>
      </c>
      <c r="P130" s="11">
        <f t="shared" ref="P130:S130" si="175">P122</f>
        <v>36.5</v>
      </c>
      <c r="Q130" s="11">
        <f t="shared" si="175"/>
        <v>36.75</v>
      </c>
      <c r="R130" s="11">
        <f t="shared" si="175"/>
        <v>37</v>
      </c>
      <c r="S130" s="11">
        <f t="shared" si="175"/>
        <v>37</v>
      </c>
      <c r="X130" s="11" t="str">
        <f>X122</f>
        <v>Blower Inlet Temperature</v>
      </c>
      <c r="Y130" s="11" t="str">
        <f t="shared" ref="Y130:AD130" si="176">Y122</f>
        <v>°C</v>
      </c>
      <c r="Z130" s="11">
        <f t="shared" si="176"/>
        <v>31</v>
      </c>
      <c r="AA130" s="11">
        <f t="shared" si="176"/>
        <v>24</v>
      </c>
      <c r="AB130" s="11">
        <f t="shared" si="176"/>
        <v>31</v>
      </c>
      <c r="AC130" s="11">
        <f t="shared" si="176"/>
        <v>26</v>
      </c>
      <c r="AD130" s="11">
        <f t="shared" si="176"/>
        <v>41</v>
      </c>
      <c r="AE130" s="11">
        <f t="shared" ref="AE130:AI130" si="177">AE122</f>
        <v>34</v>
      </c>
      <c r="AF130" s="11">
        <f t="shared" si="177"/>
        <v>37</v>
      </c>
      <c r="AG130" s="11">
        <f t="shared" si="177"/>
        <v>41</v>
      </c>
      <c r="AH130" s="11">
        <f t="shared" si="177"/>
        <v>37</v>
      </c>
      <c r="AI130" s="11">
        <f t="shared" si="177"/>
        <v>38</v>
      </c>
      <c r="AJ130" s="11">
        <f t="shared" ref="AJ130:AK130" si="178">AJ122</f>
        <v>35</v>
      </c>
      <c r="AK130" s="11">
        <f t="shared" si="178"/>
        <v>32</v>
      </c>
    </row>
    <row r="131" spans="1:37">
      <c r="A131" s="11"/>
      <c r="B131" s="11" t="str">
        <f>B123</f>
        <v>Air Cooler CW Inlet Temp.</v>
      </c>
      <c r="C131" s="11" t="str">
        <f t="shared" ref="C131:I131" si="179">C123</f>
        <v>°C</v>
      </c>
      <c r="D131" s="11">
        <f t="shared" si="179"/>
        <v>24</v>
      </c>
      <c r="E131" s="11">
        <f t="shared" si="179"/>
        <v>25</v>
      </c>
      <c r="F131" s="11">
        <f t="shared" si="179"/>
        <v>25</v>
      </c>
      <c r="G131" s="11">
        <f t="shared" si="179"/>
        <v>26</v>
      </c>
      <c r="H131" s="11">
        <f t="shared" si="179"/>
        <v>27</v>
      </c>
      <c r="I131" s="11">
        <f t="shared" si="179"/>
        <v>29</v>
      </c>
      <c r="M131" s="11" t="str">
        <f>M123</f>
        <v>Air Cooler CW Inlet Temp.</v>
      </c>
      <c r="N131" s="11" t="str">
        <f t="shared" ref="N131:O131" si="180">N123</f>
        <v>°C</v>
      </c>
      <c r="O131" s="11">
        <f t="shared" si="180"/>
        <v>36</v>
      </c>
      <c r="P131" s="11">
        <f t="shared" ref="P131:S131" si="181">P123</f>
        <v>36</v>
      </c>
      <c r="Q131" s="11">
        <f t="shared" si="181"/>
        <v>36</v>
      </c>
      <c r="R131" s="11">
        <f t="shared" si="181"/>
        <v>36</v>
      </c>
      <c r="S131" s="11">
        <f t="shared" si="181"/>
        <v>36</v>
      </c>
      <c r="X131" s="11" t="str">
        <f>X123</f>
        <v>Air Cooler CW Inlet Temp.</v>
      </c>
      <c r="Y131" s="11" t="str">
        <f t="shared" ref="Y131:AD131" si="182">Y123</f>
        <v>°C</v>
      </c>
      <c r="Z131" s="11">
        <f t="shared" si="182"/>
        <v>36</v>
      </c>
      <c r="AA131" s="11">
        <f t="shared" si="182"/>
        <v>34</v>
      </c>
      <c r="AB131" s="11">
        <f t="shared" si="182"/>
        <v>35</v>
      </c>
      <c r="AC131" s="11">
        <f t="shared" si="182"/>
        <v>34</v>
      </c>
      <c r="AD131" s="11">
        <f t="shared" si="182"/>
        <v>37</v>
      </c>
      <c r="AE131" s="11">
        <f t="shared" ref="AE131:AI131" si="183">AE123</f>
        <v>34</v>
      </c>
      <c r="AF131" s="11">
        <f t="shared" si="183"/>
        <v>36</v>
      </c>
      <c r="AG131" s="11">
        <f t="shared" si="183"/>
        <v>34</v>
      </c>
      <c r="AH131" s="11">
        <f t="shared" si="183"/>
        <v>35</v>
      </c>
      <c r="AI131" s="11">
        <f t="shared" si="183"/>
        <v>35</v>
      </c>
      <c r="AJ131" s="11">
        <f t="shared" ref="AJ131:AK131" si="184">AJ123</f>
        <v>35</v>
      </c>
      <c r="AK131" s="11">
        <f t="shared" si="184"/>
        <v>35</v>
      </c>
    </row>
    <row r="132" spans="1:37">
      <c r="A132" s="11"/>
      <c r="B132" s="52" t="str">
        <f>B36</f>
        <v>P scavenge receiver</v>
      </c>
      <c r="C132" s="52" t="str">
        <f t="shared" ref="C132:I132" si="185">C36</f>
        <v>bar</v>
      </c>
      <c r="D132" s="52">
        <f t="shared" si="185"/>
        <v>1.3971173340599998</v>
      </c>
      <c r="E132" s="52">
        <f t="shared" si="185"/>
        <v>2.1067173668899999</v>
      </c>
      <c r="F132" s="52">
        <f t="shared" si="185"/>
        <v>2.9363173997200001</v>
      </c>
      <c r="G132" s="52">
        <f t="shared" si="185"/>
        <v>3.3760507549400001</v>
      </c>
      <c r="H132" s="52">
        <f t="shared" si="185"/>
        <v>3.7456507877700003</v>
      </c>
      <c r="I132" s="52">
        <f t="shared" si="185"/>
        <v>4.0145842086499997</v>
      </c>
      <c r="M132" s="52" t="str">
        <f>M36</f>
        <v>P scavenge receiver</v>
      </c>
      <c r="N132" s="52" t="str">
        <f t="shared" ref="N132:O132" si="186">N36</f>
        <v>bar</v>
      </c>
      <c r="O132" s="52">
        <f t="shared" si="186"/>
        <v>2.1316823466999999</v>
      </c>
      <c r="P132" s="52">
        <f t="shared" ref="P132:S132" si="187">P36</f>
        <v>2.2297488466999997</v>
      </c>
      <c r="Q132" s="52">
        <f t="shared" si="187"/>
        <v>3.4065468467000004</v>
      </c>
      <c r="R132" s="52">
        <f t="shared" si="187"/>
        <v>3.5046133466999998</v>
      </c>
      <c r="S132" s="52">
        <f t="shared" si="187"/>
        <v>3.4555800966999999</v>
      </c>
      <c r="X132" s="52" t="str">
        <f>X36</f>
        <v>P scavenge receiver</v>
      </c>
      <c r="Y132" s="52" t="str">
        <f t="shared" ref="Y132:AD132" si="188">Y36</f>
        <v>bar</v>
      </c>
      <c r="Z132" s="52">
        <f t="shared" si="188"/>
        <v>3.3319999999999999</v>
      </c>
      <c r="AA132" s="52">
        <f t="shared" si="188"/>
        <v>3.4299999999999997</v>
      </c>
      <c r="AB132" s="52">
        <f t="shared" si="188"/>
        <v>3.5129999999999999</v>
      </c>
      <c r="AC132" s="52">
        <f t="shared" si="188"/>
        <v>3.5419999999999998</v>
      </c>
      <c r="AD132" s="52">
        <f t="shared" si="188"/>
        <v>3.3209999999999997</v>
      </c>
      <c r="AE132" s="52">
        <f>AE36</f>
        <v>3.524</v>
      </c>
      <c r="AF132" s="52">
        <f>AF36</f>
        <v>3.22</v>
      </c>
      <c r="AG132" s="52">
        <f>AG36</f>
        <v>3.5220000000000002</v>
      </c>
      <c r="AH132" s="52">
        <f>AH36</f>
        <v>3.7110000000000003</v>
      </c>
      <c r="AI132" s="52">
        <f>AI36</f>
        <v>3.621</v>
      </c>
      <c r="AJ132" s="52">
        <f t="shared" ref="AJ132:AK132" si="189">AJ36</f>
        <v>3.2190000000000003</v>
      </c>
      <c r="AK132" s="52">
        <f t="shared" si="189"/>
        <v>3.1240000000000001</v>
      </c>
    </row>
    <row r="133" spans="1:37">
      <c r="A133" s="11"/>
      <c r="B133" s="11" t="s">
        <v>239</v>
      </c>
      <c r="C133" s="11"/>
      <c r="D133" s="11">
        <f>(D130-25)*(0.002856)*(D132)</f>
        <v>-4.5886921719866629E-2</v>
      </c>
      <c r="E133" s="11">
        <f t="shared" ref="E133:I133" si="190">(E130-25)*(0.002856)*(E132)</f>
        <v>-5.7159455598459474E-2</v>
      </c>
      <c r="F133" s="11">
        <f t="shared" si="190"/>
        <v>-7.9668163689203042E-2</v>
      </c>
      <c r="G133" s="11">
        <f t="shared" si="190"/>
        <v>-8.6778008604977766E-2</v>
      </c>
      <c r="H133" s="11">
        <f t="shared" si="190"/>
        <v>-8.0231839874033414E-2</v>
      </c>
      <c r="I133" s="11">
        <f t="shared" si="190"/>
        <v>-8.0259567499330789E-2</v>
      </c>
      <c r="M133" s="11" t="s">
        <v>239</v>
      </c>
      <c r="N133" s="11"/>
      <c r="O133" s="11">
        <f>(O130-25)*(0.002856)*(O132)</f>
        <v>7.6101059777190005E-2</v>
      </c>
      <c r="P133" s="11">
        <f t="shared" ref="P133:S133" si="191">(P130-25)*(0.002856)*(P132)</f>
        <v>7.3233871121014787E-2</v>
      </c>
      <c r="Q133" s="11">
        <f t="shared" si="191"/>
        <v>0.11431689908155861</v>
      </c>
      <c r="R133" s="11">
        <f t="shared" si="191"/>
        <v>0.12011010861810238</v>
      </c>
      <c r="S133" s="11">
        <f t="shared" si="191"/>
        <v>0.11842964107410238</v>
      </c>
      <c r="X133" s="11" t="s">
        <v>239</v>
      </c>
      <c r="Y133" s="11"/>
      <c r="Z133" s="11">
        <f>(Z130-25)*(0.002856)*(Z132)</f>
        <v>5.7097151999999991E-2</v>
      </c>
      <c r="AA133" s="11">
        <f t="shared" ref="AA133" si="192">(AA130-25)*(0.002856)*(AA132)</f>
        <v>-9.7960799999999987E-3</v>
      </c>
      <c r="AB133" s="11">
        <f t="shared" ref="AB133" si="193">(AB130-25)*(0.002856)*(AB132)</f>
        <v>6.0198767999999993E-2</v>
      </c>
      <c r="AC133" s="11">
        <f t="shared" ref="AC133" si="194">(AC130-25)*(0.002856)*(AC132)</f>
        <v>1.0115951999999999E-2</v>
      </c>
      <c r="AD133" s="11">
        <f t="shared" ref="AD133" si="195">(AD130-25)*(0.002856)*(AD132)</f>
        <v>0.15175641599999998</v>
      </c>
      <c r="AE133" s="11">
        <f t="shared" ref="AE133" si="196">(AE130-25)*(0.002856)*(AE132)</f>
        <v>9.0580896000000008E-2</v>
      </c>
      <c r="AF133" s="11">
        <f t="shared" ref="AF133" si="197">(AF130-25)*(0.002856)*(AF132)</f>
        <v>0.11035584</v>
      </c>
      <c r="AG133" s="11">
        <f t="shared" ref="AG133" si="198">(AG130-25)*(0.002856)*(AG132)</f>
        <v>0.160941312</v>
      </c>
      <c r="AH133" s="11">
        <f t="shared" ref="AH133" si="199">(AH130-25)*(0.002856)*(AH132)</f>
        <v>0.12718339200000001</v>
      </c>
      <c r="AI133" s="11">
        <f t="shared" ref="AI133:AK133" si="200">(AI130-25)*(0.002856)*(AI132)</f>
        <v>0.134440488</v>
      </c>
      <c r="AJ133" s="11">
        <f t="shared" si="200"/>
        <v>9.1934640000000012E-2</v>
      </c>
      <c r="AK133" s="11">
        <f t="shared" si="200"/>
        <v>6.2455007999999999E-2</v>
      </c>
    </row>
    <row r="134" spans="1:37">
      <c r="A134" s="11"/>
      <c r="B134" s="11" t="s">
        <v>240</v>
      </c>
      <c r="C134" s="11"/>
      <c r="D134" s="11">
        <f>(D131-25)*(-0.00222)*(D132)</f>
        <v>3.1016004816131998E-3</v>
      </c>
      <c r="E134" s="11">
        <f t="shared" ref="E134:I134" si="201">(E131-25)*(-0.00222)*(E132)</f>
        <v>0</v>
      </c>
      <c r="F134" s="11">
        <f t="shared" si="201"/>
        <v>0</v>
      </c>
      <c r="G134" s="11">
        <f t="shared" si="201"/>
        <v>-7.4948326759668006E-3</v>
      </c>
      <c r="H134" s="11">
        <f t="shared" si="201"/>
        <v>-1.6630689497698803E-2</v>
      </c>
      <c r="I134" s="11">
        <f t="shared" si="201"/>
        <v>-3.5649507772811999E-2</v>
      </c>
      <c r="M134" s="11" t="s">
        <v>240</v>
      </c>
      <c r="N134" s="11"/>
      <c r="O134" s="11">
        <f>(O131-25)*(-0.00222)*(O132)</f>
        <v>-5.2055682906413998E-2</v>
      </c>
      <c r="P134" s="11">
        <f t="shared" ref="P134:S134" si="202">(P131-25)*(-0.00222)*(P132)</f>
        <v>-5.4450466836413997E-2</v>
      </c>
      <c r="Q134" s="11">
        <f t="shared" si="202"/>
        <v>-8.3187873996414016E-2</v>
      </c>
      <c r="R134" s="11">
        <f t="shared" si="202"/>
        <v>-8.5582657926413994E-2</v>
      </c>
      <c r="S134" s="11">
        <f t="shared" si="202"/>
        <v>-8.4385265961414005E-2</v>
      </c>
      <c r="X134" s="11" t="s">
        <v>240</v>
      </c>
      <c r="Y134" s="11"/>
      <c r="Z134" s="11">
        <f>(Z131-25)*(-0.00222)*(Z132)</f>
        <v>-8.1367439999999999E-2</v>
      </c>
      <c r="AA134" s="11">
        <f t="shared" ref="AA134:AD134" si="203">(AA131-25)*(-0.00222)*(AA132)</f>
        <v>-6.8531399999999992E-2</v>
      </c>
      <c r="AB134" s="11">
        <f t="shared" si="203"/>
        <v>-7.7988600000000005E-2</v>
      </c>
      <c r="AC134" s="11">
        <f t="shared" si="203"/>
        <v>-7.0769159999999998E-2</v>
      </c>
      <c r="AD134" s="11">
        <f t="shared" si="203"/>
        <v>-8.8471440000000012E-2</v>
      </c>
      <c r="AE134" s="11">
        <f t="shared" ref="AE134:AI134" si="204">(AE131-25)*(-0.00222)*(AE132)</f>
        <v>-7.0409520000000003E-2</v>
      </c>
      <c r="AF134" s="11">
        <f t="shared" si="204"/>
        <v>-7.8632400000000005E-2</v>
      </c>
      <c r="AG134" s="11">
        <f t="shared" si="204"/>
        <v>-7.0369560000000012E-2</v>
      </c>
      <c r="AH134" s="11">
        <f t="shared" si="204"/>
        <v>-8.2384200000000005E-2</v>
      </c>
      <c r="AI134" s="11">
        <f t="shared" si="204"/>
        <v>-8.0386200000000005E-2</v>
      </c>
      <c r="AJ134" s="11">
        <f t="shared" ref="AJ134:AK134" si="205">(AJ131-25)*(-0.00222)*(AJ132)</f>
        <v>-7.1461800000000006E-2</v>
      </c>
      <c r="AK134" s="11">
        <f t="shared" si="205"/>
        <v>-6.9352800000000006E-2</v>
      </c>
    </row>
    <row r="135" spans="1:37">
      <c r="A135" s="11"/>
      <c r="B135" s="11" t="s">
        <v>248</v>
      </c>
      <c r="C135" s="11" t="s">
        <v>20</v>
      </c>
      <c r="D135" s="52">
        <f>D132+D133+D134</f>
        <v>1.3543320128217464</v>
      </c>
      <c r="E135" s="52">
        <f t="shared" ref="E135:I135" si="206">E132+E133+E134</f>
        <v>2.0495579112915405</v>
      </c>
      <c r="F135" s="52">
        <f t="shared" si="206"/>
        <v>2.8566492360307971</v>
      </c>
      <c r="G135" s="52">
        <f t="shared" si="206"/>
        <v>3.2817779136590555</v>
      </c>
      <c r="H135" s="52">
        <f t="shared" si="206"/>
        <v>3.6487882583982683</v>
      </c>
      <c r="I135" s="52">
        <f t="shared" si="206"/>
        <v>3.8986751333778566</v>
      </c>
      <c r="M135" s="11" t="s">
        <v>248</v>
      </c>
      <c r="N135" s="11" t="s">
        <v>20</v>
      </c>
      <c r="O135" s="52">
        <f>O132+O133+O134</f>
        <v>2.1557277235707759</v>
      </c>
      <c r="P135" s="52">
        <f t="shared" ref="P135:S135" si="207">P132+P133+P134</f>
        <v>2.2485322509846006</v>
      </c>
      <c r="Q135" s="52">
        <f t="shared" si="207"/>
        <v>3.437675871785145</v>
      </c>
      <c r="R135" s="52">
        <f t="shared" si="207"/>
        <v>3.5391407973916884</v>
      </c>
      <c r="S135" s="52">
        <f t="shared" si="207"/>
        <v>3.4896244718126885</v>
      </c>
      <c r="X135" s="11" t="s">
        <v>248</v>
      </c>
      <c r="Y135" s="11" t="s">
        <v>20</v>
      </c>
      <c r="Z135" s="52">
        <f>Z132+Z133+Z134</f>
        <v>3.3077297119999995</v>
      </c>
      <c r="AA135" s="52">
        <f t="shared" ref="AA135" si="208">AA132+AA133+AA134</f>
        <v>3.3516725199999997</v>
      </c>
      <c r="AB135" s="52">
        <f t="shared" ref="AB135" si="209">AB132+AB133+AB134</f>
        <v>3.4952101679999998</v>
      </c>
      <c r="AC135" s="52">
        <f t="shared" ref="AC135" si="210">AC132+AC133+AC134</f>
        <v>3.4813467920000001</v>
      </c>
      <c r="AD135" s="52">
        <f t="shared" ref="AD135" si="211">AD132+AD133+AD134</f>
        <v>3.3842849759999996</v>
      </c>
      <c r="AE135" s="52">
        <f t="shared" ref="AE135" si="212">AE132+AE133+AE134</f>
        <v>3.544171376</v>
      </c>
      <c r="AF135" s="52">
        <f t="shared" ref="AF135" si="213">AF132+AF133+AF134</f>
        <v>3.2517234400000001</v>
      </c>
      <c r="AG135" s="52">
        <f t="shared" ref="AG135" si="214">AG132+AG133+AG134</f>
        <v>3.612571752</v>
      </c>
      <c r="AH135" s="52">
        <f t="shared" ref="AH135" si="215">AH132+AH133+AH134</f>
        <v>3.7557991920000005</v>
      </c>
      <c r="AI135" s="52">
        <f t="shared" ref="AI135:AK135" si="216">AI132+AI133+AI134</f>
        <v>3.6750542880000001</v>
      </c>
      <c r="AJ135" s="52">
        <f t="shared" si="216"/>
        <v>3.2394728400000004</v>
      </c>
      <c r="AK135" s="52">
        <f t="shared" si="216"/>
        <v>3.1171022080000004</v>
      </c>
    </row>
    <row r="136" spans="1:37">
      <c r="A136" s="11"/>
      <c r="B136" s="11"/>
      <c r="C136" s="11"/>
      <c r="D136" s="11"/>
      <c r="E136" s="11"/>
      <c r="F136" s="11"/>
      <c r="G136" s="11"/>
      <c r="M136" s="11"/>
      <c r="N136" s="11"/>
      <c r="O136" s="11"/>
      <c r="P136" s="11"/>
      <c r="Q136" s="11"/>
      <c r="R136" s="11"/>
      <c r="S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>
      <c r="A137" s="11"/>
      <c r="B137" s="4" t="s">
        <v>247</v>
      </c>
      <c r="C137" s="11"/>
      <c r="D137" s="11"/>
      <c r="E137" s="11"/>
      <c r="F137" s="11"/>
      <c r="G137" s="11"/>
      <c r="M137" s="4" t="s">
        <v>247</v>
      </c>
      <c r="N137" s="11"/>
      <c r="O137" s="11"/>
      <c r="P137" s="11"/>
      <c r="Q137" s="11"/>
      <c r="R137" s="11"/>
      <c r="S137" s="11"/>
      <c r="X137" s="4" t="s">
        <v>247</v>
      </c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>
      <c r="A138" s="11"/>
      <c r="B138" s="11" t="str">
        <f>B130</f>
        <v>Blower Inlet Temperature</v>
      </c>
      <c r="C138" s="11" t="str">
        <f t="shared" ref="C138:I138" si="217">C130</f>
        <v>°C</v>
      </c>
      <c r="D138" s="11">
        <f t="shared" si="217"/>
        <v>13.5</v>
      </c>
      <c r="E138" s="11">
        <f t="shared" si="217"/>
        <v>15.5</v>
      </c>
      <c r="F138" s="11">
        <f t="shared" si="217"/>
        <v>15.5</v>
      </c>
      <c r="G138" s="11">
        <f t="shared" si="217"/>
        <v>16</v>
      </c>
      <c r="H138" s="11">
        <f t="shared" si="217"/>
        <v>17.5</v>
      </c>
      <c r="I138" s="11">
        <f t="shared" si="217"/>
        <v>18</v>
      </c>
      <c r="M138" s="11" t="str">
        <f>M130</f>
        <v>Blower Inlet Temperature</v>
      </c>
      <c r="N138" s="11" t="str">
        <f t="shared" ref="N138:O138" si="218">N130</f>
        <v>°C</v>
      </c>
      <c r="O138" s="11">
        <f t="shared" si="218"/>
        <v>37.5</v>
      </c>
      <c r="P138" s="11">
        <f t="shared" ref="P138:S138" si="219">P130</f>
        <v>36.5</v>
      </c>
      <c r="Q138" s="11">
        <f t="shared" si="219"/>
        <v>36.75</v>
      </c>
      <c r="R138" s="11">
        <f t="shared" si="219"/>
        <v>37</v>
      </c>
      <c r="S138" s="11">
        <f t="shared" si="219"/>
        <v>37</v>
      </c>
      <c r="X138" s="11" t="str">
        <f>X130</f>
        <v>Blower Inlet Temperature</v>
      </c>
      <c r="Y138" s="11" t="str">
        <f t="shared" ref="Y138:AD138" si="220">Y130</f>
        <v>°C</v>
      </c>
      <c r="Z138" s="11">
        <f t="shared" si="220"/>
        <v>31</v>
      </c>
      <c r="AA138" s="11">
        <f t="shared" si="220"/>
        <v>24</v>
      </c>
      <c r="AB138" s="11">
        <f t="shared" si="220"/>
        <v>31</v>
      </c>
      <c r="AC138" s="11">
        <f t="shared" si="220"/>
        <v>26</v>
      </c>
      <c r="AD138" s="11">
        <f t="shared" si="220"/>
        <v>41</v>
      </c>
      <c r="AE138" s="11">
        <f t="shared" ref="AE138:AI138" si="221">AE130</f>
        <v>34</v>
      </c>
      <c r="AF138" s="11">
        <f t="shared" si="221"/>
        <v>37</v>
      </c>
      <c r="AG138" s="11">
        <f t="shared" si="221"/>
        <v>41</v>
      </c>
      <c r="AH138" s="11">
        <f t="shared" si="221"/>
        <v>37</v>
      </c>
      <c r="AI138" s="11">
        <f t="shared" si="221"/>
        <v>38</v>
      </c>
      <c r="AJ138" s="11">
        <f t="shared" ref="AJ138:AK138" si="222">AJ130</f>
        <v>35</v>
      </c>
      <c r="AK138" s="11">
        <f t="shared" si="222"/>
        <v>32</v>
      </c>
    </row>
    <row r="139" spans="1:37">
      <c r="A139" s="11"/>
      <c r="B139" s="11" t="str">
        <f>B131</f>
        <v>Air Cooler CW Inlet Temp.</v>
      </c>
      <c r="C139" s="11" t="str">
        <f t="shared" ref="C139:I139" si="223">C131</f>
        <v>°C</v>
      </c>
      <c r="D139" s="11">
        <f t="shared" si="223"/>
        <v>24</v>
      </c>
      <c r="E139" s="11">
        <f t="shared" si="223"/>
        <v>25</v>
      </c>
      <c r="F139" s="11">
        <f t="shared" si="223"/>
        <v>25</v>
      </c>
      <c r="G139" s="11">
        <f t="shared" si="223"/>
        <v>26</v>
      </c>
      <c r="H139" s="11">
        <f t="shared" si="223"/>
        <v>27</v>
      </c>
      <c r="I139" s="11">
        <f t="shared" si="223"/>
        <v>29</v>
      </c>
      <c r="M139" s="11" t="str">
        <f>M131</f>
        <v>Air Cooler CW Inlet Temp.</v>
      </c>
      <c r="N139" s="11" t="str">
        <f t="shared" ref="N139:O139" si="224">N131</f>
        <v>°C</v>
      </c>
      <c r="O139" s="11">
        <f t="shared" si="224"/>
        <v>36</v>
      </c>
      <c r="P139" s="11">
        <f t="shared" ref="P139:S139" si="225">P131</f>
        <v>36</v>
      </c>
      <c r="Q139" s="11">
        <f t="shared" si="225"/>
        <v>36</v>
      </c>
      <c r="R139" s="11">
        <f t="shared" si="225"/>
        <v>36</v>
      </c>
      <c r="S139" s="11">
        <f t="shared" si="225"/>
        <v>36</v>
      </c>
      <c r="X139" s="11" t="str">
        <f>X131</f>
        <v>Air Cooler CW Inlet Temp.</v>
      </c>
      <c r="Y139" s="11" t="str">
        <f t="shared" ref="Y139:AD139" si="226">Y131</f>
        <v>°C</v>
      </c>
      <c r="Z139" s="11">
        <f t="shared" si="226"/>
        <v>36</v>
      </c>
      <c r="AA139" s="11">
        <f t="shared" si="226"/>
        <v>34</v>
      </c>
      <c r="AB139" s="11">
        <f t="shared" si="226"/>
        <v>35</v>
      </c>
      <c r="AC139" s="11">
        <f t="shared" si="226"/>
        <v>34</v>
      </c>
      <c r="AD139" s="11">
        <f t="shared" si="226"/>
        <v>37</v>
      </c>
      <c r="AE139" s="11">
        <f t="shared" ref="AE139:AI139" si="227">AE131</f>
        <v>34</v>
      </c>
      <c r="AF139" s="11">
        <f t="shared" si="227"/>
        <v>36</v>
      </c>
      <c r="AG139" s="11">
        <f t="shared" si="227"/>
        <v>34</v>
      </c>
      <c r="AH139" s="11">
        <f t="shared" si="227"/>
        <v>35</v>
      </c>
      <c r="AI139" s="11">
        <f t="shared" si="227"/>
        <v>35</v>
      </c>
      <c r="AJ139" s="11">
        <f t="shared" ref="AJ139:AK139" si="228">AJ131</f>
        <v>35</v>
      </c>
      <c r="AK139" s="11">
        <f t="shared" si="228"/>
        <v>35</v>
      </c>
    </row>
    <row r="140" spans="1:37">
      <c r="A140" s="11"/>
      <c r="B140" s="16" t="str">
        <f>B62</f>
        <v>Pcomp</v>
      </c>
      <c r="C140" s="16" t="str">
        <f t="shared" ref="C140:I140" si="229">C62</f>
        <v>bar</v>
      </c>
      <c r="D140" s="16">
        <f t="shared" si="229"/>
        <v>49.007117334059998</v>
      </c>
      <c r="E140" s="16">
        <f t="shared" si="229"/>
        <v>75.673384033556673</v>
      </c>
      <c r="F140" s="16">
        <f t="shared" si="229"/>
        <v>106.17298406638668</v>
      </c>
      <c r="G140" s="16">
        <f t="shared" si="229"/>
        <v>124.17271742160668</v>
      </c>
      <c r="H140" s="16">
        <f t="shared" si="229"/>
        <v>137.17231745443667</v>
      </c>
      <c r="I140" s="16">
        <f t="shared" si="229"/>
        <v>146.83791754198333</v>
      </c>
      <c r="M140" s="16" t="str">
        <f>M62</f>
        <v>Pcomp</v>
      </c>
      <c r="N140" s="16" t="str">
        <f t="shared" ref="N140:O140" si="230">N62</f>
        <v>bar</v>
      </c>
      <c r="O140" s="16">
        <f t="shared" si="230"/>
        <v>75.003917596700006</v>
      </c>
      <c r="P140" s="16">
        <f t="shared" ref="P140:S140" si="231">P62</f>
        <v>78.670584263366678</v>
      </c>
      <c r="Q140" s="16">
        <f t="shared" si="231"/>
        <v>121.33725093003333</v>
      </c>
      <c r="R140" s="16">
        <f t="shared" si="231"/>
        <v>125.17058426336668</v>
      </c>
      <c r="S140" s="16">
        <f t="shared" si="231"/>
        <v>124.83725093003333</v>
      </c>
      <c r="X140" s="16" t="str">
        <f>X62</f>
        <v>Pcomp</v>
      </c>
      <c r="Y140" s="16" t="str">
        <f t="shared" ref="Y140:AD140" si="232">Y62</f>
        <v>bar</v>
      </c>
      <c r="Z140" s="16">
        <f t="shared" si="232"/>
        <v>117.49866666666665</v>
      </c>
      <c r="AA140" s="16">
        <f t="shared" si="232"/>
        <v>121.51333333333334</v>
      </c>
      <c r="AB140" s="16">
        <f t="shared" si="232"/>
        <v>116.87966666666668</v>
      </c>
      <c r="AC140" s="16">
        <f t="shared" si="232"/>
        <v>127.84200000000001</v>
      </c>
      <c r="AD140" s="16">
        <f t="shared" si="232"/>
        <v>117.93766666666667</v>
      </c>
      <c r="AE140" s="16">
        <f>AE62</f>
        <v>117.09066666666666</v>
      </c>
      <c r="AF140" s="16">
        <f>AF62</f>
        <v>113.77</v>
      </c>
      <c r="AG140" s="16">
        <f>AG62</f>
        <v>118.43866666666668</v>
      </c>
      <c r="AH140" s="16">
        <f>AH62</f>
        <v>123.84433333333332</v>
      </c>
      <c r="AI140" s="16">
        <f>AI62</f>
        <v>119.70433333333332</v>
      </c>
      <c r="AJ140" s="16">
        <f t="shared" ref="AJ140:AK140" si="233">AJ62</f>
        <v>117.03566666666667</v>
      </c>
      <c r="AK140" s="16">
        <f t="shared" si="233"/>
        <v>109.50733333333334</v>
      </c>
    </row>
    <row r="141" spans="1:37">
      <c r="A141" s="11"/>
      <c r="B141" s="11" t="s">
        <v>239</v>
      </c>
      <c r="C141" s="11"/>
      <c r="D141" s="11">
        <f>(D138-25)*(0.002954)*(D140)</f>
        <v>-1.6648207829553523</v>
      </c>
      <c r="E141" s="11">
        <f t="shared" ref="E141:I141" si="234">(E138-25)*(0.002954)*(E140)</f>
        <v>-2.1236221761337011</v>
      </c>
      <c r="F141" s="11">
        <f t="shared" si="234"/>
        <v>-2.9795324518550093</v>
      </c>
      <c r="G141" s="11">
        <f t="shared" si="234"/>
        <v>-3.3012558653708348</v>
      </c>
      <c r="H141" s="11">
        <f t="shared" si="234"/>
        <v>-3.0390526932030446</v>
      </c>
      <c r="I141" s="11">
        <f t="shared" si="234"/>
        <v>-3.0363144589331315</v>
      </c>
      <c r="M141" s="11" t="s">
        <v>239</v>
      </c>
      <c r="N141" s="11"/>
      <c r="O141" s="11">
        <f>(O138-25)*(0.002954)*(O140)</f>
        <v>2.7695196572581477</v>
      </c>
      <c r="P141" s="11">
        <f t="shared" ref="P141:S141" si="235">(P138-25)*(0.002954)*(P140)</f>
        <v>2.6725184180108297</v>
      </c>
      <c r="Q141" s="11">
        <f t="shared" si="235"/>
        <v>4.2115553111559914</v>
      </c>
      <c r="R141" s="11">
        <f t="shared" si="235"/>
        <v>4.4370468709678219</v>
      </c>
      <c r="S141" s="11">
        <f t="shared" si="235"/>
        <v>4.4252308709678214</v>
      </c>
      <c r="X141" s="11" t="s">
        <v>239</v>
      </c>
      <c r="Y141" s="11"/>
      <c r="Z141" s="11">
        <f>(Z138-25)*(0.002954)*(Z140)</f>
        <v>2.0825463679999996</v>
      </c>
      <c r="AA141" s="11">
        <f t="shared" ref="AA141" si="236">(AA138-25)*(0.002954)*(AA140)</f>
        <v>-0.35895038666666668</v>
      </c>
      <c r="AB141" s="11">
        <f t="shared" ref="AB141" si="237">(AB138-25)*(0.002954)*(AB140)</f>
        <v>2.0715752120000004</v>
      </c>
      <c r="AC141" s="11">
        <f t="shared" ref="AC141" si="238">(AC138-25)*(0.002954)*(AC140)</f>
        <v>0.37764526800000003</v>
      </c>
      <c r="AD141" s="11">
        <f t="shared" ref="AD141" si="239">(AD138-25)*(0.002954)*(AD140)</f>
        <v>5.5742058773333341</v>
      </c>
      <c r="AE141" s="11">
        <f t="shared" ref="AE141" si="240">(AE138-25)*(0.002954)*(AE140)</f>
        <v>3.1129724639999998</v>
      </c>
      <c r="AF141" s="11">
        <f t="shared" ref="AF141" si="241">(AF138-25)*(0.002954)*(AF140)</f>
        <v>4.0329189599999999</v>
      </c>
      <c r="AG141" s="11">
        <f t="shared" ref="AG141" si="242">(AG138-25)*(0.002954)*(AG140)</f>
        <v>5.5978851413333341</v>
      </c>
      <c r="AH141" s="11">
        <f t="shared" ref="AH141" si="243">(AH138-25)*(0.002954)*(AH140)</f>
        <v>4.3900339279999994</v>
      </c>
      <c r="AI141" s="11">
        <f t="shared" ref="AI141:AK141" si="244">(AI138-25)*(0.002954)*(AI140)</f>
        <v>4.5968858086666664</v>
      </c>
      <c r="AJ141" s="11">
        <f t="shared" si="244"/>
        <v>3.4572335933333336</v>
      </c>
      <c r="AK141" s="11">
        <f t="shared" si="244"/>
        <v>2.2643926386666671</v>
      </c>
    </row>
    <row r="142" spans="1:37">
      <c r="A142" s="11"/>
      <c r="B142" s="11" t="s">
        <v>240</v>
      </c>
      <c r="C142" s="11"/>
      <c r="D142" s="11">
        <f>(D139-25)*(-0.00153)*(D140)</f>
        <v>7.4980889521111788E-2</v>
      </c>
      <c r="E142" s="11">
        <f t="shared" ref="E142:I142" si="245">(E139-25)*(-0.00153)*(E140)</f>
        <v>0</v>
      </c>
      <c r="F142" s="11">
        <f t="shared" si="245"/>
        <v>0</v>
      </c>
      <c r="G142" s="11">
        <f t="shared" si="245"/>
        <v>-0.18998425765505819</v>
      </c>
      <c r="H142" s="11">
        <f t="shared" si="245"/>
        <v>-0.41974729141057615</v>
      </c>
      <c r="I142" s="11">
        <f t="shared" si="245"/>
        <v>-0.89864805535693792</v>
      </c>
      <c r="M142" s="11" t="s">
        <v>240</v>
      </c>
      <c r="N142" s="11"/>
      <c r="O142" s="11">
        <f>(O139-25)*(-0.00153)*(O140)</f>
        <v>-1.2623159331524609</v>
      </c>
      <c r="P142" s="11">
        <f t="shared" ref="P142:S142" si="246">(P139-25)*(-0.00153)*(P140)</f>
        <v>-1.3240259331524611</v>
      </c>
      <c r="Q142" s="11">
        <f t="shared" si="246"/>
        <v>-2.0421059331524609</v>
      </c>
      <c r="R142" s="11">
        <f t="shared" si="246"/>
        <v>-2.106620933152461</v>
      </c>
      <c r="S142" s="11">
        <f t="shared" si="246"/>
        <v>-2.1010109331524607</v>
      </c>
      <c r="X142" s="11" t="s">
        <v>240</v>
      </c>
      <c r="Y142" s="11"/>
      <c r="Z142" s="11">
        <f>(Z139-25)*(-0.00153)*(Z140)</f>
        <v>-1.9775025599999996</v>
      </c>
      <c r="AA142" s="11">
        <f t="shared" ref="AA142:AD142" si="247">(AA139-25)*(-0.00153)*(AA140)</f>
        <v>-1.6732385999999999</v>
      </c>
      <c r="AB142" s="11">
        <f t="shared" si="247"/>
        <v>-1.7882589000000002</v>
      </c>
      <c r="AC142" s="11">
        <f t="shared" si="247"/>
        <v>-1.7603843400000001</v>
      </c>
      <c r="AD142" s="11">
        <f t="shared" si="247"/>
        <v>-2.1653355599999999</v>
      </c>
      <c r="AE142" s="11">
        <f t="shared" ref="AE142:AI142" si="248">(AE139-25)*(-0.00153)*(AE140)</f>
        <v>-1.6123384799999998</v>
      </c>
      <c r="AF142" s="11">
        <f t="shared" si="248"/>
        <v>-1.9147490999999996</v>
      </c>
      <c r="AG142" s="11">
        <f t="shared" si="248"/>
        <v>-1.63090044</v>
      </c>
      <c r="AH142" s="11">
        <f t="shared" si="248"/>
        <v>-1.8948182999999998</v>
      </c>
      <c r="AI142" s="11">
        <f t="shared" si="248"/>
        <v>-1.8314762999999998</v>
      </c>
      <c r="AJ142" s="11">
        <f t="shared" ref="AJ142:AK142" si="249">(AJ139-25)*(-0.00153)*(AJ140)</f>
        <v>-1.7906457</v>
      </c>
      <c r="AK142" s="11">
        <f t="shared" si="249"/>
        <v>-1.6754621999999999</v>
      </c>
    </row>
    <row r="143" spans="1:37">
      <c r="A143" s="11"/>
      <c r="B143" s="11" t="s">
        <v>249</v>
      </c>
      <c r="C143" s="11"/>
      <c r="D143" s="16">
        <f>D140+D141+D142</f>
        <v>47.41727744062576</v>
      </c>
      <c r="E143" s="16">
        <f t="shared" ref="E143:I143" si="250">E140+E141+E142</f>
        <v>73.549761857422965</v>
      </c>
      <c r="F143" s="16">
        <f t="shared" si="250"/>
        <v>103.19345161453167</v>
      </c>
      <c r="G143" s="16">
        <f t="shared" si="250"/>
        <v>120.68147729858079</v>
      </c>
      <c r="H143" s="16">
        <f t="shared" si="250"/>
        <v>133.71351746982305</v>
      </c>
      <c r="I143" s="16">
        <f t="shared" si="250"/>
        <v>142.90295502769325</v>
      </c>
      <c r="M143" s="11" t="s">
        <v>249</v>
      </c>
      <c r="N143" s="11"/>
      <c r="O143" s="16">
        <f>O140+O141+O142</f>
        <v>76.511121320805685</v>
      </c>
      <c r="P143" s="16">
        <f t="shared" ref="P143:S143" si="251">P140+P141+P142</f>
        <v>80.019076748225046</v>
      </c>
      <c r="Q143" s="16">
        <f t="shared" si="251"/>
        <v>123.50670030803687</v>
      </c>
      <c r="R143" s="16">
        <f t="shared" si="251"/>
        <v>127.50101020118204</v>
      </c>
      <c r="S143" s="16">
        <f t="shared" si="251"/>
        <v>127.16147086784868</v>
      </c>
      <c r="X143" s="11" t="s">
        <v>249</v>
      </c>
      <c r="Y143" s="11"/>
      <c r="Z143" s="16">
        <f>Z140+Z141+Z142</f>
        <v>117.60371047466664</v>
      </c>
      <c r="AA143" s="16">
        <f t="shared" ref="AA143" si="252">AA140+AA141+AA142</f>
        <v>119.48114434666667</v>
      </c>
      <c r="AB143" s="16">
        <f t="shared" ref="AB143" si="253">AB140+AB141+AB142</f>
        <v>117.16298297866668</v>
      </c>
      <c r="AC143" s="16">
        <f t="shared" ref="AC143" si="254">AC140+AC141+AC142</f>
        <v>126.45926092800002</v>
      </c>
      <c r="AD143" s="16">
        <f t="shared" ref="AD143" si="255">AD140+AD141+AD142</f>
        <v>121.346536984</v>
      </c>
      <c r="AE143" s="16">
        <f t="shared" ref="AE143" si="256">AE140+AE141+AE142</f>
        <v>118.59130065066665</v>
      </c>
      <c r="AF143" s="16">
        <f t="shared" ref="AF143" si="257">AF140+AF141+AF142</f>
        <v>115.88816986</v>
      </c>
      <c r="AG143" s="16">
        <f t="shared" ref="AG143" si="258">AG140+AG141+AG142</f>
        <v>122.40565136800001</v>
      </c>
      <c r="AH143" s="16">
        <f t="shared" ref="AH143" si="259">AH140+AH141+AH142</f>
        <v>126.33954896133332</v>
      </c>
      <c r="AI143" s="16">
        <f t="shared" ref="AI143:AK143" si="260">AI140+AI141+AI142</f>
        <v>122.46974284199999</v>
      </c>
      <c r="AJ143" s="16">
        <f t="shared" si="260"/>
        <v>118.70225456</v>
      </c>
      <c r="AK143" s="16">
        <f t="shared" si="260"/>
        <v>110.096263772</v>
      </c>
    </row>
    <row r="144" spans="1:37">
      <c r="A144" s="11"/>
      <c r="B144" s="11"/>
      <c r="C144" s="11"/>
      <c r="D144" s="11"/>
      <c r="E144" s="11"/>
      <c r="F144" s="11"/>
      <c r="G144" s="11"/>
      <c r="M144" s="11"/>
      <c r="N144" s="11"/>
      <c r="O144" s="11"/>
      <c r="P144" s="11"/>
      <c r="Q144" s="11"/>
      <c r="R144" s="11"/>
      <c r="S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43">
      <c r="A145" s="11"/>
      <c r="B145" s="4" t="s">
        <v>250</v>
      </c>
      <c r="C145" s="11"/>
      <c r="D145" s="11"/>
      <c r="E145" s="11"/>
      <c r="F145" s="11"/>
      <c r="G145" s="11"/>
      <c r="M145" s="4" t="s">
        <v>250</v>
      </c>
      <c r="N145" s="11"/>
      <c r="O145" s="11"/>
      <c r="P145" s="11"/>
      <c r="Q145" s="11"/>
      <c r="R145" s="11"/>
      <c r="S145" s="11"/>
      <c r="X145" s="4" t="s">
        <v>250</v>
      </c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43">
      <c r="A146" s="11"/>
      <c r="B146" s="11" t="str">
        <f>B27</f>
        <v>TC Speed</v>
      </c>
      <c r="C146" s="11" t="str">
        <f t="shared" ref="C146:I146" si="261">C27</f>
        <v>rpm</v>
      </c>
      <c r="D146" s="11">
        <f t="shared" si="261"/>
        <v>5399</v>
      </c>
      <c r="E146" s="11">
        <f t="shared" si="261"/>
        <v>9112</v>
      </c>
      <c r="F146" s="11">
        <f t="shared" si="261"/>
        <v>11268.5</v>
      </c>
      <c r="G146" s="11">
        <f t="shared" si="261"/>
        <v>12216.5</v>
      </c>
      <c r="H146" s="11">
        <f t="shared" si="261"/>
        <v>12860.5</v>
      </c>
      <c r="I146" s="11">
        <f t="shared" si="261"/>
        <v>13468</v>
      </c>
      <c r="M146" s="11" t="str">
        <f>M27</f>
        <v>TC Speed</v>
      </c>
      <c r="N146" s="11" t="str">
        <f t="shared" ref="N146:O146" si="262">N27</f>
        <v>rpm</v>
      </c>
      <c r="O146" s="11">
        <f t="shared" si="262"/>
        <v>9549.5</v>
      </c>
      <c r="P146" s="11">
        <f t="shared" ref="P146:S146" si="263">P27</f>
        <v>9897.5</v>
      </c>
      <c r="Q146" s="11">
        <f t="shared" si="263"/>
        <v>12645</v>
      </c>
      <c r="R146" s="11">
        <f t="shared" si="263"/>
        <v>12880</v>
      </c>
      <c r="S146" s="11">
        <f t="shared" si="263"/>
        <v>12960</v>
      </c>
      <c r="X146" s="11" t="str">
        <f>X27</f>
        <v>TC Speed</v>
      </c>
      <c r="Y146" s="11" t="str">
        <f t="shared" ref="Y146:AD146" si="264">Y27</f>
        <v>rpm</v>
      </c>
      <c r="Z146" s="11">
        <f t="shared" si="264"/>
        <v>12275</v>
      </c>
      <c r="AA146" s="11">
        <f t="shared" si="264"/>
        <v>12306</v>
      </c>
      <c r="AB146" s="11">
        <f t="shared" si="264"/>
        <v>12405</v>
      </c>
      <c r="AC146" s="11">
        <f t="shared" si="264"/>
        <v>12500</v>
      </c>
      <c r="AD146" s="11">
        <f t="shared" si="264"/>
        <v>12640</v>
      </c>
      <c r="AE146" s="11">
        <f>AE27</f>
        <v>12375</v>
      </c>
      <c r="AF146" s="11">
        <f>AF27</f>
        <v>12279</v>
      </c>
      <c r="AG146" s="11">
        <f>AG27</f>
        <v>12630</v>
      </c>
      <c r="AH146" s="11">
        <f>AH27</f>
        <v>12862.5</v>
      </c>
      <c r="AI146" s="11">
        <f>AI27</f>
        <v>12515</v>
      </c>
      <c r="AJ146" s="11">
        <f t="shared" ref="AJ146:AK146" si="265">AJ27</f>
        <v>12365.5</v>
      </c>
      <c r="AK146" s="11">
        <f t="shared" si="265"/>
        <v>11860</v>
      </c>
    </row>
    <row r="147" spans="1:43">
      <c r="A147" s="11"/>
      <c r="B147" s="11" t="str">
        <f>B135</f>
        <v>P scavenge corr.</v>
      </c>
      <c r="C147" s="11" t="str">
        <f t="shared" ref="C147:I147" si="266">C135</f>
        <v>bar</v>
      </c>
      <c r="D147" s="11">
        <f t="shared" si="266"/>
        <v>1.3543320128217464</v>
      </c>
      <c r="E147" s="11">
        <f t="shared" si="266"/>
        <v>2.0495579112915405</v>
      </c>
      <c r="F147" s="11">
        <f t="shared" si="266"/>
        <v>2.8566492360307971</v>
      </c>
      <c r="G147" s="11">
        <f t="shared" si="266"/>
        <v>3.2817779136590555</v>
      </c>
      <c r="H147" s="11">
        <f t="shared" si="266"/>
        <v>3.6487882583982683</v>
      </c>
      <c r="I147" s="11">
        <f t="shared" si="266"/>
        <v>3.8986751333778566</v>
      </c>
      <c r="M147" s="11" t="str">
        <f>M135</f>
        <v>P scavenge corr.</v>
      </c>
      <c r="N147" s="11" t="str">
        <f t="shared" ref="N147:O147" si="267">N135</f>
        <v>bar</v>
      </c>
      <c r="O147" s="11">
        <f t="shared" si="267"/>
        <v>2.1557277235707759</v>
      </c>
      <c r="P147" s="11">
        <f t="shared" ref="P147:S147" si="268">P135</f>
        <v>2.2485322509846006</v>
      </c>
      <c r="Q147" s="11">
        <f t="shared" si="268"/>
        <v>3.437675871785145</v>
      </c>
      <c r="R147" s="11">
        <f t="shared" si="268"/>
        <v>3.5391407973916884</v>
      </c>
      <c r="S147" s="11">
        <f t="shared" si="268"/>
        <v>3.4896244718126885</v>
      </c>
      <c r="X147" s="11" t="str">
        <f>X135</f>
        <v>P scavenge corr.</v>
      </c>
      <c r="Y147" s="11" t="str">
        <f t="shared" ref="Y147:AD147" si="269">Y135</f>
        <v>bar</v>
      </c>
      <c r="Z147" s="11">
        <f t="shared" si="269"/>
        <v>3.3077297119999995</v>
      </c>
      <c r="AA147" s="11">
        <f t="shared" si="269"/>
        <v>3.3516725199999997</v>
      </c>
      <c r="AB147" s="11">
        <f t="shared" si="269"/>
        <v>3.4952101679999998</v>
      </c>
      <c r="AC147" s="11">
        <f t="shared" si="269"/>
        <v>3.4813467920000001</v>
      </c>
      <c r="AD147" s="11">
        <f t="shared" si="269"/>
        <v>3.3842849759999996</v>
      </c>
      <c r="AE147" s="11">
        <f t="shared" ref="AE147:AI147" si="270">AE135</f>
        <v>3.544171376</v>
      </c>
      <c r="AF147" s="11">
        <f t="shared" si="270"/>
        <v>3.2517234400000001</v>
      </c>
      <c r="AG147" s="11">
        <f t="shared" si="270"/>
        <v>3.612571752</v>
      </c>
      <c r="AH147" s="11">
        <f t="shared" si="270"/>
        <v>3.7557991920000005</v>
      </c>
      <c r="AI147" s="11">
        <f t="shared" si="270"/>
        <v>3.6750542880000001</v>
      </c>
      <c r="AJ147" s="11">
        <f t="shared" ref="AJ147:AK147" si="271">AJ135</f>
        <v>3.2394728400000004</v>
      </c>
      <c r="AK147" s="11">
        <f t="shared" si="271"/>
        <v>3.1171022080000004</v>
      </c>
    </row>
    <row r="148" spans="1:43">
      <c r="A148" s="11"/>
      <c r="B148" s="11"/>
      <c r="C148" s="11"/>
      <c r="D148" s="11"/>
      <c r="E148" s="11"/>
      <c r="F148" s="11"/>
      <c r="G148" s="11"/>
      <c r="M148" s="11"/>
      <c r="N148" s="11"/>
      <c r="O148" s="11"/>
      <c r="P148" s="11"/>
      <c r="Q148" s="11"/>
      <c r="R148" s="11"/>
      <c r="S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43">
      <c r="A149" s="11"/>
      <c r="B149" s="4" t="s">
        <v>251</v>
      </c>
      <c r="C149" s="11"/>
      <c r="D149" s="11"/>
      <c r="E149" s="11"/>
      <c r="F149" s="11"/>
      <c r="G149" s="11"/>
      <c r="M149" s="4" t="s">
        <v>251</v>
      </c>
      <c r="N149" s="11"/>
      <c r="O149" s="11"/>
      <c r="P149" s="11"/>
      <c r="Q149" s="11"/>
      <c r="R149" s="11"/>
      <c r="S149" s="11"/>
      <c r="X149" s="4" t="s">
        <v>251</v>
      </c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43">
      <c r="A150" s="11"/>
      <c r="B150" s="11" t="str">
        <f>B14</f>
        <v>Air Filter Pressure Drop</v>
      </c>
      <c r="C150" s="11" t="str">
        <f t="shared" ref="C150:I150" si="272">C14</f>
        <v>mmW</v>
      </c>
      <c r="D150" s="11">
        <f t="shared" si="272"/>
        <v>3.5</v>
      </c>
      <c r="E150" s="11">
        <f t="shared" si="272"/>
        <v>12</v>
      </c>
      <c r="F150" s="11">
        <f t="shared" si="272"/>
        <v>22.5</v>
      </c>
      <c r="G150" s="11">
        <f t="shared" si="272"/>
        <v>28</v>
      </c>
      <c r="H150" s="11">
        <f t="shared" si="272"/>
        <v>33</v>
      </c>
      <c r="I150" s="11">
        <f t="shared" si="272"/>
        <v>37</v>
      </c>
      <c r="M150" s="11" t="str">
        <f>M14</f>
        <v>Air Filter Pressure Drop</v>
      </c>
      <c r="N150" s="11" t="str">
        <f t="shared" ref="N150:O150" si="273">N14</f>
        <v>mmW</v>
      </c>
      <c r="O150" s="11">
        <f t="shared" si="273"/>
        <v>19.5</v>
      </c>
      <c r="P150" s="11">
        <f t="shared" ref="P150:S150" si="274">P14</f>
        <v>20</v>
      </c>
      <c r="Q150" s="11">
        <f t="shared" si="274"/>
        <v>40</v>
      </c>
      <c r="R150" s="11">
        <f t="shared" si="274"/>
        <v>42.5</v>
      </c>
      <c r="S150" s="11">
        <f t="shared" si="274"/>
        <v>40</v>
      </c>
      <c r="X150" s="11" t="str">
        <f>X14</f>
        <v>Air Filter Pressure Drop</v>
      </c>
      <c r="Y150" s="11" t="str">
        <f t="shared" ref="Y150:AD150" si="275">Y14</f>
        <v>mmW</v>
      </c>
      <c r="Z150" s="11">
        <f t="shared" si="275"/>
        <v>50</v>
      </c>
      <c r="AA150" s="11">
        <f t="shared" si="275"/>
        <v>25.5</v>
      </c>
      <c r="AB150" s="11">
        <f t="shared" si="275"/>
        <v>27</v>
      </c>
      <c r="AC150" s="11">
        <f t="shared" si="275"/>
        <v>40</v>
      </c>
      <c r="AD150" s="11">
        <f t="shared" si="275"/>
        <v>40</v>
      </c>
      <c r="AE150" s="11">
        <f>AE14</f>
        <v>45</v>
      </c>
      <c r="AF150" s="11">
        <f>AF14</f>
        <v>28.5</v>
      </c>
      <c r="AG150" s="11">
        <f>AG14</f>
        <v>37.5</v>
      </c>
      <c r="AH150" s="11">
        <f>AH14</f>
        <v>25</v>
      </c>
      <c r="AI150" s="11">
        <f>AI14</f>
        <v>7.5</v>
      </c>
      <c r="AJ150" s="11">
        <f t="shared" ref="AJ150:AK150" si="276">AJ14</f>
        <v>35</v>
      </c>
      <c r="AK150" s="11">
        <f t="shared" si="276"/>
        <v>35</v>
      </c>
    </row>
    <row r="151" spans="1:43">
      <c r="A151" s="11"/>
      <c r="B151" s="11" t="str">
        <f>B147</f>
        <v>P scavenge corr.</v>
      </c>
      <c r="C151" s="11" t="str">
        <f t="shared" ref="C151:I151" si="277">C147</f>
        <v>bar</v>
      </c>
      <c r="D151" s="11">
        <f t="shared" si="277"/>
        <v>1.3543320128217464</v>
      </c>
      <c r="E151" s="11">
        <f t="shared" si="277"/>
        <v>2.0495579112915405</v>
      </c>
      <c r="F151" s="11">
        <f t="shared" si="277"/>
        <v>2.8566492360307971</v>
      </c>
      <c r="G151" s="11">
        <f t="shared" si="277"/>
        <v>3.2817779136590555</v>
      </c>
      <c r="H151" s="11">
        <f t="shared" si="277"/>
        <v>3.6487882583982683</v>
      </c>
      <c r="I151" s="11">
        <f t="shared" si="277"/>
        <v>3.8986751333778566</v>
      </c>
      <c r="M151" s="11" t="str">
        <f>M147</f>
        <v>P scavenge corr.</v>
      </c>
      <c r="N151" s="11" t="str">
        <f t="shared" ref="N151:O151" si="278">N147</f>
        <v>bar</v>
      </c>
      <c r="O151" s="11">
        <f t="shared" si="278"/>
        <v>2.1557277235707759</v>
      </c>
      <c r="P151" s="11">
        <f t="shared" ref="P151:S151" si="279">P147</f>
        <v>2.2485322509846006</v>
      </c>
      <c r="Q151" s="11">
        <f t="shared" si="279"/>
        <v>3.437675871785145</v>
      </c>
      <c r="R151" s="11">
        <f t="shared" si="279"/>
        <v>3.5391407973916884</v>
      </c>
      <c r="S151" s="11">
        <f t="shared" si="279"/>
        <v>3.4896244718126885</v>
      </c>
      <c r="X151" s="11" t="str">
        <f>X147</f>
        <v>P scavenge corr.</v>
      </c>
      <c r="Y151" s="11" t="str">
        <f t="shared" ref="Y151:AD151" si="280">Y147</f>
        <v>bar</v>
      </c>
      <c r="Z151" s="11">
        <f t="shared" si="280"/>
        <v>3.3077297119999995</v>
      </c>
      <c r="AA151" s="11">
        <f t="shared" si="280"/>
        <v>3.3516725199999997</v>
      </c>
      <c r="AB151" s="11">
        <f t="shared" si="280"/>
        <v>3.4952101679999998</v>
      </c>
      <c r="AC151" s="11">
        <f t="shared" si="280"/>
        <v>3.4813467920000001</v>
      </c>
      <c r="AD151" s="11">
        <f t="shared" si="280"/>
        <v>3.3842849759999996</v>
      </c>
      <c r="AE151" s="11">
        <f t="shared" ref="AE151:AI151" si="281">AE147</f>
        <v>3.544171376</v>
      </c>
      <c r="AF151" s="11">
        <f t="shared" si="281"/>
        <v>3.2517234400000001</v>
      </c>
      <c r="AG151" s="11">
        <f t="shared" si="281"/>
        <v>3.612571752</v>
      </c>
      <c r="AH151" s="11">
        <f t="shared" si="281"/>
        <v>3.7557991920000005</v>
      </c>
      <c r="AI151" s="11">
        <f t="shared" si="281"/>
        <v>3.6750542880000001</v>
      </c>
      <c r="AJ151" s="11">
        <f t="shared" ref="AJ151:AK151" si="282">AJ147</f>
        <v>3.2394728400000004</v>
      </c>
      <c r="AK151" s="11">
        <f t="shared" si="282"/>
        <v>3.1171022080000004</v>
      </c>
    </row>
    <row r="152" spans="1:43">
      <c r="A152" s="11"/>
      <c r="B152" s="11"/>
      <c r="C152" s="11"/>
      <c r="D152" s="11"/>
      <c r="E152" s="11"/>
      <c r="F152" s="11"/>
      <c r="G152" s="11"/>
    </row>
    <row r="153" spans="1:43">
      <c r="A153" s="11"/>
      <c r="B153" s="11"/>
      <c r="C153" s="11"/>
      <c r="D153" s="11"/>
      <c r="E153" s="11"/>
      <c r="F153" s="11"/>
      <c r="G153" s="11"/>
    </row>
    <row r="154" spans="1:43">
      <c r="A154" s="11"/>
      <c r="B154" s="11"/>
      <c r="C154" s="11"/>
      <c r="D154" s="11"/>
      <c r="E154" s="11"/>
      <c r="F154" s="11"/>
      <c r="G154" s="11"/>
    </row>
    <row r="155" spans="1:43" ht="15.75" thickBot="1">
      <c r="A155" s="11"/>
      <c r="B155" s="11"/>
      <c r="C155" s="11"/>
      <c r="D155" s="11"/>
      <c r="E155" s="11"/>
      <c r="F155" s="11"/>
      <c r="G155" s="11"/>
    </row>
    <row r="156" spans="1:43">
      <c r="A156" s="11"/>
      <c r="B156" s="11"/>
      <c r="C156" s="11"/>
      <c r="D156" s="11"/>
      <c r="E156" s="11"/>
      <c r="F156" s="11"/>
      <c r="G156" s="11"/>
      <c r="O156" s="3">
        <f>O7</f>
        <v>38966</v>
      </c>
      <c r="P156" s="3">
        <f t="shared" ref="P156:S156" si="283">P7</f>
        <v>38966</v>
      </c>
      <c r="Q156" s="3">
        <f t="shared" si="283"/>
        <v>38966</v>
      </c>
      <c r="R156" s="3">
        <f t="shared" si="283"/>
        <v>38966</v>
      </c>
      <c r="S156" s="3">
        <f t="shared" si="283"/>
        <v>38966</v>
      </c>
      <c r="X156" s="69"/>
      <c r="Y156" s="70"/>
      <c r="Z156" s="71">
        <f t="shared" ref="Z156:AI156" si="284">Z7</f>
        <v>41288</v>
      </c>
      <c r="AA156" s="71">
        <f t="shared" si="284"/>
        <v>41330</v>
      </c>
      <c r="AB156" s="71">
        <f t="shared" si="284"/>
        <v>41339</v>
      </c>
      <c r="AC156" s="71">
        <f t="shared" si="284"/>
        <v>0</v>
      </c>
      <c r="AD156" s="71">
        <f t="shared" si="284"/>
        <v>0</v>
      </c>
      <c r="AE156" s="71">
        <f t="shared" si="284"/>
        <v>41451</v>
      </c>
      <c r="AF156" s="71">
        <f t="shared" si="284"/>
        <v>41485</v>
      </c>
      <c r="AG156" s="71">
        <f t="shared" si="284"/>
        <v>41508</v>
      </c>
      <c r="AH156" s="71">
        <f t="shared" si="284"/>
        <v>41533</v>
      </c>
      <c r="AI156" s="71">
        <f t="shared" si="284"/>
        <v>41558</v>
      </c>
      <c r="AJ156" s="70"/>
      <c r="AK156" s="72"/>
      <c r="AM156" s="11"/>
      <c r="AN156" s="11"/>
      <c r="AO156" s="11"/>
      <c r="AP156" s="11"/>
      <c r="AQ156" s="11"/>
    </row>
    <row r="157" spans="1:43">
      <c r="A157" s="11"/>
      <c r="B157" s="11"/>
      <c r="C157" s="11"/>
      <c r="D157" s="11"/>
      <c r="E157" s="11"/>
      <c r="F157" s="11"/>
      <c r="G157" s="11"/>
      <c r="M157" t="str">
        <f>E169</f>
        <v>Pmax corr.</v>
      </c>
      <c r="N157" t="s">
        <v>254</v>
      </c>
      <c r="O157" s="16">
        <f>O116</f>
        <v>101.01168616021607</v>
      </c>
      <c r="P157" s="16">
        <f t="shared" ref="P157:S157" si="285">P116</f>
        <v>103.3346267160052</v>
      </c>
      <c r="Q157" s="16">
        <f t="shared" si="285"/>
        <v>137.4571974520579</v>
      </c>
      <c r="R157" s="16">
        <f t="shared" si="285"/>
        <v>144.48415802144396</v>
      </c>
      <c r="S157" s="16">
        <f t="shared" si="285"/>
        <v>143.63626968811062</v>
      </c>
      <c r="X157" s="73" t="s">
        <v>241</v>
      </c>
      <c r="Y157" s="74" t="s">
        <v>254</v>
      </c>
      <c r="Z157" s="75">
        <f>Z116</f>
        <v>135.94442622933337</v>
      </c>
      <c r="AA157" s="75">
        <f t="shared" ref="AA157:AI157" si="286">AA116</f>
        <v>137.38071269333332</v>
      </c>
      <c r="AB157" s="75">
        <f t="shared" si="286"/>
        <v>136.202490144</v>
      </c>
      <c r="AC157" s="75">
        <f t="shared" si="286"/>
        <v>138.83145213600002</v>
      </c>
      <c r="AD157" s="75">
        <f t="shared" si="286"/>
        <v>137.944290408</v>
      </c>
      <c r="AE157" s="75">
        <f t="shared" si="286"/>
        <v>136.03572514133333</v>
      </c>
      <c r="AF157" s="75">
        <f t="shared" si="286"/>
        <v>134.32586132000003</v>
      </c>
      <c r="AG157" s="75">
        <f t="shared" si="286"/>
        <v>137.75826531600001</v>
      </c>
      <c r="AH157" s="75">
        <f t="shared" si="286"/>
        <v>139.00587503599999</v>
      </c>
      <c r="AI157" s="75">
        <f t="shared" si="286"/>
        <v>146.45944895399998</v>
      </c>
      <c r="AJ157" s="74"/>
      <c r="AK157" s="76"/>
      <c r="AL157" s="3"/>
      <c r="AM157" s="46"/>
      <c r="AN157" s="46"/>
      <c r="AO157" s="46"/>
      <c r="AP157" s="46"/>
      <c r="AQ157" s="46"/>
    </row>
    <row r="158" spans="1:43">
      <c r="A158" s="11"/>
      <c r="B158" s="11"/>
      <c r="C158" s="11"/>
      <c r="D158" s="11"/>
      <c r="E158" s="11"/>
      <c r="F158" s="11"/>
      <c r="G158" s="11"/>
      <c r="N158" t="s">
        <v>253</v>
      </c>
      <c r="O158" s="67">
        <f ca="1">_xlfn.IFNA(FORECAST(O108,OFFSET($E$170:$E$175,MATCH(O108,$D$170:$D$175,1)-1,0,2),OFFSET($D$170:$D$175,MATCH(O108,$D$170:$D$175,1)-1,0,2)),0)</f>
        <v>0</v>
      </c>
      <c r="P158" s="67">
        <f t="shared" ref="P158:S158" ca="1" si="287">_xlfn.IFNA(FORECAST(P108,OFFSET($E$170:$E$175,MATCH(P108,$D$170:$D$175,1)-1,0,2),OFFSET($D$170:$D$175,MATCH(P108,$D$170:$D$175,1)-1,0,2)),0)</f>
        <v>0</v>
      </c>
      <c r="Q158" s="67">
        <f t="shared" ca="1" si="287"/>
        <v>0</v>
      </c>
      <c r="R158" s="67">
        <f t="shared" ca="1" si="287"/>
        <v>0</v>
      </c>
      <c r="S158" s="67">
        <f t="shared" ca="1" si="287"/>
        <v>0</v>
      </c>
      <c r="X158" s="73"/>
      <c r="Y158" s="77" t="s">
        <v>253</v>
      </c>
      <c r="Z158" s="78">
        <f ca="1">FORECAST(Z108,OFFSET($E$170:$E$175,MATCH(Z108,$D$170:$D$175,1)-1,0,2),OFFSET($D$170:$D$175,MATCH(Z108,$D$170:$D$175,1)-1,0,2))</f>
        <v>135.45678258535659</v>
      </c>
      <c r="AA158" s="78">
        <f t="shared" ref="AA158:AI158" ca="1" si="288">FORECAST(AA108,OFFSET($E$170:$E$175,MATCH(AA108,$D$170:$D$175,1)-1,0,2),OFFSET($D$170:$D$175,MATCH(AA108,$D$170:$D$175,1)-1,0,2))</f>
        <v>129.65447893115382</v>
      </c>
      <c r="AB158" s="78">
        <f t="shared" ca="1" si="288"/>
        <v>128.03393368113143</v>
      </c>
      <c r="AC158" s="78">
        <f t="shared" ca="1" si="288"/>
        <v>134.10370378188401</v>
      </c>
      <c r="AD158" s="78">
        <f t="shared" ca="1" si="288"/>
        <v>130.82994225480593</v>
      </c>
      <c r="AE158" s="78">
        <f t="shared" ca="1" si="288"/>
        <v>127.15713447009929</v>
      </c>
      <c r="AF158" s="78">
        <f t="shared" ca="1" si="288"/>
        <v>127.8886417610058</v>
      </c>
      <c r="AG158" s="78">
        <f t="shared" ca="1" si="288"/>
        <v>132.88657158134703</v>
      </c>
      <c r="AH158" s="78">
        <f t="shared" ca="1" si="288"/>
        <v>138.43112693216065</v>
      </c>
      <c r="AI158" s="78">
        <f t="shared" ca="1" si="288"/>
        <v>137.48502387772152</v>
      </c>
      <c r="AJ158" s="74"/>
      <c r="AK158" s="76"/>
      <c r="AL158" s="3"/>
      <c r="AM158" s="46"/>
      <c r="AN158" s="46"/>
      <c r="AO158" s="46"/>
      <c r="AP158" s="46"/>
      <c r="AQ158" s="46"/>
    </row>
    <row r="159" spans="1:43">
      <c r="A159" s="11"/>
      <c r="B159" s="11"/>
      <c r="C159" s="11"/>
      <c r="D159" s="11"/>
      <c r="E159" s="11"/>
      <c r="F159" s="11"/>
      <c r="G159" s="11"/>
      <c r="N159" t="s">
        <v>255</v>
      </c>
      <c r="O159" s="64">
        <f ca="1">IFERROR((O157-O158)/O158,0)</f>
        <v>0</v>
      </c>
      <c r="P159" s="64">
        <f t="shared" ref="P159:S159" ca="1" si="289">IFERROR((P157-P158)/P158,0)</f>
        <v>0</v>
      </c>
      <c r="Q159" s="64">
        <f t="shared" ca="1" si="289"/>
        <v>0</v>
      </c>
      <c r="R159" s="64">
        <f t="shared" ca="1" si="289"/>
        <v>0</v>
      </c>
      <c r="S159" s="64">
        <f t="shared" ca="1" si="289"/>
        <v>0</v>
      </c>
      <c r="X159" s="73"/>
      <c r="Y159" s="74" t="s">
        <v>255</v>
      </c>
      <c r="Z159" s="79">
        <f ca="1">(Z157-Z158)/Z158</f>
        <v>3.5999942909429304E-3</v>
      </c>
      <c r="AA159" s="79">
        <f t="shared" ref="AA159:AI159" ca="1" si="290">(AA157-AA158)/AA158</f>
        <v>5.9590951472506502E-2</v>
      </c>
      <c r="AB159" s="79">
        <f t="shared" ca="1" si="290"/>
        <v>6.3799933564584202E-2</v>
      </c>
      <c r="AC159" s="79">
        <f t="shared" ca="1" si="290"/>
        <v>3.5254420428279663E-2</v>
      </c>
      <c r="AD159" s="79">
        <f t="shared" ca="1" si="290"/>
        <v>5.4378592779152073E-2</v>
      </c>
      <c r="AE159" s="79">
        <f t="shared" ca="1" si="290"/>
        <v>6.9823771259345385E-2</v>
      </c>
      <c r="AF159" s="79">
        <f t="shared" ca="1" si="290"/>
        <v>5.0334568186468816E-2</v>
      </c>
      <c r="AG159" s="79">
        <f t="shared" ca="1" si="290"/>
        <v>3.6660541969590607E-2</v>
      </c>
      <c r="AH159" s="79">
        <f t="shared" ca="1" si="290"/>
        <v>4.1518704396663652E-3</v>
      </c>
      <c r="AI159" s="79">
        <f t="shared" ca="1" si="290"/>
        <v>6.527565565439529E-2</v>
      </c>
      <c r="AJ159" s="74"/>
      <c r="AK159" s="76"/>
      <c r="AL159" s="3"/>
      <c r="AM159" s="46"/>
      <c r="AN159" s="46"/>
      <c r="AO159" s="46"/>
      <c r="AP159" s="46"/>
      <c r="AQ159" s="46"/>
    </row>
    <row r="160" spans="1:43">
      <c r="A160" s="11"/>
      <c r="B160" s="11"/>
      <c r="C160" s="11"/>
      <c r="D160" s="11"/>
      <c r="E160" s="11"/>
      <c r="F160" s="11"/>
      <c r="G160" s="11"/>
      <c r="M160" t="str">
        <f>H169</f>
        <v>Pcomp corr.</v>
      </c>
      <c r="N160" s="11" t="s">
        <v>254</v>
      </c>
      <c r="O160" s="16">
        <f>O143</f>
        <v>76.511121320805685</v>
      </c>
      <c r="P160" s="16">
        <f t="shared" ref="P160:S160" si="291">P143</f>
        <v>80.019076748225046</v>
      </c>
      <c r="Q160" s="16">
        <f t="shared" si="291"/>
        <v>123.50670030803687</v>
      </c>
      <c r="R160" s="16">
        <f t="shared" si="291"/>
        <v>127.50101020118204</v>
      </c>
      <c r="S160" s="16">
        <f t="shared" si="291"/>
        <v>127.16147086784868</v>
      </c>
      <c r="X160" s="73" t="s">
        <v>249</v>
      </c>
      <c r="Y160" s="75" t="s">
        <v>254</v>
      </c>
      <c r="Z160" s="75">
        <f>Z143</f>
        <v>117.60371047466664</v>
      </c>
      <c r="AA160" s="75">
        <f t="shared" ref="AA160:AI160" si="292">AA143</f>
        <v>119.48114434666667</v>
      </c>
      <c r="AB160" s="75">
        <f t="shared" si="292"/>
        <v>117.16298297866668</v>
      </c>
      <c r="AC160" s="75">
        <f t="shared" si="292"/>
        <v>126.45926092800002</v>
      </c>
      <c r="AD160" s="75">
        <f t="shared" si="292"/>
        <v>121.346536984</v>
      </c>
      <c r="AE160" s="75">
        <f t="shared" si="292"/>
        <v>118.59130065066665</v>
      </c>
      <c r="AF160" s="75">
        <f t="shared" si="292"/>
        <v>115.88816986</v>
      </c>
      <c r="AG160" s="75">
        <f t="shared" si="292"/>
        <v>122.40565136800001</v>
      </c>
      <c r="AH160" s="75">
        <f t="shared" si="292"/>
        <v>126.33954896133332</v>
      </c>
      <c r="AI160" s="75">
        <f t="shared" si="292"/>
        <v>122.46974284199999</v>
      </c>
      <c r="AJ160" s="74"/>
      <c r="AK160" s="76"/>
      <c r="AL160" s="3"/>
      <c r="AM160" s="46"/>
      <c r="AN160" s="46"/>
      <c r="AO160" s="46"/>
      <c r="AP160" s="46"/>
      <c r="AQ160" s="46"/>
    </row>
    <row r="161" spans="1:43">
      <c r="A161" s="11"/>
      <c r="B161" s="11"/>
      <c r="C161" s="11"/>
      <c r="D161" s="11"/>
      <c r="E161" s="11"/>
      <c r="F161" s="11"/>
      <c r="G161" s="11"/>
      <c r="N161" s="11" t="s">
        <v>253</v>
      </c>
      <c r="O161" s="16">
        <f ca="1">FORECAST(O104,OFFSET($H$170:$H$175,MATCH(O104,$I$170:$I$175,1)-1,0,2),OFFSET($I$170:$I$175,MATCH(O104,$I$170:$I$175,1)-1,0,2))</f>
        <v>71.791237866934267</v>
      </c>
      <c r="P161" s="16">
        <f t="shared" ref="P161:S161" ca="1" si="293">FORECAST(P104,OFFSET($H$170:$H$175,MATCH(P104,$I$170:$I$175,1)-1,0,2),OFFSET($I$170:$I$175,MATCH(P104,$I$170:$I$175,1)-1,0,2))</f>
        <v>75.438947030869201</v>
      </c>
      <c r="Q161" s="16">
        <f t="shared" ca="1" si="293"/>
        <v>119.49188485379372</v>
      </c>
      <c r="R161" s="16">
        <f t="shared" ca="1" si="293"/>
        <v>123.51928463268963</v>
      </c>
      <c r="S161" s="16">
        <f t="shared" ca="1" si="293"/>
        <v>122.55799898401584</v>
      </c>
      <c r="X161" s="73"/>
      <c r="Y161" s="74" t="s">
        <v>253</v>
      </c>
      <c r="Z161" s="75">
        <f ca="1">FORECAST(Z104,OFFSET($H$170:$H$175,MATCH(Z104,$I$170:$I$175,1)-1,0,2),OFFSET($I$170:$I$175,MATCH(Z104,$I$170:$I$175,1)-1,0,2))</f>
        <v>110.97149657889501</v>
      </c>
      <c r="AA161" s="75">
        <f t="shared" ref="AA161:AI161" ca="1" si="294">FORECAST(AA104,OFFSET($H$170:$H$175,MATCH(AA104,$I$170:$I$175,1)-1,0,2),OFFSET($I$170:$I$175,MATCH(AA104,$I$170:$I$175,1)-1,0,2))</f>
        <v>108.76196502503488</v>
      </c>
      <c r="AB161" s="75">
        <f t="shared" ca="1" si="294"/>
        <v>106.15607209858138</v>
      </c>
      <c r="AC161" s="75">
        <f t="shared" ca="1" si="294"/>
        <v>113.20343440514888</v>
      </c>
      <c r="AD161" s="75">
        <f t="shared" ca="1" si="294"/>
        <v>109.86800318031415</v>
      </c>
      <c r="AE161" s="75">
        <f t="shared" ca="1" si="294"/>
        <v>106.16443048643642</v>
      </c>
      <c r="AF161" s="75">
        <f t="shared" ca="1" si="294"/>
        <v>106.02856530563363</v>
      </c>
      <c r="AG161" s="75">
        <f t="shared" ca="1" si="294"/>
        <v>111.02084003195041</v>
      </c>
      <c r="AH161" s="75">
        <f t="shared" ca="1" si="294"/>
        <v>114.7652115893188</v>
      </c>
      <c r="AI161" s="75">
        <f t="shared" ca="1" si="294"/>
        <v>113.80455559111294</v>
      </c>
      <c r="AJ161" s="74"/>
      <c r="AK161" s="76"/>
      <c r="AL161" s="3"/>
      <c r="AM161" s="46"/>
      <c r="AN161" s="46"/>
      <c r="AO161" s="46"/>
      <c r="AP161" s="46"/>
      <c r="AQ161" s="46"/>
    </row>
    <row r="162" spans="1:43">
      <c r="A162" s="11"/>
      <c r="B162" s="11"/>
      <c r="C162" s="11"/>
      <c r="D162" s="11"/>
      <c r="E162" s="11"/>
      <c r="F162" s="11"/>
      <c r="G162" s="11"/>
      <c r="N162" s="11" t="s">
        <v>255</v>
      </c>
      <c r="O162" s="64">
        <f ca="1">(O160-O161)/O161</f>
        <v>6.5744561510692523E-2</v>
      </c>
      <c r="P162" s="64">
        <f t="shared" ref="P162:S162" ca="1" si="295">(P160-P161)/P161</f>
        <v>6.0713065301424229E-2</v>
      </c>
      <c r="Q162" s="64">
        <f t="shared" ca="1" si="295"/>
        <v>3.3599063728516315E-2</v>
      </c>
      <c r="R162" s="64">
        <f t="shared" ca="1" si="295"/>
        <v>3.2235659235988125E-2</v>
      </c>
      <c r="S162" s="64">
        <f t="shared" ca="1" si="295"/>
        <v>3.7561578371014599E-2</v>
      </c>
      <c r="X162" s="73"/>
      <c r="Y162" s="74" t="s">
        <v>255</v>
      </c>
      <c r="Z162" s="79">
        <f ca="1">(Z160-Z161)/Z161</f>
        <v>5.976502165181187E-2</v>
      </c>
      <c r="AA162" s="79">
        <f t="shared" ref="AA162" ca="1" si="296">(AA160-AA161)/AA161</f>
        <v>9.8556322692077494E-2</v>
      </c>
      <c r="AB162" s="79">
        <f t="shared" ref="AB162" ca="1" si="297">(AB160-AB161)/AB161</f>
        <v>0.10368611670054804</v>
      </c>
      <c r="AC162" s="79">
        <f t="shared" ref="AC162" ca="1" si="298">(AC160-AC161)/AC161</f>
        <v>0.11709738836552662</v>
      </c>
      <c r="AD162" s="79">
        <f t="shared" ref="AD162" ca="1" si="299">(AD160-AD161)/AD161</f>
        <v>0.10447567509575474</v>
      </c>
      <c r="AE162" s="79">
        <f t="shared" ref="AE162" ca="1" si="300">(AE160-AE161)/AE161</f>
        <v>0.11705304787386295</v>
      </c>
      <c r="AF162" s="79">
        <f t="shared" ref="AF162" ca="1" si="301">(AF160-AF161)/AF161</f>
        <v>9.2990077965739465E-2</v>
      </c>
      <c r="AG162" s="79">
        <f t="shared" ref="AG162" ca="1" si="302">(AG160-AG161)/AG161</f>
        <v>0.10254661496682234</v>
      </c>
      <c r="AH162" s="79">
        <f t="shared" ref="AH162" ca="1" si="303">(AH160-AH161)/AH161</f>
        <v>0.10085231588673993</v>
      </c>
      <c r="AI162" s="79">
        <f t="shared" ref="AI162" ca="1" si="304">(AI160-AI161)/AI161</f>
        <v>7.6140952406335061E-2</v>
      </c>
      <c r="AJ162" s="74"/>
      <c r="AK162" s="76"/>
      <c r="AL162" s="3"/>
      <c r="AM162" s="46"/>
      <c r="AN162" s="46"/>
      <c r="AO162" s="46"/>
      <c r="AP162" s="46"/>
      <c r="AQ162" s="46"/>
    </row>
    <row r="163" spans="1:43">
      <c r="A163" s="11"/>
      <c r="B163" s="11"/>
      <c r="C163" s="11"/>
      <c r="D163" s="11"/>
      <c r="E163" s="11"/>
      <c r="F163" s="11"/>
      <c r="G163" s="11"/>
      <c r="M163" t="str">
        <f>G169</f>
        <v>P scavenge corr.</v>
      </c>
      <c r="N163" s="11" t="s">
        <v>254</v>
      </c>
      <c r="O163" s="52">
        <f>O135</f>
        <v>2.1557277235707759</v>
      </c>
      <c r="P163" s="52">
        <f t="shared" ref="P163:S163" si="305">P135</f>
        <v>2.2485322509846006</v>
      </c>
      <c r="Q163" s="52">
        <f t="shared" si="305"/>
        <v>3.437675871785145</v>
      </c>
      <c r="R163" s="52">
        <f t="shared" si="305"/>
        <v>3.5391407973916884</v>
      </c>
      <c r="S163" s="52">
        <f t="shared" si="305"/>
        <v>3.4896244718126885</v>
      </c>
      <c r="X163" s="73" t="s">
        <v>248</v>
      </c>
      <c r="Y163" s="74" t="s">
        <v>254</v>
      </c>
      <c r="Z163" s="80">
        <f>Z135</f>
        <v>3.3077297119999995</v>
      </c>
      <c r="AA163" s="80">
        <f t="shared" ref="AA163:AI163" si="306">AA135</f>
        <v>3.3516725199999997</v>
      </c>
      <c r="AB163" s="80">
        <f t="shared" si="306"/>
        <v>3.4952101679999998</v>
      </c>
      <c r="AC163" s="80">
        <f t="shared" si="306"/>
        <v>3.4813467920000001</v>
      </c>
      <c r="AD163" s="80">
        <f t="shared" si="306"/>
        <v>3.3842849759999996</v>
      </c>
      <c r="AE163" s="80">
        <f t="shared" si="306"/>
        <v>3.544171376</v>
      </c>
      <c r="AF163" s="80">
        <f t="shared" si="306"/>
        <v>3.2517234400000001</v>
      </c>
      <c r="AG163" s="80">
        <f t="shared" si="306"/>
        <v>3.612571752</v>
      </c>
      <c r="AH163" s="80">
        <f t="shared" si="306"/>
        <v>3.7557991920000005</v>
      </c>
      <c r="AI163" s="80">
        <f t="shared" si="306"/>
        <v>3.6750542880000001</v>
      </c>
      <c r="AJ163" s="74"/>
      <c r="AK163" s="76"/>
      <c r="AL163" s="3"/>
      <c r="AM163" s="46"/>
      <c r="AN163" s="46"/>
      <c r="AO163" s="46"/>
      <c r="AP163" s="46"/>
      <c r="AQ163" s="46"/>
    </row>
    <row r="164" spans="1:43">
      <c r="A164" s="11"/>
      <c r="B164" s="11"/>
      <c r="C164" s="11"/>
      <c r="D164" s="11"/>
      <c r="E164" s="11"/>
      <c r="F164" s="11"/>
      <c r="G164" s="11"/>
      <c r="N164" s="11" t="s">
        <v>253</v>
      </c>
      <c r="O164" s="11">
        <f ca="1">FORECAST(O104,OFFSET($G$170:$G$175,MATCH(O104,$I$170:$I$175,1)-1,0,2),OFFSET($I$170:$I$175,MATCH(O104,$I$170:$I$175,1)-1,0,2))</f>
        <v>2.0027743218796452</v>
      </c>
      <c r="P164" s="11">
        <f t="shared" ref="P164:S164" ca="1" si="307">FORECAST(P104,OFFSET($G$170:$G$175,MATCH(P104,$I$170:$I$175,1)-1,0,2),OFFSET($I$170:$I$175,MATCH(P104,$I$170:$I$175,1)-1,0,2))</f>
        <v>2.1009936460738086</v>
      </c>
      <c r="Q164" s="11">
        <f t="shared" ca="1" si="307"/>
        <v>3.2528592768669009</v>
      </c>
      <c r="R164" s="11">
        <f t="shared" ca="1" si="307"/>
        <v>3.3616966857246173</v>
      </c>
      <c r="S164" s="11">
        <f t="shared" ca="1" si="307"/>
        <v>3.3346248095888185</v>
      </c>
      <c r="X164" s="73"/>
      <c r="Y164" s="74" t="s">
        <v>253</v>
      </c>
      <c r="Z164" s="74">
        <f ca="1">FORECAST(Z104,OFFSET($G$170:$G$175,MATCH(Z104,$I$170:$I$175,1)-1,0,2),OFFSET($I$170:$I$175,MATCH(Z104,$I$170:$I$175,1)-1,0,2))</f>
        <v>3.0457311844435875</v>
      </c>
      <c r="AA164" s="74">
        <f t="shared" ref="AA164:AI164" ca="1" si="308">FORECAST(AA104,OFFSET($G$170:$G$175,MATCH(AA104,$I$170:$I$175,1)-1,0,2),OFFSET($I$170:$I$175,MATCH(AA104,$I$170:$I$175,1)-1,0,2))</f>
        <v>2.9920181327451765</v>
      </c>
      <c r="AB164" s="74">
        <f t="shared" ca="1" si="308"/>
        <v>2.9286696545419177</v>
      </c>
      <c r="AC164" s="74">
        <f t="shared" ca="1" si="308"/>
        <v>3.0999889259271933</v>
      </c>
      <c r="AD164" s="74">
        <f t="shared" ca="1" si="308"/>
        <v>3.0189055897317676</v>
      </c>
      <c r="AE164" s="74">
        <f t="shared" ca="1" si="308"/>
        <v>2.9288728444525525</v>
      </c>
      <c r="AF164" s="74">
        <f t="shared" ca="1" si="308"/>
        <v>2.925570002514077</v>
      </c>
      <c r="AG164" s="74">
        <f t="shared" ca="1" si="308"/>
        <v>3.046930709039791</v>
      </c>
      <c r="AH164" s="74">
        <f t="shared" ca="1" si="308"/>
        <v>3.1379552624966629</v>
      </c>
      <c r="AI164" s="74">
        <f t="shared" ca="1" si="308"/>
        <v>3.1146020022972905</v>
      </c>
      <c r="AJ164" s="74"/>
      <c r="AK164" s="76"/>
      <c r="AL164" s="3"/>
      <c r="AM164" s="46"/>
      <c r="AN164" s="46"/>
      <c r="AO164" s="46"/>
      <c r="AP164" s="46"/>
      <c r="AQ164" s="46"/>
    </row>
    <row r="165" spans="1:43">
      <c r="A165" s="11"/>
      <c r="B165" s="11"/>
      <c r="C165" s="11"/>
      <c r="D165" s="11"/>
      <c r="E165" s="11"/>
      <c r="F165" s="11"/>
      <c r="G165" s="11"/>
      <c r="N165" s="11" t="s">
        <v>255</v>
      </c>
      <c r="O165" s="64">
        <f ca="1">(O163-O164)/O164</f>
        <v>7.6370762307148399E-2</v>
      </c>
      <c r="P165" s="64">
        <f t="shared" ref="P165:S165" ca="1" si="309">(P163-P164)/P164</f>
        <v>7.0223251358471267E-2</v>
      </c>
      <c r="Q165" s="64">
        <f t="shared" ca="1" si="309"/>
        <v>5.6816658572533242E-2</v>
      </c>
      <c r="R165" s="64">
        <f t="shared" ca="1" si="309"/>
        <v>5.2784093348035896E-2</v>
      </c>
      <c r="S165" s="64">
        <f t="shared" ca="1" si="309"/>
        <v>4.6481889590146298E-2</v>
      </c>
      <c r="X165" s="73"/>
      <c r="Y165" s="74" t="s">
        <v>255</v>
      </c>
      <c r="Z165" s="79">
        <f ca="1">(Z163-Z164)/Z164</f>
        <v>8.6021553344759652E-2</v>
      </c>
      <c r="AA165" s="79">
        <f t="shared" ref="AA165" ca="1" si="310">(AA163-AA164)/AA164</f>
        <v>0.12020461484464345</v>
      </c>
      <c r="AB165" s="79">
        <f t="shared" ref="AB165" ca="1" si="311">(AB163-AB164)/AB164</f>
        <v>0.19344636995144351</v>
      </c>
      <c r="AC165" s="79">
        <f t="shared" ref="AC165" ca="1" si="312">(AC163-AC164)/AC164</f>
        <v>0.12301910593398144</v>
      </c>
      <c r="AD165" s="79">
        <f t="shared" ref="AD165" ca="1" si="313">(AD163-AD164)/AD164</f>
        <v>0.12103041165348144</v>
      </c>
      <c r="AE165" s="79">
        <f t="shared" ref="AE165" ca="1" si="314">(AE163-AE164)/AE164</f>
        <v>0.21008031561112564</v>
      </c>
      <c r="AF165" s="79">
        <f t="shared" ref="AF165" ca="1" si="315">(AF163-AF164)/AF164</f>
        <v>0.11148372358400056</v>
      </c>
      <c r="AG165" s="79">
        <f t="shared" ref="AG165" ca="1" si="316">(AG163-AG164)/AG164</f>
        <v>0.18564289672949766</v>
      </c>
      <c r="AH165" s="79">
        <f t="shared" ref="AH165" ca="1" si="317">(AH163-AH164)/AH164</f>
        <v>0.19689379797332104</v>
      </c>
      <c r="AI165" s="79">
        <f t="shared" ref="AI165" ca="1" si="318">(AI163-AI164)/AI164</f>
        <v>0.17994346799023672</v>
      </c>
      <c r="AJ165" s="74"/>
      <c r="AK165" s="76"/>
      <c r="AL165" s="3"/>
      <c r="AM165" s="46"/>
      <c r="AN165" s="46"/>
      <c r="AO165" s="46"/>
      <c r="AP165" s="46"/>
      <c r="AQ165" s="46"/>
    </row>
    <row r="166" spans="1:43">
      <c r="A166" s="11"/>
      <c r="B166" s="11"/>
      <c r="C166" s="11"/>
      <c r="D166" s="11"/>
      <c r="E166" s="11"/>
      <c r="F166" s="11"/>
      <c r="G166" s="11"/>
      <c r="M166" t="str">
        <f>F169</f>
        <v>T Exhaust corr.</v>
      </c>
      <c r="N166" s="11" t="s">
        <v>254</v>
      </c>
      <c r="O166" s="16">
        <f>O127</f>
        <v>326.90850499999999</v>
      </c>
      <c r="P166" s="16">
        <f t="shared" ref="P166:S166" si="319">P127</f>
        <v>338.08617300000003</v>
      </c>
      <c r="Q166" s="16">
        <f t="shared" si="319"/>
        <v>368.57171749999998</v>
      </c>
      <c r="R166" s="16">
        <f t="shared" si="319"/>
        <v>371.05754400000001</v>
      </c>
      <c r="S166" s="16">
        <f t="shared" si="319"/>
        <v>372.503781</v>
      </c>
      <c r="X166" s="73" t="s">
        <v>245</v>
      </c>
      <c r="Y166" s="74" t="s">
        <v>254</v>
      </c>
      <c r="Z166" s="75">
        <f>Z127</f>
        <v>356.39026200000001</v>
      </c>
      <c r="AA166" s="75">
        <f t="shared" ref="AA166:AI166" si="320">AA127</f>
        <v>355.69424799999996</v>
      </c>
      <c r="AB166" s="75">
        <f t="shared" si="320"/>
        <v>354.32107200000002</v>
      </c>
      <c r="AC166" s="75">
        <f t="shared" si="320"/>
        <v>360.051672</v>
      </c>
      <c r="AD166" s="75">
        <f t="shared" si="320"/>
        <v>359.35879200000005</v>
      </c>
      <c r="AE166" s="75">
        <f t="shared" si="320"/>
        <v>354.86235799999997</v>
      </c>
      <c r="AF166" s="75">
        <f t="shared" si="320"/>
        <v>351.774384</v>
      </c>
      <c r="AG166" s="75">
        <f t="shared" si="320"/>
        <v>358.143417</v>
      </c>
      <c r="AH166" s="75">
        <f t="shared" si="320"/>
        <v>367.59267199999999</v>
      </c>
      <c r="AI166" s="75">
        <f t="shared" si="320"/>
        <v>360.19471599999997</v>
      </c>
      <c r="AJ166" s="74"/>
      <c r="AK166" s="76"/>
      <c r="AL166" s="3"/>
      <c r="AM166" s="46"/>
      <c r="AN166" s="46"/>
      <c r="AO166" s="46"/>
      <c r="AP166" s="46"/>
      <c r="AQ166" s="46"/>
    </row>
    <row r="167" spans="1:43">
      <c r="A167" s="11"/>
      <c r="B167" s="11"/>
      <c r="C167" s="11"/>
      <c r="D167" s="11"/>
      <c r="E167" s="11"/>
      <c r="F167" s="11"/>
      <c r="G167" s="11"/>
      <c r="N167" s="11" t="s">
        <v>253</v>
      </c>
      <c r="O167" s="16">
        <f ca="1">FORECAST(O104,OFFSET($F$170:$F$175,MATCH(O104,$I$170:$I$175,1)-1,0,2),OFFSET($I$170:$I$175,MATCH(O104,$I$170:$I$175,1)-1,0,2))</f>
        <v>319.37382330281685</v>
      </c>
      <c r="P167" s="16">
        <f t="shared" ref="P167:S167" ca="1" si="321">FORECAST(P104,OFFSET($F$170:$F$175,MATCH(P104,$I$170:$I$175,1)-1,0,2),OFFSET($I$170:$I$175,MATCH(P104,$I$170:$I$175,1)-1,0,2))</f>
        <v>324.37237075021773</v>
      </c>
      <c r="Q167" s="16">
        <f t="shared" ca="1" si="321"/>
        <v>362.50787766220935</v>
      </c>
      <c r="R167" s="16">
        <f t="shared" ca="1" si="321"/>
        <v>367.48800079792403</v>
      </c>
      <c r="S167" s="16">
        <f t="shared" ca="1" si="321"/>
        <v>366.25831957022967</v>
      </c>
      <c r="X167" s="73"/>
      <c r="Y167" s="74" t="s">
        <v>253</v>
      </c>
      <c r="Z167" s="75">
        <f ca="1">FORECAST(Z104,OFFSET($F$170:$F$175,MATCH(Z104,$I$170:$I$175,1)-1,0,2),OFFSET($I$170:$I$175,MATCH(Z104,$I$170:$I$175,1)-1,0,2))</f>
        <v>352.83867724471321</v>
      </c>
      <c r="AA167" s="75">
        <f t="shared" ref="AA167:AI167" ca="1" si="322">FORECAST(AA104,OFFSET($F$170:$F$175,MATCH(AA104,$I$170:$I$175,1)-1,0,2),OFFSET($I$170:$I$175,MATCH(AA104,$I$170:$I$175,1)-1,0,2))</f>
        <v>350.33123242720467</v>
      </c>
      <c r="AB167" s="75">
        <f t="shared" ca="1" si="322"/>
        <v>347.37398445217457</v>
      </c>
      <c r="AC167" s="75">
        <f t="shared" ca="1" si="322"/>
        <v>355.37154939386369</v>
      </c>
      <c r="AD167" s="75">
        <f t="shared" ca="1" si="322"/>
        <v>351.58639877030419</v>
      </c>
      <c r="AE167" s="75">
        <f t="shared" ca="1" si="322"/>
        <v>347.38346980949984</v>
      </c>
      <c r="AF167" s="75">
        <f t="shared" ca="1" si="322"/>
        <v>347.22928579574875</v>
      </c>
      <c r="AG167" s="75">
        <f t="shared" ca="1" si="322"/>
        <v>352.89467372298282</v>
      </c>
      <c r="AH167" s="75">
        <f t="shared" ca="1" si="322"/>
        <v>357.14390249726625</v>
      </c>
      <c r="AI167" s="75">
        <f t="shared" ca="1" si="322"/>
        <v>356.05372032724858</v>
      </c>
      <c r="AJ167" s="74"/>
      <c r="AK167" s="76"/>
      <c r="AL167" s="3"/>
      <c r="AM167" s="11"/>
      <c r="AN167" s="11"/>
      <c r="AO167" s="11"/>
      <c r="AP167" s="11"/>
      <c r="AQ167" s="11"/>
    </row>
    <row r="168" spans="1:43">
      <c r="A168" s="11"/>
      <c r="B168" s="11"/>
      <c r="C168" s="11"/>
      <c r="D168" s="11"/>
      <c r="E168" s="11"/>
      <c r="F168" s="11"/>
      <c r="G168" s="11"/>
      <c r="N168" s="11" t="s">
        <v>255</v>
      </c>
      <c r="O168" s="64">
        <f ca="1">(O166-O167)/O167</f>
        <v>2.3592045269280184E-2</v>
      </c>
      <c r="P168" s="64">
        <f t="shared" ref="P168:S168" ca="1" si="323">(P166-P167)/P167</f>
        <v>4.2277960413411995E-2</v>
      </c>
      <c r="Q168" s="64">
        <f t="shared" ca="1" si="323"/>
        <v>1.6727470522560635E-2</v>
      </c>
      <c r="R168" s="64">
        <f t="shared" ca="1" si="323"/>
        <v>9.7133598765822386E-3</v>
      </c>
      <c r="S168" s="64">
        <f t="shared" ca="1" si="323"/>
        <v>1.7052067068671101E-2</v>
      </c>
      <c r="X168" s="73"/>
      <c r="Y168" s="74" t="s">
        <v>255</v>
      </c>
      <c r="Z168" s="79">
        <f ca="1">(Z166-Z167)/Z167</f>
        <v>1.0065746711842408E-2</v>
      </c>
      <c r="AA168" s="79">
        <f t="shared" ref="AA168" ca="1" si="324">(AA166-AA167)/AA167</f>
        <v>1.5308414084689614E-2</v>
      </c>
      <c r="AB168" s="79">
        <f t="shared" ref="AB168" ca="1" si="325">(AB166-AB167)/AB167</f>
        <v>1.9998871126694583E-2</v>
      </c>
      <c r="AC168" s="79">
        <f t="shared" ref="AC168" ca="1" si="326">(AC166-AC167)/AC167</f>
        <v>1.316966035722026E-2</v>
      </c>
      <c r="AD168" s="79">
        <f t="shared" ref="AD168" ca="1" si="327">(AD166-AD167)/AD167</f>
        <v>2.2106637961196184E-2</v>
      </c>
      <c r="AE168" s="79">
        <f t="shared" ref="AE168" ca="1" si="328">(AE166-AE167)/AE167</f>
        <v>2.1529199977769364E-2</v>
      </c>
      <c r="AF168" s="79">
        <f t="shared" ref="AF168" ca="1" si="329">(AF166-AF167)/AF167</f>
        <v>1.3089616544973159E-2</v>
      </c>
      <c r="AG168" s="79">
        <f t="shared" ref="AG168" ca="1" si="330">(AG166-AG167)/AG167</f>
        <v>1.4873398970984103E-2</v>
      </c>
      <c r="AH168" s="79">
        <f t="shared" ref="AH168" ca="1" si="331">(AH166-AH167)/AH167</f>
        <v>2.9256468974193726E-2</v>
      </c>
      <c r="AI168" s="79">
        <f t="shared" ref="AI168" ca="1" si="332">(AI166-AI167)/AI167</f>
        <v>1.1630255313567298E-2</v>
      </c>
      <c r="AJ168" s="74"/>
      <c r="AK168" s="76"/>
      <c r="AL168" s="3"/>
      <c r="AM168" s="11"/>
      <c r="AN168" s="11"/>
      <c r="AO168" s="11"/>
      <c r="AP168" s="11"/>
      <c r="AQ168" s="11"/>
    </row>
    <row r="169" spans="1:43">
      <c r="A169" s="11"/>
      <c r="B169" s="11"/>
      <c r="C169" s="11"/>
      <c r="D169" s="16" t="str">
        <f>B108</f>
        <v>IMEP</v>
      </c>
      <c r="E169" s="11" t="str">
        <f>B116</f>
        <v>Pmax corr.</v>
      </c>
      <c r="F169" s="11" t="str">
        <f>B127</f>
        <v>T Exhaust corr.</v>
      </c>
      <c r="G169" s="11" t="str">
        <f>B135</f>
        <v>P scavenge corr.</v>
      </c>
      <c r="H169" s="11" t="str">
        <f>B143</f>
        <v>Pcomp corr.</v>
      </c>
      <c r="I169" s="46" t="str">
        <f>B104</f>
        <v>Brake Power (bhp)</v>
      </c>
      <c r="J169" t="str">
        <f>B146</f>
        <v>TC Speed</v>
      </c>
      <c r="M169" t="str">
        <f>J169</f>
        <v>TC Speed</v>
      </c>
      <c r="N169" s="11" t="s">
        <v>254</v>
      </c>
      <c r="O169" s="11">
        <f>O146</f>
        <v>9549.5</v>
      </c>
      <c r="P169" s="11">
        <f t="shared" ref="P169:S169" si="333">P146</f>
        <v>9897.5</v>
      </c>
      <c r="Q169" s="11">
        <f t="shared" si="333"/>
        <v>12645</v>
      </c>
      <c r="R169" s="11">
        <f t="shared" si="333"/>
        <v>12880</v>
      </c>
      <c r="S169" s="11">
        <f t="shared" si="333"/>
        <v>12960</v>
      </c>
      <c r="X169" s="73" t="s">
        <v>109</v>
      </c>
      <c r="Y169" s="74" t="s">
        <v>254</v>
      </c>
      <c r="Z169" s="74">
        <f>Z146</f>
        <v>12275</v>
      </c>
      <c r="AA169" s="74">
        <f t="shared" ref="AA169:AI169" si="334">AA146</f>
        <v>12306</v>
      </c>
      <c r="AB169" s="74">
        <f t="shared" si="334"/>
        <v>12405</v>
      </c>
      <c r="AC169" s="74">
        <f t="shared" si="334"/>
        <v>12500</v>
      </c>
      <c r="AD169" s="74">
        <f t="shared" si="334"/>
        <v>12640</v>
      </c>
      <c r="AE169" s="74">
        <f t="shared" si="334"/>
        <v>12375</v>
      </c>
      <c r="AF169" s="74">
        <f t="shared" si="334"/>
        <v>12279</v>
      </c>
      <c r="AG169" s="74">
        <f t="shared" si="334"/>
        <v>12630</v>
      </c>
      <c r="AH169" s="74">
        <f t="shared" si="334"/>
        <v>12862.5</v>
      </c>
      <c r="AI169" s="74">
        <f t="shared" si="334"/>
        <v>12515</v>
      </c>
      <c r="AJ169" s="74"/>
      <c r="AK169" s="76"/>
    </row>
    <row r="170" spans="1:43">
      <c r="A170" s="11"/>
      <c r="B170" s="11"/>
      <c r="C170" s="66">
        <f t="array" ref="C170:C175">TRANSPOSE(D103:I103)</f>
        <v>0.25</v>
      </c>
      <c r="D170" s="11">
        <f t="array" ref="D170:D175">TRANSPOSE(D108:I108)</f>
        <v>7.9136484901711039</v>
      </c>
      <c r="E170">
        <f t="array" ref="E170:E175">TRANSPOSE(D116:I116)</f>
        <v>74.310040027580882</v>
      </c>
      <c r="F170" s="11">
        <f t="array" ref="F170:F175">TRANSPOSE(D127:I127)</f>
        <v>268.62055349999997</v>
      </c>
      <c r="G170" s="11">
        <f t="array" ref="G170:G175">TRANSPOSE(D135:I135)</f>
        <v>1.3543320128217464</v>
      </c>
      <c r="H170" s="11">
        <f t="array" ref="H170:H175">TRANSPOSE(D143:I143)</f>
        <v>47.41727744062576</v>
      </c>
      <c r="I170" s="11">
        <f t="array" ref="I170:I175">TRANSPOSE(D104:I104)</f>
        <v>5720</v>
      </c>
      <c r="J170">
        <f t="array" ref="J170:J175">TRANSPOSE(D146:I146)</f>
        <v>5399</v>
      </c>
      <c r="N170" s="11" t="s">
        <v>253</v>
      </c>
      <c r="O170" s="9">
        <f ca="1">FORECAST(O135,OFFSET($J$170:$J$175,MATCH(O135,$G$170:$G$175,1)-1,0,2),OFFSET($G$170:$G$175,MATCH(O135,$G$170:$G$175,1)-1,0,2))</f>
        <v>9395.6794215997033</v>
      </c>
      <c r="P170" s="9">
        <f t="shared" ref="P170:S170" ca="1" si="335">FORECAST(P135,OFFSET($J$170:$J$175,MATCH(P135,$G$170:$G$175,1)-1,0,2),OFFSET($G$170:$G$175,MATCH(P135,$G$170:$G$175,1)-1,0,2))</f>
        <v>9643.6475972365442</v>
      </c>
      <c r="Q170" s="9">
        <f t="shared" ca="1" si="335"/>
        <v>12490.057098518686</v>
      </c>
      <c r="R170" s="9">
        <f t="shared" ca="1" si="335"/>
        <v>12668.099524371955</v>
      </c>
      <c r="S170" s="9">
        <f t="shared" ca="1" si="335"/>
        <v>12581.212290456151</v>
      </c>
      <c r="X170" s="73"/>
      <c r="Y170" s="74" t="s">
        <v>253</v>
      </c>
      <c r="Z170" s="81">
        <f ca="1">FORECAST(Z135,OFFSET($J$170:$J$175,MATCH(Z135,$G$170:$G$175,1)-1,0,2),OFFSET($G$170:$G$175,MATCH(Z135,$G$170:$G$175,1)-1,0,2))</f>
        <v>12262.03811185743</v>
      </c>
      <c r="AA170" s="81">
        <f t="shared" ref="AA170:AI170" ca="1" si="336">FORECAST(AA135,OFFSET($J$170:$J$175,MATCH(AA135,$G$170:$G$175,1)-1,0,2),OFFSET($G$170:$G$175,MATCH(AA135,$G$170:$G$175,1)-1,0,2))</f>
        <v>12339.145388961864</v>
      </c>
      <c r="AB170" s="81">
        <f t="shared" ca="1" si="336"/>
        <v>12591.013617302087</v>
      </c>
      <c r="AC170" s="81">
        <f t="shared" ca="1" si="336"/>
        <v>12566.687288979259</v>
      </c>
      <c r="AD170" s="81">
        <f t="shared" ca="1" si="336"/>
        <v>12396.371082910418</v>
      </c>
      <c r="AE170" s="81">
        <f t="shared" ca="1" si="336"/>
        <v>12676.926775892767</v>
      </c>
      <c r="AF170" s="81">
        <f t="shared" ca="1" si="336"/>
        <v>12149.481135999256</v>
      </c>
      <c r="AG170" s="81">
        <f t="shared" ca="1" si="336"/>
        <v>12796.950210587231</v>
      </c>
      <c r="AH170" s="81">
        <f t="shared" ca="1" si="336"/>
        <v>13120.654288488991</v>
      </c>
      <c r="AI170" s="81">
        <f t="shared" ca="1" si="336"/>
        <v>12924.355346481705</v>
      </c>
      <c r="AJ170" s="74"/>
      <c r="AK170" s="76"/>
    </row>
    <row r="171" spans="1:43" ht="15.75" thickBot="1">
      <c r="A171" s="11"/>
      <c r="B171" s="11"/>
      <c r="C171" s="66">
        <v>0.5</v>
      </c>
      <c r="D171" s="11">
        <v>11.996009974073447</v>
      </c>
      <c r="E171">
        <v>103.30363160155197</v>
      </c>
      <c r="F171" s="11">
        <v>323.03555249999999</v>
      </c>
      <c r="G171" s="11">
        <v>2.0495579112915405</v>
      </c>
      <c r="H171" s="11">
        <v>73.549761857422965</v>
      </c>
      <c r="I171" s="11">
        <v>11471</v>
      </c>
      <c r="J171">
        <v>9112</v>
      </c>
      <c r="N171" s="11" t="s">
        <v>255</v>
      </c>
      <c r="O171" s="64">
        <f ca="1">(O169-O170)/O170</f>
        <v>1.6371416211442773E-2</v>
      </c>
      <c r="P171" s="64">
        <f t="shared" ref="P171:S171" ca="1" si="337">(P169-P170)/P170</f>
        <v>2.6323276561474412E-2</v>
      </c>
      <c r="Q171" s="64">
        <f t="shared" ca="1" si="337"/>
        <v>1.2405299692320076E-2</v>
      </c>
      <c r="R171" s="64">
        <f t="shared" ca="1" si="337"/>
        <v>1.6727092743498952E-2</v>
      </c>
      <c r="S171" s="64">
        <f t="shared" ca="1" si="337"/>
        <v>3.0107409429152503E-2</v>
      </c>
      <c r="X171" s="82"/>
      <c r="Y171" s="83" t="s">
        <v>255</v>
      </c>
      <c r="Z171" s="84">
        <f ca="1">(Z169-Z170)/Z170</f>
        <v>1.0570745274422367E-3</v>
      </c>
      <c r="AA171" s="84">
        <f t="shared" ref="AA171" ca="1" si="338">(AA169-AA170)/AA170</f>
        <v>-2.6861981050579765E-3</v>
      </c>
      <c r="AB171" s="84">
        <f t="shared" ref="AB171" ca="1" si="339">(AB169-AB170)/AB170</f>
        <v>-1.4773522049604854E-2</v>
      </c>
      <c r="AC171" s="84">
        <f t="shared" ref="AC171" ca="1" si="340">(AC169-AC170)/AC170</f>
        <v>-5.3066721122075541E-3</v>
      </c>
      <c r="AD171" s="84">
        <f t="shared" ref="AD171" ca="1" si="341">(AD169-AD170)/AD170</f>
        <v>1.9653244926287124E-2</v>
      </c>
      <c r="AE171" s="84">
        <f t="shared" ref="AE171" ca="1" si="342">(AE169-AE170)/AE170</f>
        <v>-2.3817032410957041E-2</v>
      </c>
      <c r="AF171" s="84">
        <f t="shared" ref="AF171" ca="1" si="343">(AF169-AF170)/AF170</f>
        <v>1.066044405937432E-2</v>
      </c>
      <c r="AG171" s="84">
        <f t="shared" ref="AG171" ca="1" si="344">(AG169-AG170)/AG170</f>
        <v>-1.3046093626988459E-2</v>
      </c>
      <c r="AH171" s="84">
        <f t="shared" ref="AH171" ca="1" si="345">(AH169-AH170)/AH170</f>
        <v>-1.9675412735741023E-2</v>
      </c>
      <c r="AI171" s="84">
        <f t="shared" ref="AI171" ca="1" si="346">(AI169-AI170)/AI170</f>
        <v>-3.1673173284665269E-2</v>
      </c>
      <c r="AJ171" s="83"/>
      <c r="AK171" s="85"/>
    </row>
    <row r="172" spans="1:43">
      <c r="A172" s="11"/>
      <c r="B172" s="11"/>
      <c r="C172" s="66">
        <v>0.75</v>
      </c>
      <c r="D172" s="11">
        <v>15.388104552764926</v>
      </c>
      <c r="E172">
        <v>132.83999648609642</v>
      </c>
      <c r="F172" s="11">
        <v>344.011911</v>
      </c>
      <c r="G172" s="11">
        <v>2.8566492360307971</v>
      </c>
      <c r="H172" s="11">
        <v>103.19345161453167</v>
      </c>
      <c r="I172" s="11">
        <v>17214</v>
      </c>
      <c r="J172">
        <v>11268.5</v>
      </c>
    </row>
    <row r="173" spans="1:43">
      <c r="A173" s="11"/>
      <c r="B173" s="11"/>
      <c r="C173" s="66">
        <v>0.9</v>
      </c>
      <c r="D173" s="11">
        <v>17.269065608443821</v>
      </c>
      <c r="E173">
        <v>147.89653415779426</v>
      </c>
      <c r="F173" s="11">
        <v>363.85786400000001</v>
      </c>
      <c r="G173" s="11">
        <v>3.2817779136590555</v>
      </c>
      <c r="H173" s="11">
        <v>120.68147729858079</v>
      </c>
      <c r="I173" s="11">
        <v>20654</v>
      </c>
      <c r="J173">
        <v>12216.5</v>
      </c>
    </row>
    <row r="174" spans="1:43">
      <c r="A174" s="11"/>
      <c r="B174" s="11"/>
      <c r="C174" s="66">
        <v>1</v>
      </c>
      <c r="D174" s="11">
        <v>18.446576263229034</v>
      </c>
      <c r="E174">
        <v>148.27169348025743</v>
      </c>
      <c r="F174" s="11">
        <v>380.52851249999998</v>
      </c>
      <c r="G174" s="11">
        <v>3.6487882583982683</v>
      </c>
      <c r="H174" s="11">
        <v>133.71351746982305</v>
      </c>
      <c r="I174" s="11">
        <v>22918</v>
      </c>
      <c r="J174">
        <v>12860.5</v>
      </c>
      <c r="Y174" s="127"/>
      <c r="Z174" s="127"/>
      <c r="AA174" s="127"/>
      <c r="AB174" s="127"/>
      <c r="AC174" s="127"/>
      <c r="AD174" s="127"/>
      <c r="AE174" s="127"/>
      <c r="AF174" s="127"/>
      <c r="AG174" s="127"/>
      <c r="AH174" s="127"/>
      <c r="AI174" s="127"/>
      <c r="AJ174" s="127"/>
      <c r="AK174" s="127"/>
    </row>
    <row r="175" spans="1:43">
      <c r="A175" s="11"/>
      <c r="B175" s="11"/>
      <c r="C175" s="66">
        <v>1.1000000000000001</v>
      </c>
      <c r="D175" s="11">
        <v>19.65196030982408</v>
      </c>
      <c r="E175">
        <v>148.51909748984636</v>
      </c>
      <c r="F175" s="11">
        <v>406.89053999999999</v>
      </c>
      <c r="G175" s="11">
        <v>3.8986751333778566</v>
      </c>
      <c r="H175" s="11">
        <v>142.90295502769325</v>
      </c>
      <c r="I175" s="11">
        <v>25307.999999999996</v>
      </c>
      <c r="J175">
        <v>13468</v>
      </c>
      <c r="Y175" s="11" t="s">
        <v>256</v>
      </c>
    </row>
    <row r="176" spans="1:43">
      <c r="A176" s="11"/>
      <c r="B176" s="11"/>
      <c r="C176" s="11"/>
      <c r="D176" s="11"/>
      <c r="E176" s="11"/>
      <c r="F176" s="11"/>
      <c r="G176" s="11"/>
      <c r="Y176" t="str">
        <f>" "</f>
        <v xml:space="preserve"> </v>
      </c>
      <c r="Z176" s="3">
        <f>Z156</f>
        <v>41288</v>
      </c>
      <c r="AA176" s="3">
        <f t="shared" ref="AA176:AI176" si="347">AA156</f>
        <v>41330</v>
      </c>
      <c r="AB176" s="3">
        <f t="shared" si="347"/>
        <v>41339</v>
      </c>
      <c r="AC176" s="3">
        <f t="shared" si="347"/>
        <v>0</v>
      </c>
      <c r="AD176" s="3">
        <f t="shared" si="347"/>
        <v>0</v>
      </c>
      <c r="AE176" s="3">
        <f t="shared" si="347"/>
        <v>41451</v>
      </c>
      <c r="AF176" s="3">
        <f t="shared" si="347"/>
        <v>41485</v>
      </c>
      <c r="AG176" s="3">
        <f t="shared" si="347"/>
        <v>41508</v>
      </c>
      <c r="AH176" s="3">
        <f t="shared" si="347"/>
        <v>41533</v>
      </c>
      <c r="AI176" s="3">
        <f t="shared" si="347"/>
        <v>41558</v>
      </c>
    </row>
    <row r="177" spans="1:35">
      <c r="A177" s="11"/>
      <c r="B177" s="11"/>
      <c r="C177" s="11"/>
      <c r="D177" s="11"/>
      <c r="E177" s="11"/>
      <c r="F177" s="11"/>
      <c r="G177" s="11"/>
      <c r="Y177" s="68" t="str">
        <f>X157</f>
        <v>Pmax corr.</v>
      </c>
      <c r="Z177" s="46">
        <f ca="1">Z159</f>
        <v>3.5999942909429304E-3</v>
      </c>
      <c r="AA177" s="46">
        <f t="shared" ref="AA177:AI177" ca="1" si="348">AA159</f>
        <v>5.9590951472506502E-2</v>
      </c>
      <c r="AB177" s="46">
        <f t="shared" ca="1" si="348"/>
        <v>6.3799933564584202E-2</v>
      </c>
      <c r="AC177" s="46">
        <f t="shared" ca="1" si="348"/>
        <v>3.5254420428279663E-2</v>
      </c>
      <c r="AD177" s="46">
        <f t="shared" ca="1" si="348"/>
        <v>5.4378592779152073E-2</v>
      </c>
      <c r="AE177" s="46">
        <f t="shared" ca="1" si="348"/>
        <v>6.9823771259345385E-2</v>
      </c>
      <c r="AF177" s="46">
        <f t="shared" ca="1" si="348"/>
        <v>5.0334568186468816E-2</v>
      </c>
      <c r="AG177" s="46">
        <f t="shared" ca="1" si="348"/>
        <v>3.6660541969590607E-2</v>
      </c>
      <c r="AH177" s="46">
        <f t="shared" ca="1" si="348"/>
        <v>4.1518704396663652E-3</v>
      </c>
      <c r="AI177" s="46">
        <f t="shared" ca="1" si="348"/>
        <v>6.527565565439529E-2</v>
      </c>
    </row>
    <row r="178" spans="1:35">
      <c r="A178" s="11"/>
      <c r="B178" s="11"/>
      <c r="C178" s="11"/>
      <c r="D178" s="11"/>
      <c r="E178" s="11"/>
      <c r="F178" s="11"/>
      <c r="G178" s="11"/>
      <c r="Y178" s="68" t="str">
        <f>X160</f>
        <v>Pcomp corr.</v>
      </c>
      <c r="Z178" s="46">
        <f ca="1">Z162</f>
        <v>5.976502165181187E-2</v>
      </c>
      <c r="AA178" s="46">
        <f t="shared" ref="AA178:AI178" ca="1" si="349">AA162</f>
        <v>9.8556322692077494E-2</v>
      </c>
      <c r="AB178" s="46">
        <f t="shared" ca="1" si="349"/>
        <v>0.10368611670054804</v>
      </c>
      <c r="AC178" s="46">
        <f t="shared" ca="1" si="349"/>
        <v>0.11709738836552662</v>
      </c>
      <c r="AD178" s="46">
        <f t="shared" ca="1" si="349"/>
        <v>0.10447567509575474</v>
      </c>
      <c r="AE178" s="46">
        <f t="shared" ca="1" si="349"/>
        <v>0.11705304787386295</v>
      </c>
      <c r="AF178" s="46">
        <f t="shared" ca="1" si="349"/>
        <v>9.2990077965739465E-2</v>
      </c>
      <c r="AG178" s="46">
        <f t="shared" ca="1" si="349"/>
        <v>0.10254661496682234</v>
      </c>
      <c r="AH178" s="46">
        <f t="shared" ca="1" si="349"/>
        <v>0.10085231588673993</v>
      </c>
      <c r="AI178" s="46">
        <f t="shared" ca="1" si="349"/>
        <v>7.6140952406335061E-2</v>
      </c>
    </row>
    <row r="179" spans="1:35">
      <c r="A179" s="11"/>
      <c r="B179" s="11"/>
      <c r="C179" s="11"/>
      <c r="D179" s="11"/>
      <c r="E179" s="11"/>
      <c r="F179" s="11"/>
      <c r="G179" s="11"/>
      <c r="Y179" s="68" t="str">
        <f>X163</f>
        <v>P scavenge corr.</v>
      </c>
      <c r="Z179" s="46">
        <f ca="1">Z165</f>
        <v>8.6021553344759652E-2</v>
      </c>
      <c r="AA179" s="46">
        <f t="shared" ref="AA179:AI179" ca="1" si="350">AA165</f>
        <v>0.12020461484464345</v>
      </c>
      <c r="AB179" s="46">
        <f t="shared" ca="1" si="350"/>
        <v>0.19344636995144351</v>
      </c>
      <c r="AC179" s="46">
        <f t="shared" ca="1" si="350"/>
        <v>0.12301910593398144</v>
      </c>
      <c r="AD179" s="46">
        <f t="shared" ca="1" si="350"/>
        <v>0.12103041165348144</v>
      </c>
      <c r="AE179" s="46">
        <f t="shared" ca="1" si="350"/>
        <v>0.21008031561112564</v>
      </c>
      <c r="AF179" s="46">
        <f t="shared" ca="1" si="350"/>
        <v>0.11148372358400056</v>
      </c>
      <c r="AG179" s="46">
        <f t="shared" ca="1" si="350"/>
        <v>0.18564289672949766</v>
      </c>
      <c r="AH179" s="46">
        <f t="shared" ca="1" si="350"/>
        <v>0.19689379797332104</v>
      </c>
      <c r="AI179" s="46">
        <f t="shared" ca="1" si="350"/>
        <v>0.17994346799023672</v>
      </c>
    </row>
    <row r="180" spans="1:35">
      <c r="A180" s="11"/>
      <c r="B180" s="11"/>
      <c r="C180" s="11"/>
      <c r="D180" s="11"/>
      <c r="E180" s="11"/>
      <c r="F180" s="11"/>
      <c r="G180" s="11"/>
      <c r="Y180" s="68" t="str">
        <f>X166</f>
        <v>T Exhaust corr.</v>
      </c>
      <c r="Z180" s="46">
        <f ca="1">Z168</f>
        <v>1.0065746711842408E-2</v>
      </c>
      <c r="AA180" s="46">
        <f t="shared" ref="AA180:AI180" ca="1" si="351">AA168</f>
        <v>1.5308414084689614E-2</v>
      </c>
      <c r="AB180" s="46">
        <f t="shared" ca="1" si="351"/>
        <v>1.9998871126694583E-2</v>
      </c>
      <c r="AC180" s="46">
        <f t="shared" ca="1" si="351"/>
        <v>1.316966035722026E-2</v>
      </c>
      <c r="AD180" s="46">
        <f t="shared" ca="1" si="351"/>
        <v>2.2106637961196184E-2</v>
      </c>
      <c r="AE180" s="46">
        <f t="shared" ca="1" si="351"/>
        <v>2.1529199977769364E-2</v>
      </c>
      <c r="AF180" s="46">
        <f t="shared" ca="1" si="351"/>
        <v>1.3089616544973159E-2</v>
      </c>
      <c r="AG180" s="46">
        <f t="shared" ca="1" si="351"/>
        <v>1.4873398970984103E-2</v>
      </c>
      <c r="AH180" s="46">
        <f t="shared" ca="1" si="351"/>
        <v>2.9256468974193726E-2</v>
      </c>
      <c r="AI180" s="46">
        <f t="shared" ca="1" si="351"/>
        <v>1.1630255313567298E-2</v>
      </c>
    </row>
    <row r="181" spans="1:35">
      <c r="A181" s="11"/>
      <c r="B181" s="11"/>
      <c r="C181" s="11"/>
      <c r="D181" s="11"/>
      <c r="E181" s="11"/>
      <c r="F181" s="11"/>
      <c r="G181" s="11"/>
      <c r="Y181" s="68" t="str">
        <f>X169</f>
        <v>TC Speed</v>
      </c>
      <c r="Z181" s="46">
        <f ca="1">Z171</f>
        <v>1.0570745274422367E-3</v>
      </c>
      <c r="AA181" s="46">
        <f t="shared" ref="AA181:AI181" ca="1" si="352">AA171</f>
        <v>-2.6861981050579765E-3</v>
      </c>
      <c r="AB181" s="46">
        <f t="shared" ca="1" si="352"/>
        <v>-1.4773522049604854E-2</v>
      </c>
      <c r="AC181" s="46">
        <f t="shared" ca="1" si="352"/>
        <v>-5.3066721122075541E-3</v>
      </c>
      <c r="AD181" s="46">
        <f t="shared" ca="1" si="352"/>
        <v>1.9653244926287124E-2</v>
      </c>
      <c r="AE181" s="46">
        <f t="shared" ca="1" si="352"/>
        <v>-2.3817032410957041E-2</v>
      </c>
      <c r="AF181" s="46">
        <f t="shared" ca="1" si="352"/>
        <v>1.066044405937432E-2</v>
      </c>
      <c r="AG181" s="46">
        <f t="shared" ca="1" si="352"/>
        <v>-1.3046093626988459E-2</v>
      </c>
      <c r="AH181" s="46">
        <f t="shared" ca="1" si="352"/>
        <v>-1.9675412735741023E-2</v>
      </c>
      <c r="AI181" s="46">
        <f t="shared" ca="1" si="352"/>
        <v>-3.1673173284665269E-2</v>
      </c>
    </row>
    <row r="182" spans="1:35">
      <c r="A182" s="11"/>
      <c r="B182" s="11"/>
      <c r="C182" s="11"/>
      <c r="D182" s="11"/>
      <c r="E182" s="11"/>
      <c r="F182" s="11"/>
      <c r="G182" s="11"/>
    </row>
    <row r="183" spans="1:35">
      <c r="A183" s="11"/>
      <c r="B183" s="11"/>
      <c r="C183" s="11"/>
      <c r="D183" s="11"/>
      <c r="E183" s="11"/>
      <c r="F183" s="11"/>
      <c r="G183" s="11"/>
    </row>
    <row r="184" spans="1:35">
      <c r="A184" s="11"/>
      <c r="B184" s="11"/>
      <c r="C184" s="11"/>
      <c r="D184" s="11"/>
      <c r="E184" s="11"/>
      <c r="F184" s="11"/>
      <c r="G184" s="11"/>
    </row>
    <row r="185" spans="1:35">
      <c r="A185" s="11"/>
      <c r="B185" s="11"/>
      <c r="C185" s="11"/>
      <c r="D185" s="11"/>
      <c r="E185" s="11"/>
      <c r="F185" s="11"/>
      <c r="G185" s="11"/>
    </row>
    <row r="186" spans="1:35">
      <c r="A186" s="11"/>
      <c r="B186" s="11"/>
      <c r="C186" s="11"/>
      <c r="D186" s="11"/>
      <c r="E186" s="11"/>
      <c r="F186" s="11"/>
      <c r="G186" s="11"/>
    </row>
    <row r="187" spans="1:35">
      <c r="A187" s="11"/>
      <c r="B187" s="11"/>
      <c r="C187" s="11"/>
      <c r="D187" s="11"/>
      <c r="E187" s="11"/>
      <c r="F187" s="11"/>
      <c r="G187" s="11"/>
    </row>
    <row r="188" spans="1:35">
      <c r="A188" s="11"/>
      <c r="B188" s="11"/>
      <c r="C188" s="11"/>
      <c r="D188" s="11"/>
      <c r="E188" s="11"/>
      <c r="F188" s="11"/>
      <c r="G188" s="11"/>
    </row>
    <row r="189" spans="1:35">
      <c r="A189" s="11"/>
      <c r="B189" s="11"/>
      <c r="C189" s="11"/>
      <c r="D189" s="11"/>
      <c r="E189" s="11"/>
      <c r="F189" s="11"/>
      <c r="G189" s="11"/>
    </row>
    <row r="190" spans="1:35">
      <c r="A190" s="11"/>
      <c r="B190" s="11"/>
      <c r="C190" s="11"/>
      <c r="D190" s="11"/>
      <c r="E190" s="11"/>
      <c r="F190" s="11"/>
      <c r="G190" s="11"/>
    </row>
    <row r="191" spans="1:35">
      <c r="A191" s="11"/>
      <c r="B191" s="11"/>
      <c r="C191" s="11"/>
      <c r="D191" s="11"/>
      <c r="E191" s="11"/>
      <c r="F191" s="11"/>
      <c r="G191" s="11"/>
    </row>
    <row r="192" spans="1:35">
      <c r="A192" s="11"/>
      <c r="B192" s="11"/>
      <c r="C192" s="11"/>
      <c r="D192" s="11"/>
      <c r="E192" s="11"/>
      <c r="F192" s="11"/>
      <c r="G192" s="11"/>
    </row>
    <row r="193" spans="1:7">
      <c r="A193" s="11"/>
      <c r="B193" s="11"/>
      <c r="C193" s="11"/>
      <c r="D193" s="11"/>
      <c r="E193" s="11"/>
      <c r="F193" s="11"/>
      <c r="G193" s="11"/>
    </row>
    <row r="194" spans="1:7">
      <c r="A194" s="11"/>
      <c r="B194" s="11"/>
      <c r="C194" s="11"/>
      <c r="D194" s="11"/>
      <c r="E194" s="11"/>
      <c r="F194" s="11"/>
      <c r="G194" s="11"/>
    </row>
    <row r="195" spans="1:7">
      <c r="A195" s="11"/>
      <c r="B195" s="11"/>
      <c r="C195" s="11"/>
      <c r="D195" s="11"/>
      <c r="E195" s="11"/>
      <c r="F195" s="11"/>
      <c r="G195" s="11"/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11"/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11"/>
    </row>
    <row r="200" spans="1:7">
      <c r="A200" s="11"/>
      <c r="B200" s="11"/>
      <c r="C200" s="11"/>
      <c r="D200" s="11"/>
      <c r="E200" s="11"/>
      <c r="F200" s="11"/>
      <c r="G200" s="11"/>
    </row>
    <row r="201" spans="1:7">
      <c r="A201" s="11"/>
      <c r="B201" s="11"/>
      <c r="C201" s="11"/>
      <c r="D201" s="11"/>
      <c r="E201" s="11"/>
      <c r="F201" s="11"/>
      <c r="G201" s="11"/>
    </row>
    <row r="202" spans="1:7">
      <c r="A202" s="11"/>
      <c r="B202" s="11"/>
      <c r="C202" s="11"/>
      <c r="D202" s="11"/>
      <c r="E202" s="11"/>
      <c r="F202" s="11"/>
      <c r="G202" s="11"/>
    </row>
    <row r="203" spans="1:7">
      <c r="A203" s="11"/>
      <c r="B203" s="11"/>
      <c r="C203" s="11"/>
      <c r="D203" s="11"/>
      <c r="E203" s="11"/>
      <c r="F203" s="11"/>
      <c r="G203" s="11"/>
    </row>
    <row r="204" spans="1:7">
      <c r="A204" s="11"/>
      <c r="B204" s="11"/>
      <c r="C204" s="11"/>
      <c r="D204" s="11"/>
      <c r="E204" s="11"/>
      <c r="F204" s="11"/>
      <c r="G204" s="11"/>
    </row>
    <row r="205" spans="1:7">
      <c r="A205" s="11"/>
      <c r="B205" s="11"/>
      <c r="C205" s="11"/>
      <c r="D205" s="11"/>
      <c r="E205" s="11"/>
      <c r="F205" s="11"/>
      <c r="G205" s="11"/>
    </row>
    <row r="206" spans="1:7">
      <c r="A206" s="11"/>
      <c r="B206" s="11"/>
      <c r="C206" s="11"/>
      <c r="D206" s="11"/>
      <c r="E206" s="11"/>
      <c r="F206" s="11"/>
      <c r="G206" s="11"/>
    </row>
    <row r="207" spans="1:7">
      <c r="A207" s="11"/>
      <c r="B207" s="11"/>
      <c r="C207" s="11"/>
      <c r="D207" s="11"/>
      <c r="E207" s="11"/>
      <c r="F207" s="11"/>
      <c r="G207" s="11"/>
    </row>
    <row r="208" spans="1:7">
      <c r="A208" s="11"/>
      <c r="B208" s="11"/>
      <c r="C208" s="11"/>
      <c r="D208" s="11"/>
      <c r="E208" s="11"/>
      <c r="F208" s="11"/>
      <c r="G208" s="11"/>
    </row>
    <row r="209" spans="1:7">
      <c r="A209" s="11"/>
      <c r="B209" s="11"/>
      <c r="C209" s="11"/>
      <c r="D209" s="11"/>
      <c r="E209" s="11"/>
      <c r="F209" s="11"/>
      <c r="G209" s="11"/>
    </row>
    <row r="210" spans="1:7">
      <c r="A210" s="11"/>
      <c r="B210" s="11"/>
      <c r="C210" s="11"/>
      <c r="D210" s="11"/>
      <c r="E210" s="11"/>
      <c r="F210" s="11"/>
      <c r="G210" s="11"/>
    </row>
    <row r="211" spans="1:7">
      <c r="A211" s="11"/>
      <c r="B211" s="11"/>
      <c r="C211" s="11"/>
      <c r="D211" s="11"/>
      <c r="E211" s="11"/>
      <c r="F211" s="11"/>
      <c r="G211" s="11"/>
    </row>
    <row r="212" spans="1:7">
      <c r="A212" s="11"/>
      <c r="B212" s="11"/>
      <c r="C212" s="11"/>
      <c r="D212" s="11"/>
      <c r="E212" s="11"/>
      <c r="F212" s="11"/>
      <c r="G212" s="11"/>
    </row>
    <row r="213" spans="1:7">
      <c r="A213" s="11"/>
      <c r="B213" s="11"/>
      <c r="C213" s="11"/>
      <c r="D213" s="11"/>
      <c r="E213" s="11"/>
      <c r="F213" s="11"/>
      <c r="G213" s="11"/>
    </row>
    <row r="214" spans="1:7">
      <c r="A214" s="11"/>
      <c r="B214" s="11"/>
      <c r="C214" s="11"/>
      <c r="D214" s="11"/>
      <c r="E214" s="11"/>
      <c r="F214" s="11"/>
      <c r="G214" s="11"/>
    </row>
    <row r="215" spans="1:7">
      <c r="A215" s="11"/>
      <c r="B215" s="11"/>
      <c r="C215" s="11"/>
      <c r="D215" s="11"/>
      <c r="E215" s="11"/>
      <c r="F215" s="11"/>
      <c r="G215" s="11"/>
    </row>
    <row r="216" spans="1:7">
      <c r="A216" s="11"/>
      <c r="B216" s="11"/>
      <c r="C216" s="11"/>
      <c r="D216" s="11"/>
      <c r="E216" s="11"/>
      <c r="F216" s="11"/>
      <c r="G216" s="11"/>
    </row>
    <row r="217" spans="1:7">
      <c r="A217" s="11"/>
      <c r="B217" s="11"/>
      <c r="C217" s="11"/>
      <c r="D217" s="11"/>
      <c r="E217" s="11"/>
      <c r="F217" s="11"/>
      <c r="G217" s="11"/>
    </row>
    <row r="218" spans="1:7">
      <c r="A218" s="11"/>
      <c r="B218" s="11"/>
      <c r="C218" s="11"/>
      <c r="D218" s="11"/>
      <c r="E218" s="11"/>
      <c r="F218" s="11"/>
      <c r="G218" s="11"/>
    </row>
    <row r="219" spans="1:7">
      <c r="A219" s="11"/>
      <c r="B219" s="11"/>
      <c r="C219" s="11"/>
      <c r="D219" s="11"/>
      <c r="E219" s="11"/>
      <c r="F219" s="11"/>
      <c r="G219" s="11"/>
    </row>
    <row r="220" spans="1:7">
      <c r="A220" s="11"/>
      <c r="B220" s="11"/>
      <c r="C220" s="11"/>
      <c r="D220" s="11"/>
      <c r="E220" s="11"/>
      <c r="F220" s="11"/>
      <c r="G220" s="11"/>
    </row>
    <row r="221" spans="1:7">
      <c r="A221" s="11"/>
      <c r="B221" s="11"/>
      <c r="C221" s="11"/>
      <c r="D221" s="11"/>
      <c r="E221" s="11"/>
      <c r="F221" s="11"/>
      <c r="G221" s="11"/>
    </row>
    <row r="222" spans="1:7">
      <c r="A222" s="11"/>
      <c r="B222" s="11"/>
      <c r="C222" s="11"/>
      <c r="D222" s="11"/>
      <c r="E222" s="11"/>
      <c r="F222" s="11"/>
      <c r="G222" s="11"/>
    </row>
    <row r="223" spans="1:7">
      <c r="A223" s="11"/>
      <c r="B223" s="11"/>
      <c r="C223" s="11"/>
      <c r="D223" s="11"/>
      <c r="E223" s="11"/>
      <c r="F223" s="11"/>
      <c r="G223" s="11"/>
    </row>
    <row r="224" spans="1:7">
      <c r="A224" s="11"/>
      <c r="B224" s="11"/>
      <c r="C224" s="11"/>
      <c r="D224" s="11"/>
      <c r="E224" s="11"/>
      <c r="F224" s="11"/>
      <c r="G224" s="11"/>
    </row>
    <row r="225" spans="1:7">
      <c r="A225" s="11"/>
      <c r="B225" s="11"/>
      <c r="C225" s="11"/>
      <c r="D225" s="11"/>
      <c r="E225" s="11"/>
      <c r="F225" s="11"/>
      <c r="G225" s="11"/>
    </row>
    <row r="226" spans="1:7">
      <c r="A226" s="11"/>
      <c r="B226" s="11"/>
      <c r="C226" s="11"/>
      <c r="D226" s="11"/>
      <c r="E226" s="11"/>
      <c r="F226" s="11"/>
      <c r="G226" s="11"/>
    </row>
    <row r="227" spans="1:7">
      <c r="A227" s="11"/>
      <c r="B227" s="11"/>
      <c r="C227" s="11"/>
      <c r="D227" s="11"/>
      <c r="E227" s="11"/>
      <c r="F227" s="11"/>
      <c r="G227" s="11"/>
    </row>
    <row r="228" spans="1:7">
      <c r="A228" s="11"/>
      <c r="B228" s="11"/>
      <c r="C228" s="11"/>
      <c r="D228" s="11"/>
      <c r="E228" s="11"/>
      <c r="F228" s="11"/>
      <c r="G228" s="11"/>
    </row>
    <row r="229" spans="1:7">
      <c r="A229" s="11"/>
      <c r="B229" s="11"/>
      <c r="C229" s="11"/>
      <c r="D229" s="11"/>
      <c r="E229" s="11"/>
      <c r="F229" s="11"/>
      <c r="G229" s="11"/>
    </row>
    <row r="230" spans="1:7">
      <c r="A230" s="11"/>
      <c r="B230" s="11"/>
      <c r="C230" s="11"/>
      <c r="D230" s="11"/>
      <c r="E230" s="11"/>
      <c r="F230" s="11"/>
      <c r="G230" s="11"/>
    </row>
    <row r="231" spans="1:7">
      <c r="A231" s="11"/>
      <c r="B231" s="11"/>
      <c r="C231" s="11"/>
      <c r="D231" s="11"/>
      <c r="E231" s="11"/>
      <c r="F231" s="11"/>
      <c r="G231" s="11"/>
    </row>
    <row r="232" spans="1:7">
      <c r="A232" s="11"/>
      <c r="B232" s="11"/>
      <c r="C232" s="11"/>
      <c r="D232" s="11"/>
      <c r="E232" s="11"/>
      <c r="F232" s="11"/>
      <c r="G232" s="11"/>
    </row>
    <row r="233" spans="1:7">
      <c r="A233" s="11"/>
      <c r="B233" s="11"/>
      <c r="C233" s="11"/>
      <c r="D233" s="11"/>
      <c r="E233" s="11"/>
      <c r="F233" s="11"/>
      <c r="G233" s="11"/>
    </row>
    <row r="234" spans="1:7">
      <c r="A234" s="11"/>
      <c r="B234" s="11"/>
      <c r="C234" s="11"/>
      <c r="D234" s="11"/>
      <c r="E234" s="11"/>
      <c r="F234" s="11"/>
      <c r="G234" s="11"/>
    </row>
    <row r="235" spans="1:7">
      <c r="A235" s="11"/>
      <c r="B235" s="11"/>
      <c r="C235" s="11"/>
      <c r="D235" s="11"/>
      <c r="E235" s="11"/>
      <c r="F235" s="11"/>
      <c r="G235" s="11"/>
    </row>
    <row r="236" spans="1:7">
      <c r="A236" s="11"/>
      <c r="B236" s="11"/>
      <c r="C236" s="11"/>
      <c r="D236" s="11"/>
      <c r="E236" s="11"/>
      <c r="F236" s="11"/>
      <c r="G236" s="11"/>
    </row>
    <row r="237" spans="1:7">
      <c r="A237" s="11"/>
      <c r="B237" s="11"/>
      <c r="C237" s="11"/>
      <c r="D237" s="11"/>
      <c r="E237" s="11"/>
      <c r="F237" s="11"/>
      <c r="G237" s="11"/>
    </row>
    <row r="238" spans="1:7">
      <c r="A238" s="11"/>
      <c r="B238" s="11"/>
      <c r="C238" s="11"/>
      <c r="D238" s="11"/>
      <c r="E238" s="11"/>
      <c r="F238" s="11"/>
      <c r="G238" s="11"/>
    </row>
    <row r="239" spans="1:7">
      <c r="A239" s="11"/>
      <c r="B239" s="11"/>
      <c r="C239" s="11"/>
      <c r="D239" s="11"/>
      <c r="E239" s="11"/>
      <c r="F239" s="11"/>
      <c r="G239" s="11"/>
    </row>
    <row r="240" spans="1:7">
      <c r="A240" s="11"/>
      <c r="B240" s="11"/>
      <c r="C240" s="11"/>
      <c r="D240" s="11"/>
      <c r="E240" s="11"/>
      <c r="F240" s="11"/>
      <c r="G240" s="11"/>
    </row>
    <row r="241" spans="1:7">
      <c r="A241" s="11"/>
      <c r="B241" s="11"/>
      <c r="C241" s="11"/>
      <c r="D241" s="11"/>
      <c r="E241" s="11"/>
      <c r="F241" s="11"/>
      <c r="G241" s="11"/>
    </row>
    <row r="242" spans="1:7">
      <c r="A242" s="11"/>
      <c r="B242" s="11"/>
      <c r="C242" s="11"/>
      <c r="D242" s="11"/>
      <c r="E242" s="11"/>
      <c r="F242" s="11"/>
      <c r="G242" s="11"/>
    </row>
    <row r="243" spans="1:7">
      <c r="A243" s="11"/>
      <c r="B243" s="11"/>
      <c r="C243" s="11"/>
      <c r="D243" s="11"/>
      <c r="E243" s="11"/>
      <c r="F243" s="11"/>
      <c r="G243" s="11"/>
    </row>
    <row r="244" spans="1:7">
      <c r="A244" s="11"/>
      <c r="B244" s="11"/>
      <c r="C244" s="11"/>
      <c r="D244" s="11"/>
      <c r="E244" s="11"/>
      <c r="F244" s="11"/>
      <c r="G244" s="11"/>
    </row>
  </sheetData>
  <mergeCells count="2">
    <mergeCell ref="C1:D1"/>
    <mergeCell ref="Y174:AK174"/>
  </mergeCells>
  <conditionalFormatting sqref="D83:I83 Z83:AK83 O83:S83">
    <cfRule type="cellIs" dxfId="73" priority="81" operator="lessThanOrEqual">
      <formula>0</formula>
    </cfRule>
    <cfRule type="cellIs" dxfId="72" priority="82" operator="greaterThan">
      <formula>0.35</formula>
    </cfRule>
  </conditionalFormatting>
  <conditionalFormatting sqref="D60:I60 Z60:AK60 O60:R60">
    <cfRule type="cellIs" dxfId="71" priority="79" operator="lessThan">
      <formula>0.6</formula>
    </cfRule>
    <cfRule type="cellIs" dxfId="70" priority="80" operator="greaterThan">
      <formula>1.2</formula>
    </cfRule>
  </conditionalFormatting>
  <conditionalFormatting sqref="S60">
    <cfRule type="cellIs" dxfId="69" priority="77" operator="lessThan">
      <formula>0.6</formula>
    </cfRule>
    <cfRule type="cellIs" dxfId="68" priority="78" operator="greaterThan">
      <formula>1.2</formula>
    </cfRule>
  </conditionalFormatting>
  <conditionalFormatting sqref="D51:I51 O51:S51 Z51:AK51">
    <cfRule type="cellIs" dxfId="67" priority="69" operator="lessThan">
      <formula>160</formula>
    </cfRule>
    <cfRule type="cellIs" dxfId="66" priority="70" operator="greaterThan">
      <formula>185</formula>
    </cfRule>
  </conditionalFormatting>
  <conditionalFormatting sqref="D54:I54 O54:S54 Z54:AK54">
    <cfRule type="cellIs" dxfId="65" priority="67" operator="lessThan">
      <formula>160</formula>
    </cfRule>
    <cfRule type="cellIs" dxfId="64" priority="68" operator="greaterThan">
      <formula>185</formula>
    </cfRule>
  </conditionalFormatting>
  <conditionalFormatting sqref="D66:I66 O66:S66 Z66:AK66">
    <cfRule type="cellIs" dxfId="63" priority="65" operator="lessThan">
      <formula>1.2</formula>
    </cfRule>
    <cfRule type="cellIs" dxfId="62" priority="66" operator="greaterThan">
      <formula>5.5</formula>
    </cfRule>
  </conditionalFormatting>
  <conditionalFormatting sqref="D84:I84 O84:S84 Z84:AK84">
    <cfRule type="cellIs" dxfId="61" priority="63" operator="lessThan">
      <formula>0</formula>
    </cfRule>
    <cfRule type="cellIs" dxfId="60" priority="64" operator="greaterThan">
      <formula>35</formula>
    </cfRule>
  </conditionalFormatting>
  <conditionalFormatting sqref="D88:I88 O88:S88 Z88:AK88">
    <cfRule type="cellIs" dxfId="59" priority="60" operator="lessThan">
      <formula>0.75</formula>
    </cfRule>
    <cfRule type="cellIs" dxfId="58" priority="61" operator="greaterThan">
      <formula>0.85</formula>
    </cfRule>
  </conditionalFormatting>
  <conditionalFormatting sqref="D89:I89 O89:S89 Z89:AK89">
    <cfRule type="cellIs" dxfId="57" priority="58" operator="lessThan">
      <formula>0.7</formula>
    </cfRule>
    <cfRule type="cellIs" dxfId="56" priority="59" operator="greaterThan">
      <formula>0.9</formula>
    </cfRule>
  </conditionalFormatting>
  <conditionalFormatting sqref="D95:I95 O95:S95 Z95:AK95">
    <cfRule type="cellIs" dxfId="55" priority="56" operator="lessThan">
      <formula>800</formula>
    </cfRule>
    <cfRule type="cellIs" dxfId="54" priority="57" operator="greaterThan">
      <formula>900</formula>
    </cfRule>
  </conditionalFormatting>
  <conditionalFormatting sqref="D81:I81 O81:S81 Z81:AK81">
    <cfRule type="cellIs" dxfId="53" priority="54" operator="lessThan">
      <formula>34</formula>
    </cfRule>
    <cfRule type="cellIs" dxfId="52" priority="55" operator="greaterThan">
      <formula>38</formula>
    </cfRule>
  </conditionalFormatting>
  <conditionalFormatting sqref="D32:I32 O32:S32 Z32:AK32">
    <cfRule type="cellIs" dxfId="51" priority="52" operator="lessThan">
      <formula>0.98</formula>
    </cfRule>
    <cfRule type="cellIs" dxfId="50" priority="53" operator="greaterThan">
      <formula>1.03</formula>
    </cfRule>
  </conditionalFormatting>
  <conditionalFormatting sqref="D9:I9 O9:S9 Z9:AK9">
    <cfRule type="cellIs" dxfId="49" priority="50" operator="lessThan">
      <formula>280</formula>
    </cfRule>
    <cfRule type="cellIs" dxfId="48" priority="51" operator="greaterThan">
      <formula>315</formula>
    </cfRule>
  </conditionalFormatting>
  <conditionalFormatting sqref="D10:I10 O10:S10 Z10:AK10">
    <cfRule type="cellIs" dxfId="47" priority="48" operator="greaterThan">
      <formula>1045</formula>
    </cfRule>
    <cfRule type="cellIs" dxfId="46" priority="49" operator="lessThan">
      <formula>1000</formula>
    </cfRule>
  </conditionalFormatting>
  <conditionalFormatting sqref="D11:I11 O11:S11 Z11:AK11">
    <cfRule type="cellIs" dxfId="45" priority="46" operator="lessThan">
      <formula>3</formula>
    </cfRule>
    <cfRule type="cellIs" dxfId="44" priority="47" operator="greaterThan">
      <formula>21</formula>
    </cfRule>
  </conditionalFormatting>
  <conditionalFormatting sqref="D13:I13 O13:S13 Z13:AK13">
    <cfRule type="cellIs" dxfId="43" priority="44" operator="greaterThan">
      <formula>8</formula>
    </cfRule>
    <cfRule type="cellIs" dxfId="42" priority="45" operator="lessThan">
      <formula>0</formula>
    </cfRule>
  </conditionalFormatting>
  <conditionalFormatting sqref="D19:I19 O19:S19 Z19:AK19">
    <cfRule type="cellIs" dxfId="41" priority="42" operator="lessThan">
      <formula>0</formula>
    </cfRule>
    <cfRule type="cellIs" dxfId="40" priority="43" operator="greaterThan">
      <formula>350</formula>
    </cfRule>
  </conditionalFormatting>
  <conditionalFormatting sqref="D23:I23 O23:S23 Z23:AK23">
    <cfRule type="cellIs" dxfId="39" priority="40" operator="lessThan">
      <formula>38500</formula>
    </cfRule>
    <cfRule type="cellIs" dxfId="38" priority="41" operator="greaterThan">
      <formula>43000</formula>
    </cfRule>
  </conditionalFormatting>
  <conditionalFormatting sqref="D34:I34 O34:S34 Z34:AK34">
    <cfRule type="cellIs" dxfId="37" priority="34" operator="greaterThan">
      <formula>1.05</formula>
    </cfRule>
    <cfRule type="cellIs" dxfId="36" priority="35" operator="lessThan">
      <formula>1</formula>
    </cfRule>
  </conditionalFormatting>
  <conditionalFormatting sqref="D35:I35 O35:S35 Z35:AK35">
    <cfRule type="cellIs" dxfId="35" priority="32" operator="greaterThan">
      <formula>530</formula>
    </cfRule>
    <cfRule type="cellIs" dxfId="34" priority="33" operator="lessThan">
      <formula>450</formula>
    </cfRule>
  </conditionalFormatting>
  <conditionalFormatting sqref="D33:I33 O33:S33 Z33:AK33">
    <cfRule type="cellIs" dxfId="33" priority="30" operator="lessThan">
      <formula>280</formula>
    </cfRule>
    <cfRule type="cellIs" dxfId="32" priority="31" operator="greaterThan">
      <formula>323</formula>
    </cfRule>
  </conditionalFormatting>
  <conditionalFormatting sqref="D43:I43 O43:S43 Z43:AK43">
    <cfRule type="cellIs" dxfId="31" priority="28" operator="greaterThan">
      <formula>0.2</formula>
    </cfRule>
    <cfRule type="cellIs" dxfId="30" priority="29" operator="lessThan">
      <formula>0.01</formula>
    </cfRule>
  </conditionalFormatting>
  <conditionalFormatting sqref="D44:I44 O44:S44 Z44:AK44">
    <cfRule type="cellIs" dxfId="29" priority="26" operator="greaterThan">
      <formula>355</formula>
    </cfRule>
    <cfRule type="cellIs" dxfId="28" priority="27" operator="lessThan">
      <formula>340</formula>
    </cfRule>
  </conditionalFormatting>
  <conditionalFormatting sqref="D42:I42 O42:S42 Z42:AK42">
    <cfRule type="cellIs" dxfId="27" priority="24" operator="greaterThan">
      <formula>0.2</formula>
    </cfRule>
    <cfRule type="cellIs" dxfId="26" priority="25" operator="lessThan">
      <formula>0.01</formula>
    </cfRule>
  </conditionalFormatting>
  <conditionalFormatting sqref="D68:I68 O68:S68 Z68:AK68">
    <cfRule type="cellIs" dxfId="25" priority="22" operator="lessThan">
      <formula>1.1</formula>
    </cfRule>
    <cfRule type="cellIs" dxfId="24" priority="23" operator="greaterThan">
      <formula>5</formula>
    </cfRule>
  </conditionalFormatting>
  <conditionalFormatting sqref="D69:I69 O69:S69 Z69:AK69">
    <cfRule type="cellIs" dxfId="23" priority="20" operator="lessThan">
      <formula>1.1</formula>
    </cfRule>
    <cfRule type="cellIs" dxfId="22" priority="21" operator="greaterThan">
      <formula>5</formula>
    </cfRule>
  </conditionalFormatting>
  <conditionalFormatting sqref="D36:I36 O36:S36 Z36:AK36">
    <cfRule type="cellIs" dxfId="21" priority="18" operator="lessThan">
      <formula>1.1</formula>
    </cfRule>
    <cfRule type="cellIs" dxfId="20" priority="19" operator="greaterThan">
      <formula>5</formula>
    </cfRule>
  </conditionalFormatting>
  <conditionalFormatting sqref="D38:I38 O38:S38 Z38:AK38">
    <cfRule type="cellIs" dxfId="19" priority="16" operator="lessThan">
      <formula>1.1</formula>
    </cfRule>
    <cfRule type="cellIs" dxfId="18" priority="17" operator="greaterThan">
      <formula>5</formula>
    </cfRule>
  </conditionalFormatting>
  <conditionalFormatting sqref="D8:I8 O8:S8 Z8:AK8">
    <cfRule type="cellIs" dxfId="17" priority="14" operator="lessThan">
      <formula>30</formula>
    </cfRule>
    <cfRule type="cellIs" dxfId="16" priority="15" operator="greaterThan">
      <formula>130</formula>
    </cfRule>
  </conditionalFormatting>
  <conditionalFormatting sqref="D45:I45 O45:S45 Z45:AK45">
    <cfRule type="cellIs" dxfId="15" priority="12" operator="lessThan">
      <formula>315</formula>
    </cfRule>
    <cfRule type="cellIs" dxfId="14" priority="13" operator="greaterThan">
      <formula>330</formula>
    </cfRule>
  </conditionalFormatting>
  <conditionalFormatting sqref="D57:I57 O57:S57 Z57:AK57">
    <cfRule type="cellIs" dxfId="13" priority="8" operator="lessThan">
      <formula>7</formula>
    </cfRule>
    <cfRule type="cellIs" dxfId="12" priority="9" operator="greaterThan">
      <formula>20</formula>
    </cfRule>
  </conditionalFormatting>
  <conditionalFormatting sqref="D50:I50 O50:S50 Z50:AK50">
    <cfRule type="cellIs" dxfId="11" priority="6" operator="lessThan">
      <formula>7</formula>
    </cfRule>
    <cfRule type="cellIs" dxfId="10" priority="7" operator="greaterThan">
      <formula>20</formula>
    </cfRule>
  </conditionalFormatting>
  <conditionalFormatting sqref="D29:I29 O29:S29 Z29:AK29">
    <cfRule type="cellIs" dxfId="9" priority="2" operator="lessThan">
      <formula>283</formula>
    </cfRule>
    <cfRule type="cellIs" dxfId="8" priority="3" operator="greaterThan">
      <formula>313</formula>
    </cfRule>
  </conditionalFormatting>
  <conditionalFormatting sqref="Z92:AK92">
    <cfRule type="cellIs" dxfId="7" priority="1" operator="equal">
      <formula>1</formula>
    </cfRule>
  </conditionalFormatting>
  <pageMargins left="0.7" right="0.7" top="0.75" bottom="0.75" header="0.3" footer="0.3"/>
  <pageSetup paperSize="9" scale="95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8" operator="greaterThan" id="{868B0DC3-595B-4C7C-A574-483C10E7D3CE}">
            <xm:f>'INPUT DATA'!$C$17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D27:I27 O27:S27 Z27:AK27</xm:sqref>
        </x14:conditionalFormatting>
        <x14:conditionalFormatting xmlns:xm="http://schemas.microsoft.com/office/excel/2006/main">
          <x14:cfRule type="cellIs" priority="37" operator="greaterThan" id="{C10D2CE7-F33E-4C6A-B1A3-2A229C4A4162}">
            <xm:f>'INPUT DATA'!$C$17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D71:I71 O71:S71 Z71:AK71</xm:sqref>
        </x14:conditionalFormatting>
        <x14:conditionalFormatting xmlns:xm="http://schemas.microsoft.com/office/excel/2006/main">
          <x14:cfRule type="cellIs" priority="36" operator="greaterThan" id="{E078E29A-AEB0-45ED-9187-F4C07CAE3B56}">
            <xm:f>'INPUT DATA'!$C$17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D72:I72 O72:S72 Z72:AK72</xm:sqref>
        </x14:conditionalFormatting>
        <x14:conditionalFormatting xmlns:xm="http://schemas.microsoft.com/office/excel/2006/main">
          <x14:cfRule type="cellIs" priority="10" operator="lessThan" id="{4DF9091B-B93F-48E5-B433-87D162DB8B62}">
            <xm:f>0.2*'INPUT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" operator="greaterThan" id="{300B316D-0C2F-461C-B6F0-DC7BCC61CB06}">
            <xm:f>1.15*'INPUT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D48:I48 O48:S48 Z48:AK48</xm:sqref>
        </x14:conditionalFormatting>
        <x14:conditionalFormatting xmlns:xm="http://schemas.microsoft.com/office/excel/2006/main">
          <x14:cfRule type="cellIs" priority="4" operator="lessThan" id="{FD93499F-6103-4198-AF88-5F38DF68031E}">
            <xm:f>0.2*'INPUT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" operator="greaterThan" id="{E83479CC-536E-4E70-92B0-5FF131D581F2}">
            <xm:f>1.2*'INPUT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D55:I55 O55:S55 Z55:AK55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2" tint="-0.249977111117893"/>
  </sheetPr>
  <dimension ref="A1"/>
  <sheetViews>
    <sheetView showGridLines="0" workbookViewId="0">
      <selection activeCell="I53" sqref="I53"/>
    </sheetView>
  </sheetViews>
  <sheetFormatPr defaultRowHeight="15"/>
  <cols>
    <col min="1" max="16384" width="9.140625" style="87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7030A0"/>
  </sheetPr>
  <dimension ref="A1"/>
  <sheetViews>
    <sheetView showGridLines="0" topLeftCell="A61" workbookViewId="0">
      <selection activeCell="Q94" sqref="Q94"/>
    </sheetView>
  </sheetViews>
  <sheetFormatPr defaultRowHeight="15"/>
  <cols>
    <col min="1" max="16384" width="9.140625" style="90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5" tint="-0.249977111117893"/>
  </sheetPr>
  <dimension ref="A1"/>
  <sheetViews>
    <sheetView showGridLines="0" topLeftCell="A13" workbookViewId="0">
      <selection activeCell="X23" sqref="X23"/>
    </sheetView>
  </sheetViews>
  <sheetFormatPr defaultRowHeight="15"/>
  <cols>
    <col min="1" max="16384" width="9.140625" style="89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F0"/>
  </sheetPr>
  <dimension ref="A1"/>
  <sheetViews>
    <sheetView showGridLines="0" topLeftCell="A10" workbookViewId="0">
      <selection activeCell="X15" sqref="X15"/>
    </sheetView>
  </sheetViews>
  <sheetFormatPr defaultRowHeight="15"/>
  <cols>
    <col min="1" max="16384" width="9.140625" style="88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AP28"/>
  <sheetViews>
    <sheetView workbookViewId="0">
      <selection activeCell="AP14" sqref="AP14"/>
    </sheetView>
  </sheetViews>
  <sheetFormatPr defaultRowHeight="15"/>
  <cols>
    <col min="1" max="1" width="2.7109375" customWidth="1"/>
    <col min="2" max="2" width="42.5703125" bestFit="1" customWidth="1"/>
    <col min="3" max="3" width="12.7109375" style="11" bestFit="1" customWidth="1"/>
    <col min="4" max="4" width="26.140625" bestFit="1" customWidth="1"/>
    <col min="7" max="11" width="9.140625" style="11"/>
    <col min="13" max="13" width="10" customWidth="1"/>
    <col min="15" max="15" width="26.7109375" bestFit="1" customWidth="1"/>
    <col min="27" max="27" width="26.7109375" bestFit="1" customWidth="1"/>
  </cols>
  <sheetData>
    <row r="1" spans="1:42" s="20" customFormat="1" ht="18.75">
      <c r="B1" s="20" t="str">
        <f>'INPUT DATA'!B1</f>
        <v>MAN 6s70mcc7</v>
      </c>
      <c r="C1" s="126" t="str">
        <f>'INPUT DATA'!C1</f>
        <v>CAP GUILLAUME</v>
      </c>
      <c r="D1" s="126"/>
      <c r="O1" s="20" t="str">
        <f>B1</f>
        <v>MAN 6s70mcc7</v>
      </c>
      <c r="P1" s="20" t="str">
        <f>C1</f>
        <v>CAP GUILLAUME</v>
      </c>
      <c r="AA1" s="20" t="str">
        <f>B1</f>
        <v>MAN 6s70mcc7</v>
      </c>
      <c r="AB1" s="20" t="str">
        <f>C1</f>
        <v>CAP GUILLAUME</v>
      </c>
    </row>
    <row r="2" spans="1:42" s="20" customFormat="1" ht="18.75">
      <c r="C2" s="23"/>
      <c r="D2" s="23"/>
    </row>
    <row r="3" spans="1:42" s="20" customFormat="1" ht="18.75">
      <c r="B3" s="36" t="str">
        <f>'INPUT DATA'!B19</f>
        <v>SHOP TESTS</v>
      </c>
      <c r="O3" s="36" t="str">
        <f>'INPUT DATA'!M19</f>
        <v>SEA TRIALS</v>
      </c>
      <c r="AA3" s="36" t="str">
        <f>'INPUT DATA'!X19</f>
        <v>OPERATION</v>
      </c>
    </row>
    <row r="4" spans="1:42" s="11" customFormat="1">
      <c r="F4" s="3">
        <f>'INPUT DATA'!D23</f>
        <v>38805</v>
      </c>
      <c r="G4" s="3">
        <f>'INPUT DATA'!E23</f>
        <v>38805</v>
      </c>
      <c r="H4" s="3">
        <f>'INPUT DATA'!F23</f>
        <v>38805</v>
      </c>
      <c r="I4" s="3">
        <f>'INPUT DATA'!G23</f>
        <v>38805</v>
      </c>
      <c r="J4" s="3">
        <f>'INPUT DATA'!H23</f>
        <v>38805</v>
      </c>
      <c r="K4" s="3">
        <f>'INPUT DATA'!I23</f>
        <v>38805</v>
      </c>
      <c r="L4" s="3"/>
      <c r="M4" s="3"/>
      <c r="N4" s="3"/>
      <c r="O4" s="3" t="str">
        <f>'INPUT DATA'!M23</f>
        <v>DATE</v>
      </c>
      <c r="P4" s="3"/>
      <c r="Q4" s="3">
        <f>'INPUT DATA'!O23</f>
        <v>38966</v>
      </c>
      <c r="R4" s="3">
        <f>'INPUT DATA'!P23</f>
        <v>38966</v>
      </c>
      <c r="S4" s="3">
        <f>'INPUT DATA'!Q23</f>
        <v>38966</v>
      </c>
      <c r="T4" s="3">
        <f>'INPUT DATA'!R23</f>
        <v>38966</v>
      </c>
      <c r="U4" s="3">
        <f>'INPUT DATA'!S23</f>
        <v>38966</v>
      </c>
      <c r="V4" s="3">
        <f>'INPUT DATA'!T23</f>
        <v>0</v>
      </c>
      <c r="W4" s="3"/>
      <c r="X4" s="3"/>
      <c r="Y4" s="3"/>
      <c r="Z4" s="3"/>
      <c r="AA4" s="3" t="str">
        <f>'INPUT DATA'!X23</f>
        <v>DATE</v>
      </c>
      <c r="AB4" s="3"/>
      <c r="AC4" s="3">
        <f>'INPUT DATA'!Z23</f>
        <v>41288</v>
      </c>
      <c r="AD4" s="3">
        <f>'INPUT DATA'!AA23</f>
        <v>41330</v>
      </c>
      <c r="AE4" s="3">
        <f>'INPUT DATA'!AB23</f>
        <v>41339</v>
      </c>
      <c r="AF4" s="3">
        <f>'INPUT DATA'!AC23</f>
        <v>0</v>
      </c>
      <c r="AG4" s="3">
        <f>'INPUT DATA'!AD23</f>
        <v>0</v>
      </c>
      <c r="AH4" s="3">
        <f>'INPUT DATA'!AE23</f>
        <v>41451</v>
      </c>
      <c r="AI4" s="3">
        <f>'INPUT DATA'!AF23</f>
        <v>41485</v>
      </c>
      <c r="AJ4" s="3">
        <f>'INPUT DATA'!AG23</f>
        <v>41508</v>
      </c>
      <c r="AK4" s="3">
        <f>'INPUT DATA'!AH23</f>
        <v>41533</v>
      </c>
      <c r="AL4" s="3">
        <f>'INPUT DATA'!AI23</f>
        <v>41558</v>
      </c>
      <c r="AM4" s="3">
        <f>'INPUT DATA'!AJ23</f>
        <v>41587</v>
      </c>
      <c r="AN4" s="3">
        <f>'INPUT DATA'!AK23</f>
        <v>41638</v>
      </c>
    </row>
    <row r="5" spans="1:42" ht="15.75">
      <c r="B5" s="28" t="s">
        <v>140</v>
      </c>
      <c r="F5" s="2">
        <f>'INPUT DATA'!D22</f>
        <v>0.25</v>
      </c>
      <c r="G5" s="2">
        <f>'INPUT DATA'!E22</f>
        <v>0.5</v>
      </c>
      <c r="H5" s="2">
        <f>'INPUT DATA'!F22</f>
        <v>0.75</v>
      </c>
      <c r="I5" s="2">
        <f>'INPUT DATA'!G22</f>
        <v>0.9</v>
      </c>
      <c r="J5" s="2">
        <f>'INPUT DATA'!H22</f>
        <v>1</v>
      </c>
      <c r="K5" s="2">
        <f>'INPUT DATA'!I22</f>
        <v>1.1000000000000001</v>
      </c>
      <c r="L5" s="2"/>
      <c r="M5" s="2"/>
      <c r="N5" s="2"/>
      <c r="O5" s="2" t="str">
        <f>'INPUT DATA'!M22</f>
        <v>Load</v>
      </c>
      <c r="P5" s="2"/>
      <c r="Q5" s="2">
        <f>'INPUT DATA'!O22</f>
        <v>0.5</v>
      </c>
      <c r="R5" s="2">
        <f>'INPUT DATA'!P22</f>
        <v>0.5</v>
      </c>
      <c r="S5" s="2">
        <f>'INPUT DATA'!Q22</f>
        <v>0.9</v>
      </c>
      <c r="T5" s="2">
        <f>'INPUT DATA'!R22</f>
        <v>0.9</v>
      </c>
      <c r="U5" s="2">
        <f>'INPUT DATA'!S22</f>
        <v>0.9</v>
      </c>
      <c r="V5" s="2">
        <f>'INPUT DATA'!T22</f>
        <v>0</v>
      </c>
      <c r="W5" s="2"/>
      <c r="X5" s="2"/>
      <c r="Y5" s="2"/>
      <c r="Z5" s="2"/>
      <c r="AA5" s="2" t="str">
        <f>'INPUT DATA'!X22</f>
        <v>Load</v>
      </c>
      <c r="AB5" s="2"/>
      <c r="AC5" s="2">
        <f>'INPUT DATA'!Z22</f>
        <v>0.81780053662605068</v>
      </c>
      <c r="AD5" s="2">
        <f>'INPUT DATA'!AA22</f>
        <v>0.79883770212026628</v>
      </c>
      <c r="AE5" s="2">
        <f>'INPUT DATA'!AB22</f>
        <v>0.77647318045602376</v>
      </c>
      <c r="AF5" s="2">
        <f>'INPUT DATA'!AC22</f>
        <v>0.83695566819794931</v>
      </c>
      <c r="AG5" s="2">
        <f>'INPUT DATA'!AD22</f>
        <v>0.80833003928965508</v>
      </c>
      <c r="AH5" s="2">
        <f>'INPUT DATA'!AE22</f>
        <v>0.77654491454162822</v>
      </c>
      <c r="AI5" s="2">
        <f>'INPUT DATA'!AF22</f>
        <v>0.77537888053131476</v>
      </c>
      <c r="AJ5" s="2">
        <f>'INPUT DATA'!AG22</f>
        <v>0.81822401631458408</v>
      </c>
      <c r="AK5" s="2">
        <f>'INPUT DATA'!AH22</f>
        <v>0.8503592886289788</v>
      </c>
      <c r="AL5" s="2">
        <f>'INPUT DATA'!AI22</f>
        <v>0.84211466289410686</v>
      </c>
      <c r="AM5" s="2">
        <f>'INPUT DATA'!AJ22</f>
        <v>0.8122265851030156</v>
      </c>
      <c r="AN5" s="2">
        <f>'INPUT DATA'!AK22</f>
        <v>0.83324822337758164</v>
      </c>
    </row>
    <row r="6" spans="1:42">
      <c r="A6">
        <v>1</v>
      </c>
      <c r="B6" t="s">
        <v>132</v>
      </c>
      <c r="D6" t="s">
        <v>7</v>
      </c>
      <c r="E6" t="s">
        <v>14</v>
      </c>
      <c r="F6">
        <f>'INPUT DATA'!D27</f>
        <v>57.4</v>
      </c>
      <c r="G6" s="11">
        <f>'INPUT DATA'!E27</f>
        <v>72.3</v>
      </c>
      <c r="H6" s="11">
        <f>'INPUT DATA'!F27</f>
        <v>82.9</v>
      </c>
      <c r="I6" s="11">
        <f>'INPUT DATA'!G27</f>
        <v>87.9</v>
      </c>
      <c r="J6" s="11">
        <f>'INPUT DATA'!H27</f>
        <v>91</v>
      </c>
      <c r="K6" s="11">
        <f>'INPUT DATA'!I27</f>
        <v>94</v>
      </c>
      <c r="L6" s="11"/>
      <c r="M6" s="11"/>
      <c r="N6" s="11"/>
      <c r="O6" s="11" t="str">
        <f>'INPUT DATA'!M27</f>
        <v>Engine Speed</v>
      </c>
      <c r="P6" s="11" t="str">
        <f>'INPUT DATA'!N27</f>
        <v>rpm</v>
      </c>
      <c r="Q6" s="11">
        <f>'INPUT DATA'!O27</f>
        <v>74.89</v>
      </c>
      <c r="R6" s="11">
        <f>'INPUT DATA'!P27</f>
        <v>74.900000000000006</v>
      </c>
      <c r="S6" s="11">
        <f>'INPUT DATA'!Q27</f>
        <v>90.71</v>
      </c>
      <c r="T6" s="11">
        <f>'INPUT DATA'!R27</f>
        <v>90.7</v>
      </c>
      <c r="U6" s="11">
        <f>'INPUT DATA'!S27</f>
        <v>90.8</v>
      </c>
      <c r="V6" s="11">
        <f>'INPUT DATA'!T27</f>
        <v>0</v>
      </c>
      <c r="W6" s="11"/>
      <c r="X6" s="11"/>
      <c r="Y6" s="11"/>
      <c r="Z6" s="11"/>
      <c r="AA6" s="11" t="str">
        <f>'INPUT DATA'!X27</f>
        <v>Engine Speed</v>
      </c>
      <c r="AB6" s="11" t="str">
        <f>'INPUT DATA'!Y27</f>
        <v>rpm</v>
      </c>
      <c r="AC6" s="40">
        <f>'INPUT DATA'!Z27</f>
        <v>88.233333333333334</v>
      </c>
      <c r="AD6" s="11">
        <f>'INPUT DATA'!AA27</f>
        <v>90.45</v>
      </c>
      <c r="AE6" s="11">
        <f>'INPUT DATA'!AB27</f>
        <v>89.100000000000009</v>
      </c>
      <c r="AF6" s="11">
        <f>'INPUT DATA'!AC27</f>
        <v>91.350000000000009</v>
      </c>
      <c r="AG6" s="11">
        <f>'INPUT DATA'!AD27</f>
        <v>90.649999999999991</v>
      </c>
      <c r="AH6" s="11">
        <f>'INPUT DATA'!AE27</f>
        <v>89.766666666666652</v>
      </c>
      <c r="AI6" s="11">
        <f>'INPUT DATA'!AF27</f>
        <v>89.083333333333329</v>
      </c>
      <c r="AJ6" s="11">
        <f>'INPUT DATA'!AG27</f>
        <v>90.25</v>
      </c>
      <c r="AK6" s="11">
        <f>'INPUT DATA'!AH27</f>
        <v>89.483333333333334</v>
      </c>
      <c r="AL6" s="11">
        <f>'INPUT DATA'!AI27</f>
        <v>89.316666666666663</v>
      </c>
      <c r="AM6" s="11">
        <f>'INPUT DATA'!AJ27</f>
        <v>89.483333333333334</v>
      </c>
      <c r="AN6" s="11">
        <f>'INPUT DATA'!AK27</f>
        <v>87</v>
      </c>
    </row>
    <row r="7" spans="1:42">
      <c r="A7">
        <v>2</v>
      </c>
      <c r="B7" t="s">
        <v>133</v>
      </c>
      <c r="D7" t="s">
        <v>129</v>
      </c>
      <c r="E7" t="s">
        <v>20</v>
      </c>
      <c r="F7">
        <f>'INPUT DATA'!D211</f>
        <v>1.00677410131</v>
      </c>
      <c r="G7" s="11">
        <f>'INPUT DATA'!E211</f>
        <v>1.0055405688900001</v>
      </c>
      <c r="H7" s="11">
        <f>'INPUT DATA'!F211</f>
        <v>1.0041109034700002</v>
      </c>
      <c r="I7" s="11">
        <f>'INPUT DATA'!G211</f>
        <v>1.0033048929399999</v>
      </c>
      <c r="J7" s="11">
        <f>'INPUT DATA'!H211</f>
        <v>1.0024145932700002</v>
      </c>
      <c r="K7" s="11">
        <f>'INPUT DATA'!I211</f>
        <v>1.00095574815</v>
      </c>
      <c r="L7" s="11"/>
      <c r="M7" s="11"/>
      <c r="N7" s="11"/>
      <c r="O7" s="11" t="str">
        <f>'INPUT DATA'!M211</f>
        <v>P Inlet Fixed Fluid</v>
      </c>
      <c r="P7" s="11" t="str">
        <f>'INPUT DATA'!N211</f>
        <v>bar</v>
      </c>
      <c r="Q7" s="11">
        <f>'INPUT DATA'!O211</f>
        <v>1.00200529995</v>
      </c>
      <c r="R7" s="11">
        <f>'INPUT DATA'!P211</f>
        <v>1.0019562666999999</v>
      </c>
      <c r="S7" s="11">
        <f>'INPUT DATA'!Q211</f>
        <v>0.99999493670000006</v>
      </c>
      <c r="T7" s="11">
        <f>'INPUT DATA'!R211</f>
        <v>0.99974977045000002</v>
      </c>
      <c r="U7" s="11">
        <f>'INPUT DATA'!S211</f>
        <v>0.99999493670000006</v>
      </c>
      <c r="V7" s="11">
        <f>'INPUT DATA'!T211</f>
        <v>0</v>
      </c>
      <c r="W7" s="11"/>
      <c r="X7" s="11"/>
      <c r="Y7" s="11"/>
      <c r="Z7" s="11"/>
      <c r="AA7" s="11" t="str">
        <f>'INPUT DATA'!X211</f>
        <v>P Inlet Fixed Fluid</v>
      </c>
      <c r="AB7" s="11" t="str">
        <f>'INPUT DATA'!Y211</f>
        <v>bar</v>
      </c>
      <c r="AC7" s="40">
        <f>'INPUT DATA'!Z211</f>
        <v>1.0270966750000001</v>
      </c>
      <c r="AD7" s="11">
        <f>'INPUT DATA'!AA211</f>
        <v>1.02749930425</v>
      </c>
      <c r="AE7" s="11">
        <f>'INPUT DATA'!AB211</f>
        <v>1.0103522045</v>
      </c>
      <c r="AF7" s="11">
        <f>'INPUT DATA'!AC211</f>
        <v>1.0380773400000001</v>
      </c>
      <c r="AG7" s="11">
        <f>'INPUT DATA'!AD211</f>
        <v>1.0170773399999999</v>
      </c>
      <c r="AH7" s="11">
        <f>'INPUT DATA'!AE211</f>
        <v>1.0195870075</v>
      </c>
      <c r="AI7" s="11">
        <f>'INPUT DATA'!AF211</f>
        <v>1.0172051047499999</v>
      </c>
      <c r="AJ7" s="11">
        <f>'INPUT DATA'!AG211</f>
        <v>1.0183225062500001</v>
      </c>
      <c r="AK7" s="11">
        <f>'INPUT DATA'!AH211</f>
        <v>1.0085483374999999</v>
      </c>
      <c r="AL7" s="11">
        <f>'INPUT DATA'!AI211</f>
        <v>1.02026450125</v>
      </c>
      <c r="AM7" s="11">
        <f>'INPUT DATA'!AJ211</f>
        <v>1.0155676724999998</v>
      </c>
      <c r="AN7" s="11">
        <f>'INPUT DATA'!AK211</f>
        <v>1.0205676724999999</v>
      </c>
    </row>
    <row r="8" spans="1:42">
      <c r="A8">
        <v>3</v>
      </c>
      <c r="B8" s="11" t="s">
        <v>133</v>
      </c>
      <c r="D8" s="11" t="s">
        <v>130</v>
      </c>
      <c r="E8" t="s">
        <v>76</v>
      </c>
      <c r="F8" s="11">
        <f>'INPUT DATA'!D212</f>
        <v>286.64999999999998</v>
      </c>
      <c r="G8" s="11">
        <f>'INPUT DATA'!E212</f>
        <v>288.64999999999998</v>
      </c>
      <c r="H8" s="11">
        <f>'INPUT DATA'!F212</f>
        <v>288.64999999999998</v>
      </c>
      <c r="I8" s="11">
        <f>'INPUT DATA'!G212</f>
        <v>289.14999999999998</v>
      </c>
      <c r="J8" s="11">
        <f>'INPUT DATA'!H212</f>
        <v>290.64999999999998</v>
      </c>
      <c r="K8" s="11">
        <f>'INPUT DATA'!I212</f>
        <v>291.14999999999998</v>
      </c>
      <c r="L8" s="11"/>
      <c r="M8" s="11"/>
      <c r="N8" s="11"/>
      <c r="O8" s="11" t="str">
        <f>'INPUT DATA'!M212</f>
        <v>T Inlet Fixed Fluid</v>
      </c>
      <c r="P8" s="11" t="str">
        <f>'INPUT DATA'!N212</f>
        <v>K</v>
      </c>
      <c r="Q8" s="11">
        <f>'INPUT DATA'!O212</f>
        <v>310.64999999999998</v>
      </c>
      <c r="R8" s="11">
        <f>'INPUT DATA'!P212</f>
        <v>309.64999999999998</v>
      </c>
      <c r="S8" s="11">
        <f>'INPUT DATA'!Q212</f>
        <v>309.89999999999998</v>
      </c>
      <c r="T8" s="11">
        <f>'INPUT DATA'!R212</f>
        <v>310.14999999999998</v>
      </c>
      <c r="U8" s="11">
        <f>'INPUT DATA'!S212</f>
        <v>310.14999999999998</v>
      </c>
      <c r="V8" s="11">
        <f>'INPUT DATA'!T212</f>
        <v>0</v>
      </c>
      <c r="W8" s="11"/>
      <c r="X8" s="11"/>
      <c r="Y8" s="11"/>
      <c r="Z8" s="11"/>
      <c r="AA8" s="11" t="str">
        <f>'INPUT DATA'!X212</f>
        <v>T Inlet Fixed Fluid</v>
      </c>
      <c r="AB8" s="11" t="str">
        <f>'INPUT DATA'!Y212</f>
        <v>K</v>
      </c>
      <c r="AC8" s="40">
        <f>'INPUT DATA'!Z212</f>
        <v>304.14999999999998</v>
      </c>
      <c r="AD8" s="11">
        <f>'INPUT DATA'!AA212</f>
        <v>297.14999999999998</v>
      </c>
      <c r="AE8" s="11">
        <f>'INPUT DATA'!AB212</f>
        <v>304.14999999999998</v>
      </c>
      <c r="AF8" s="11">
        <f>'INPUT DATA'!AC212</f>
        <v>299.14999999999998</v>
      </c>
      <c r="AG8" s="11">
        <f>'INPUT DATA'!AD212</f>
        <v>314.14999999999998</v>
      </c>
      <c r="AH8" s="11">
        <f>'INPUT DATA'!AE212</f>
        <v>307.14999999999998</v>
      </c>
      <c r="AI8" s="11">
        <f>'INPUT DATA'!AF212</f>
        <v>310.14999999999998</v>
      </c>
      <c r="AJ8" s="11">
        <f>'INPUT DATA'!AG212</f>
        <v>314.14999999999998</v>
      </c>
      <c r="AK8" s="11">
        <f>'INPUT DATA'!AH212</f>
        <v>310.14999999999998</v>
      </c>
      <c r="AL8" s="11">
        <f>'INPUT DATA'!AI212</f>
        <v>311.14999999999998</v>
      </c>
      <c r="AM8" s="11">
        <f>'INPUT DATA'!AJ212</f>
        <v>308.14999999999998</v>
      </c>
      <c r="AN8" s="11">
        <f>'INPUT DATA'!AK212</f>
        <v>305.14999999999998</v>
      </c>
    </row>
    <row r="9" spans="1:42">
      <c r="A9" s="11">
        <v>4</v>
      </c>
      <c r="B9" t="s">
        <v>134</v>
      </c>
      <c r="C9" s="11" t="s">
        <v>135</v>
      </c>
      <c r="D9" t="s">
        <v>126</v>
      </c>
      <c r="E9" t="s">
        <v>15</v>
      </c>
      <c r="F9">
        <f>'INPUT DATA'!D191</f>
        <v>41.5</v>
      </c>
      <c r="G9" s="11">
        <f>'INPUT DATA'!E191</f>
        <v>56.5</v>
      </c>
      <c r="H9" s="11">
        <f>'INPUT DATA'!F191</f>
        <v>69.666666666666671</v>
      </c>
      <c r="I9" s="11">
        <f>'INPUT DATA'!G191</f>
        <v>78.5</v>
      </c>
      <c r="J9" s="11">
        <f>'INPUT DATA'!H191</f>
        <v>84.5</v>
      </c>
      <c r="K9" s="11">
        <f>'INPUT DATA'!I191</f>
        <v>90.666666666666671</v>
      </c>
      <c r="L9" s="11"/>
      <c r="M9" s="11"/>
      <c r="N9" s="11"/>
      <c r="O9" s="11" t="str">
        <f>'INPUT DATA'!M84</f>
        <v>Fuel Pump Index</v>
      </c>
      <c r="P9" s="11" t="str">
        <f>'INPUT DATA'!N84</f>
        <v>-</v>
      </c>
      <c r="Q9" s="16">
        <f>RESULTS!O94</f>
        <v>58.071385884929065</v>
      </c>
      <c r="R9" s="16">
        <f>RESULTS!P94</f>
        <v>60.251008947634183</v>
      </c>
      <c r="S9" s="16">
        <f>RESULTS!Q94</f>
        <v>78.817967347536765</v>
      </c>
      <c r="T9" s="16">
        <f>RESULTS!R94</f>
        <v>81.616238377626829</v>
      </c>
      <c r="U9" s="16">
        <f>RESULTS!S94</f>
        <v>79.750724357566781</v>
      </c>
      <c r="V9" s="16">
        <f>RESULTS!T94</f>
        <v>0</v>
      </c>
      <c r="W9" s="11"/>
      <c r="X9" s="11"/>
      <c r="Y9" s="11"/>
      <c r="Z9" s="11"/>
      <c r="AA9" s="11" t="str">
        <f>'INPUT DATA'!X84</f>
        <v>Fuel Pump Index</v>
      </c>
      <c r="AB9" s="11" t="str">
        <f>'INPUT DATA'!Y84</f>
        <v>-</v>
      </c>
      <c r="AC9" s="59">
        <f>RESULTS!Z94</f>
        <v>81.800569984143991</v>
      </c>
      <c r="AD9" s="16">
        <f>RESULTS!AA94</f>
        <v>79.514757408743449</v>
      </c>
      <c r="AE9" s="16">
        <f>RESULTS!AB94</f>
        <v>76.936056974253461</v>
      </c>
      <c r="AF9" s="16">
        <f>RESULTS!AC94</f>
        <v>84.706813361716257</v>
      </c>
      <c r="AG9" s="16">
        <f>RESULTS!AD94</f>
        <v>89.157809928335666</v>
      </c>
      <c r="AH9" s="16">
        <f>RESULTS!AE94</f>
        <v>86.545764715591446</v>
      </c>
      <c r="AI9" s="16">
        <f>RESULTS!AF94</f>
        <v>82.091216992757197</v>
      </c>
      <c r="AJ9" s="16">
        <f>RESULTS!AG94</f>
        <v>87.135113227448414</v>
      </c>
      <c r="AK9" s="16">
        <f>RESULTS!AH94</f>
        <v>85.931018714210879</v>
      </c>
      <c r="AL9" s="16">
        <f>RESULTS!AI94</f>
        <v>85.607361393253399</v>
      </c>
      <c r="AM9" s="16">
        <f>RESULTS!AJ94</f>
        <v>82.669615124569759</v>
      </c>
      <c r="AN9" s="16">
        <f>RESULTS!AK94</f>
        <v>82.585341319837568</v>
      </c>
      <c r="AP9" s="16"/>
    </row>
    <row r="10" spans="1:42">
      <c r="A10" s="11">
        <v>5</v>
      </c>
      <c r="B10" s="11" t="s">
        <v>134</v>
      </c>
      <c r="C10" s="11" t="s">
        <v>136</v>
      </c>
      <c r="D10" t="s">
        <v>127</v>
      </c>
      <c r="E10" t="s">
        <v>15</v>
      </c>
      <c r="F10" s="16">
        <f>'INPUT DATA'!D192</f>
        <v>1.8166666666666667</v>
      </c>
      <c r="G10" s="16">
        <f>'INPUT DATA'!E192</f>
        <v>2.2333333333333334</v>
      </c>
      <c r="H10" s="16">
        <f>'INPUT DATA'!F192</f>
        <v>2.9333333333333336</v>
      </c>
      <c r="I10" s="16">
        <f>'INPUT DATA'!G192</f>
        <v>3.5999999999999996</v>
      </c>
      <c r="J10" s="16">
        <f>'INPUT DATA'!H192</f>
        <v>1.1333333333333333</v>
      </c>
      <c r="K10" s="16">
        <f>'INPUT DATA'!I192</f>
        <v>0.10000000000000002</v>
      </c>
      <c r="L10" s="11"/>
      <c r="M10" s="11"/>
      <c r="N10" s="11"/>
      <c r="O10" s="11" t="str">
        <f>'INPUT DATA'!M97</f>
        <v>VIT index</v>
      </c>
      <c r="P10" s="11" t="str">
        <f>'INPUT DATA'!N97</f>
        <v>-</v>
      </c>
      <c r="Q10" s="16">
        <f>RESULTS!O100</f>
        <v>1.8404056161970805</v>
      </c>
      <c r="R10" s="16">
        <f>RESULTS!P100</f>
        <v>1.9903998840943788</v>
      </c>
      <c r="S10" s="16">
        <f>RESULTS!Q100</f>
        <v>3.2646707630556437</v>
      </c>
      <c r="T10" s="16">
        <f>RESULTS!R100</f>
        <v>2.5646764951583463</v>
      </c>
      <c r="U10" s="16">
        <f>RESULTS!S100</f>
        <v>2.8812858407979918</v>
      </c>
      <c r="V10" s="16">
        <f>RESULTS!T100</f>
        <v>0</v>
      </c>
      <c r="W10" s="11"/>
      <c r="X10" s="11"/>
      <c r="Y10" s="11"/>
      <c r="Z10" s="11"/>
      <c r="AA10" s="11" t="str">
        <f>'INPUT DATA'!X97</f>
        <v>VIT index</v>
      </c>
      <c r="AB10" s="11" t="str">
        <f>'INPUT DATA'!Y97</f>
        <v>-</v>
      </c>
      <c r="AC10" s="59">
        <f>RESULTS!Z100</f>
        <v>3.3708344458623549</v>
      </c>
      <c r="AD10" s="16">
        <f>RESULTS!AA100</f>
        <v>3.1184154393381642</v>
      </c>
      <c r="AE10" s="16">
        <f>RESULTS!AB100</f>
        <v>3.1669040103415287</v>
      </c>
      <c r="AF10" s="16">
        <f>RESULTS!AC100</f>
        <v>2.348980710939379</v>
      </c>
      <c r="AG10" s="16">
        <f>RESULTS!AD100</f>
        <v>3.0531991137660976</v>
      </c>
      <c r="AH10" s="16">
        <f>RESULTS!AE100</f>
        <v>3.1212962726133848</v>
      </c>
      <c r="AI10" s="16">
        <f>RESULTS!AF100</f>
        <v>3.3660210571625115</v>
      </c>
      <c r="AJ10" s="16">
        <f>RESULTS!AG100</f>
        <v>3.2328527133898972</v>
      </c>
      <c r="AK10" s="16">
        <f>RESULTS!AH100</f>
        <v>2.5353481746251756</v>
      </c>
      <c r="AL10" s="16">
        <f>RESULTS!AI100</f>
        <v>5.8019567831374035</v>
      </c>
      <c r="AM10" s="16">
        <f>RESULTS!AJ100</f>
        <v>6.1852937678667743</v>
      </c>
      <c r="AN10" s="16">
        <f>RESULTS!AK100</f>
        <v>6.0480677767258548</v>
      </c>
      <c r="AP10" s="16"/>
    </row>
    <row r="11" spans="1:42">
      <c r="A11" s="11">
        <v>6</v>
      </c>
      <c r="B11" s="11" t="s">
        <v>134</v>
      </c>
      <c r="C11" s="11" t="s">
        <v>137</v>
      </c>
      <c r="D11" s="26" t="s">
        <v>128</v>
      </c>
      <c r="E11" t="s">
        <v>76</v>
      </c>
      <c r="F11">
        <f>'INPUT DATA'!D208</f>
        <v>297.14999999999998</v>
      </c>
      <c r="G11" s="11">
        <f>'INPUT DATA'!E208</f>
        <v>298.14999999999998</v>
      </c>
      <c r="H11" s="11">
        <f>'INPUT DATA'!F208</f>
        <v>298.14999999999998</v>
      </c>
      <c r="I11" s="11">
        <f>'INPUT DATA'!G208</f>
        <v>299.14999999999998</v>
      </c>
      <c r="J11" s="11">
        <f>'INPUT DATA'!H208</f>
        <v>300.14999999999998</v>
      </c>
      <c r="K11" s="11">
        <f>'INPUT DATA'!I208</f>
        <v>302.14999999999998</v>
      </c>
      <c r="L11" s="11"/>
      <c r="M11" s="11"/>
      <c r="N11" s="11"/>
      <c r="O11" s="11" t="str">
        <f>'INPUT DATA'!M208</f>
        <v>Air Cooler CW Inlet Temp.</v>
      </c>
      <c r="P11" s="11" t="str">
        <f>'INPUT DATA'!N208</f>
        <v>K</v>
      </c>
      <c r="Q11" s="11">
        <f>'INPUT DATA'!O208</f>
        <v>309.14999999999998</v>
      </c>
      <c r="R11" s="11">
        <f>'INPUT DATA'!P208</f>
        <v>309.14999999999998</v>
      </c>
      <c r="S11" s="11">
        <f>'INPUT DATA'!Q208</f>
        <v>309.14999999999998</v>
      </c>
      <c r="T11" s="11">
        <f>'INPUT DATA'!R208</f>
        <v>309.14999999999998</v>
      </c>
      <c r="U11" s="11">
        <f>'INPUT DATA'!S208</f>
        <v>309.14999999999998</v>
      </c>
      <c r="V11" s="11">
        <f>'INPUT DATA'!T208</f>
        <v>0</v>
      </c>
      <c r="W11" s="11"/>
      <c r="X11" s="11"/>
      <c r="Y11" s="11"/>
      <c r="Z11" s="11"/>
      <c r="AA11" s="11" t="str">
        <f>'INPUT DATA'!X208</f>
        <v>Air Cooler CW Inlet Temp.</v>
      </c>
      <c r="AB11" s="11" t="str">
        <f>'INPUT DATA'!Y208</f>
        <v>K</v>
      </c>
      <c r="AC11" s="40">
        <f>'INPUT DATA'!Z208</f>
        <v>309.14999999999998</v>
      </c>
      <c r="AD11" s="11">
        <f>'INPUT DATA'!AA208</f>
        <v>307.14999999999998</v>
      </c>
      <c r="AE11" s="11">
        <f>'INPUT DATA'!AB208</f>
        <v>308.14999999999998</v>
      </c>
      <c r="AF11" s="11">
        <f>'INPUT DATA'!AC208</f>
        <v>307.14999999999998</v>
      </c>
      <c r="AG11" s="11">
        <f>'INPUT DATA'!AD208</f>
        <v>310.14999999999998</v>
      </c>
      <c r="AH11" s="11">
        <f>'INPUT DATA'!AE208</f>
        <v>307.14999999999998</v>
      </c>
      <c r="AI11" s="11">
        <f>'INPUT DATA'!AF208</f>
        <v>309.14999999999998</v>
      </c>
      <c r="AJ11" s="11">
        <f>'INPUT DATA'!AG208</f>
        <v>307.14999999999998</v>
      </c>
      <c r="AK11" s="11">
        <f>'INPUT DATA'!AH208</f>
        <v>308.14999999999998</v>
      </c>
      <c r="AL11" s="11">
        <f>'INPUT DATA'!AI208</f>
        <v>308.14999999999998</v>
      </c>
      <c r="AM11" s="11">
        <f>'INPUT DATA'!AJ208</f>
        <v>308.14999999999998</v>
      </c>
      <c r="AN11" s="11">
        <f>'INPUT DATA'!AK208</f>
        <v>308.14999999999998</v>
      </c>
      <c r="AP11" s="16"/>
    </row>
    <row r="12" spans="1:42">
      <c r="A12" s="11">
        <v>7</v>
      </c>
      <c r="B12" s="11" t="s">
        <v>134</v>
      </c>
      <c r="C12" s="11" t="s">
        <v>138</v>
      </c>
      <c r="D12" t="s">
        <v>90</v>
      </c>
      <c r="E12" t="s">
        <v>76</v>
      </c>
      <c r="F12" s="16">
        <f>'INPUT DATA'!D188</f>
        <v>280.84999999999997</v>
      </c>
      <c r="G12" s="16">
        <f>'INPUT DATA'!E188</f>
        <v>281.25</v>
      </c>
      <c r="H12" s="16">
        <f>'INPUT DATA'!F188</f>
        <v>281.95</v>
      </c>
      <c r="I12" s="16">
        <f>'INPUT DATA'!G188</f>
        <v>282.54999999999995</v>
      </c>
      <c r="J12" s="16">
        <f>'INPUT DATA'!H188</f>
        <v>283.04999999999995</v>
      </c>
      <c r="K12" s="16">
        <f>'INPUT DATA'!I188</f>
        <v>284.04999999999995</v>
      </c>
      <c r="L12" s="16"/>
      <c r="M12" s="16"/>
      <c r="N12" s="16"/>
      <c r="O12" s="16" t="str">
        <f>'INPUT DATA'!M188</f>
        <v>E/R Temperature</v>
      </c>
      <c r="P12" s="16" t="str">
        <f>'INPUT DATA'!N188</f>
        <v>K</v>
      </c>
      <c r="Q12" s="16">
        <f>'INPUT DATA'!O188</f>
        <v>308.14999999999998</v>
      </c>
      <c r="R12" s="16">
        <f>'INPUT DATA'!P188</f>
        <v>308.14999999999998</v>
      </c>
      <c r="S12" s="16">
        <f>'INPUT DATA'!Q188</f>
        <v>307.14999999999998</v>
      </c>
      <c r="T12" s="16">
        <f>'INPUT DATA'!R188</f>
        <v>308.14999999999998</v>
      </c>
      <c r="U12" s="16">
        <f>'INPUT DATA'!S188</f>
        <v>308.14999999999998</v>
      </c>
      <c r="V12" s="16">
        <f>'INPUT DATA'!T188</f>
        <v>0</v>
      </c>
      <c r="W12" s="16"/>
      <c r="X12" s="16"/>
      <c r="Y12" s="16"/>
      <c r="Z12" s="16"/>
      <c r="AA12" s="16" t="str">
        <f>'INPUT DATA'!X188</f>
        <v>E/R Temperature</v>
      </c>
      <c r="AB12" s="16" t="str">
        <f>'INPUT DATA'!Y188</f>
        <v>K</v>
      </c>
      <c r="AC12" s="59">
        <f>'INPUT DATA'!Z188</f>
        <v>304.14999999999998</v>
      </c>
      <c r="AD12" s="16">
        <f>'INPUT DATA'!AA188</f>
        <v>297.14999999999998</v>
      </c>
      <c r="AE12" s="16">
        <f>'INPUT DATA'!AB188</f>
        <v>304.14999999999998</v>
      </c>
      <c r="AF12" s="16">
        <f>'INPUT DATA'!AC188</f>
        <v>299.14999999999998</v>
      </c>
      <c r="AG12" s="16">
        <f>'INPUT DATA'!AD188</f>
        <v>314.14999999999998</v>
      </c>
      <c r="AH12" s="16">
        <f>'INPUT DATA'!AE188</f>
        <v>307.14999999999998</v>
      </c>
      <c r="AI12" s="16">
        <f>'INPUT DATA'!AF188</f>
        <v>310.14999999999998</v>
      </c>
      <c r="AJ12" s="16">
        <f>'INPUT DATA'!AG188</f>
        <v>314.14999999999998</v>
      </c>
      <c r="AK12" s="16">
        <f>'INPUT DATA'!AH188</f>
        <v>310.14999999999998</v>
      </c>
      <c r="AL12" s="16">
        <f>'INPUT DATA'!AI188</f>
        <v>311.14999999999998</v>
      </c>
      <c r="AM12" s="16">
        <f>'INPUT DATA'!AJ188</f>
        <v>308.14999999999998</v>
      </c>
      <c r="AN12" s="16">
        <f>'INPUT DATA'!AK188</f>
        <v>305.14999999999998</v>
      </c>
    </row>
    <row r="13" spans="1:42">
      <c r="A13" s="11">
        <v>8</v>
      </c>
      <c r="B13" s="11" t="s">
        <v>134</v>
      </c>
      <c r="C13" s="11" t="s">
        <v>139</v>
      </c>
      <c r="D13" t="s">
        <v>131</v>
      </c>
      <c r="E13" t="s">
        <v>76</v>
      </c>
      <c r="F13">
        <f>'INPUT DATA'!D223</f>
        <v>343.84999999999997</v>
      </c>
      <c r="G13" s="11">
        <f>'INPUT DATA'!E223</f>
        <v>347.84999999999997</v>
      </c>
      <c r="H13" s="11">
        <f>'INPUT DATA'!F223</f>
        <v>347.95</v>
      </c>
      <c r="I13" s="11">
        <f>'INPUT DATA'!G223</f>
        <v>348.84999999999997</v>
      </c>
      <c r="J13" s="11">
        <f>'INPUT DATA'!H223</f>
        <v>349.65</v>
      </c>
      <c r="K13" s="11">
        <f>'INPUT DATA'!I223</f>
        <v>350.95</v>
      </c>
      <c r="L13" s="11"/>
      <c r="M13" s="11"/>
      <c r="N13" s="11"/>
      <c r="O13" s="11" t="str">
        <f>'INPUT DATA'!M223</f>
        <v>Cooling Water Temperature</v>
      </c>
      <c r="P13" s="11" t="str">
        <f>'INPUT DATA'!N223</f>
        <v>K</v>
      </c>
      <c r="Q13" s="11">
        <f>'INPUT DATA'!O223</f>
        <v>354.65</v>
      </c>
      <c r="R13" s="11">
        <f>'INPUT DATA'!P223</f>
        <v>354.45</v>
      </c>
      <c r="S13" s="11">
        <f>'INPUT DATA'!Q223</f>
        <v>351.65</v>
      </c>
      <c r="T13" s="11">
        <f>'INPUT DATA'!R223</f>
        <v>352.15</v>
      </c>
      <c r="U13" s="11">
        <f>'INPUT DATA'!S223</f>
        <v>352.15</v>
      </c>
      <c r="V13" s="11">
        <f>'INPUT DATA'!T223</f>
        <v>0</v>
      </c>
      <c r="W13" s="11"/>
      <c r="X13" s="11"/>
      <c r="Y13" s="11"/>
      <c r="Z13" s="11"/>
      <c r="AA13" s="11" t="str">
        <f>'INPUT DATA'!X223</f>
        <v>Cooling Water Temperature</v>
      </c>
      <c r="AB13" s="11" t="str">
        <f>'INPUT DATA'!Y223</f>
        <v>K</v>
      </c>
      <c r="AC13" s="40">
        <f>'INPUT DATA'!Z223</f>
        <v>353.81666666666666</v>
      </c>
      <c r="AD13" s="11">
        <f>'INPUT DATA'!AA223</f>
        <v>354.15</v>
      </c>
      <c r="AE13" s="11">
        <f>'INPUT DATA'!AB223</f>
        <v>354.15</v>
      </c>
      <c r="AF13" s="11">
        <f>'INPUT DATA'!AC223</f>
        <v>354.15</v>
      </c>
      <c r="AG13" s="11">
        <f>'INPUT DATA'!AD223</f>
        <v>353.48333333333329</v>
      </c>
      <c r="AH13" s="11">
        <f>'INPUT DATA'!AE223</f>
        <v>353.31666666666666</v>
      </c>
      <c r="AI13" s="11">
        <f>'INPUT DATA'!AF223</f>
        <v>353.31666666666666</v>
      </c>
      <c r="AJ13" s="11">
        <f>'INPUT DATA'!AG223</f>
        <v>353.15</v>
      </c>
      <c r="AK13" s="11">
        <f>'INPUT DATA'!AH223</f>
        <v>352.98333333333329</v>
      </c>
      <c r="AL13" s="11">
        <f>'INPUT DATA'!AI223</f>
        <v>352.65</v>
      </c>
      <c r="AM13" s="11">
        <f>'INPUT DATA'!AJ223</f>
        <v>353.98333333333329</v>
      </c>
      <c r="AN13" s="11">
        <f>'INPUT DATA'!AK223</f>
        <v>353.98333333333329</v>
      </c>
    </row>
    <row r="14" spans="1:42"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2">
      <c r="F15" s="3">
        <f>F4</f>
        <v>38805</v>
      </c>
      <c r="G15" s="3">
        <f t="shared" ref="G15:K15" si="0">G4</f>
        <v>38805</v>
      </c>
      <c r="H15" s="3">
        <f t="shared" si="0"/>
        <v>38805</v>
      </c>
      <c r="I15" s="3">
        <f t="shared" si="0"/>
        <v>38805</v>
      </c>
      <c r="J15" s="3">
        <f t="shared" si="0"/>
        <v>38805</v>
      </c>
      <c r="K15" s="3">
        <f t="shared" si="0"/>
        <v>38805</v>
      </c>
      <c r="L15" s="3"/>
      <c r="M15" s="3"/>
      <c r="N15" s="3"/>
      <c r="O15" s="3" t="str">
        <f t="shared" ref="O15:AG15" si="1">O4</f>
        <v>DATE</v>
      </c>
      <c r="P15" s="3"/>
      <c r="Q15" s="3">
        <f t="shared" si="1"/>
        <v>38966</v>
      </c>
      <c r="R15" s="3">
        <f t="shared" si="1"/>
        <v>38966</v>
      </c>
      <c r="S15" s="3">
        <f t="shared" si="1"/>
        <v>38966</v>
      </c>
      <c r="T15" s="3">
        <f t="shared" si="1"/>
        <v>38966</v>
      </c>
      <c r="U15" s="3">
        <f t="shared" si="1"/>
        <v>38966</v>
      </c>
      <c r="V15" s="3">
        <f t="shared" ref="V15" si="2">V4</f>
        <v>0</v>
      </c>
      <c r="W15" s="3"/>
      <c r="X15" s="3"/>
      <c r="Y15" s="3"/>
      <c r="Z15" s="3"/>
      <c r="AA15" s="3" t="str">
        <f t="shared" si="1"/>
        <v>DATE</v>
      </c>
      <c r="AB15" s="3"/>
      <c r="AC15" s="3">
        <f t="shared" si="1"/>
        <v>41288</v>
      </c>
      <c r="AD15" s="3">
        <f t="shared" si="1"/>
        <v>41330</v>
      </c>
      <c r="AE15" s="3">
        <f t="shared" si="1"/>
        <v>41339</v>
      </c>
      <c r="AF15" s="3">
        <f t="shared" si="1"/>
        <v>0</v>
      </c>
      <c r="AG15" s="3">
        <f t="shared" si="1"/>
        <v>0</v>
      </c>
      <c r="AH15" s="3">
        <f t="shared" ref="AH15:AL15" si="3">AH4</f>
        <v>41451</v>
      </c>
      <c r="AI15" s="3">
        <f t="shared" si="3"/>
        <v>41485</v>
      </c>
      <c r="AJ15" s="3">
        <f t="shared" si="3"/>
        <v>41508</v>
      </c>
      <c r="AK15" s="3">
        <f t="shared" si="3"/>
        <v>41533</v>
      </c>
      <c r="AL15" s="3">
        <f t="shared" si="3"/>
        <v>41558</v>
      </c>
      <c r="AM15" s="3">
        <f t="shared" ref="AM15:AN15" si="4">AM4</f>
        <v>41587</v>
      </c>
      <c r="AN15" s="3">
        <f t="shared" si="4"/>
        <v>41638</v>
      </c>
    </row>
    <row r="16" spans="1:42" ht="15.75">
      <c r="B16" s="28" t="s">
        <v>268</v>
      </c>
      <c r="F16" s="2">
        <f>F5</f>
        <v>0.25</v>
      </c>
      <c r="G16" s="2">
        <f t="shared" ref="G16:K16" si="5">G5</f>
        <v>0.5</v>
      </c>
      <c r="H16" s="2">
        <f t="shared" si="5"/>
        <v>0.75</v>
      </c>
      <c r="I16" s="2">
        <f t="shared" si="5"/>
        <v>0.9</v>
      </c>
      <c r="J16" s="2">
        <f t="shared" si="5"/>
        <v>1</v>
      </c>
      <c r="K16" s="2">
        <f t="shared" si="5"/>
        <v>1.1000000000000001</v>
      </c>
      <c r="L16" s="2"/>
      <c r="M16" s="2"/>
      <c r="N16" s="2"/>
      <c r="O16" s="2" t="str">
        <f t="shared" ref="O16:AG16" si="6">O5</f>
        <v>Load</v>
      </c>
      <c r="P16" s="2"/>
      <c r="Q16" s="2">
        <f t="shared" si="6"/>
        <v>0.5</v>
      </c>
      <c r="R16" s="2">
        <f t="shared" si="6"/>
        <v>0.5</v>
      </c>
      <c r="S16" s="2">
        <f t="shared" si="6"/>
        <v>0.9</v>
      </c>
      <c r="T16" s="2">
        <f t="shared" si="6"/>
        <v>0.9</v>
      </c>
      <c r="U16" s="2">
        <f t="shared" si="6"/>
        <v>0.9</v>
      </c>
      <c r="V16" s="2">
        <f t="shared" ref="V16" si="7">V5</f>
        <v>0</v>
      </c>
      <c r="W16" s="2"/>
      <c r="X16" s="2"/>
      <c r="Y16" s="2"/>
      <c r="Z16" s="2"/>
      <c r="AA16" s="2" t="str">
        <f t="shared" si="6"/>
        <v>Load</v>
      </c>
      <c r="AB16" s="2"/>
      <c r="AC16" s="2">
        <f t="shared" si="6"/>
        <v>0.81780053662605068</v>
      </c>
      <c r="AD16" s="2">
        <f t="shared" si="6"/>
        <v>0.79883770212026628</v>
      </c>
      <c r="AE16" s="2">
        <f t="shared" si="6"/>
        <v>0.77647318045602376</v>
      </c>
      <c r="AF16" s="2">
        <f t="shared" si="6"/>
        <v>0.83695566819794931</v>
      </c>
      <c r="AG16" s="2">
        <f t="shared" si="6"/>
        <v>0.80833003928965508</v>
      </c>
      <c r="AH16" s="2">
        <f t="shared" ref="AH16:AL16" si="8">AH5</f>
        <v>0.77654491454162822</v>
      </c>
      <c r="AI16" s="2">
        <f t="shared" si="8"/>
        <v>0.77537888053131476</v>
      </c>
      <c r="AJ16" s="2">
        <f t="shared" si="8"/>
        <v>0.81822401631458408</v>
      </c>
      <c r="AK16" s="2">
        <f t="shared" si="8"/>
        <v>0.8503592886289788</v>
      </c>
      <c r="AL16" s="2">
        <f t="shared" si="8"/>
        <v>0.84211466289410686</v>
      </c>
      <c r="AM16" s="2">
        <f t="shared" ref="AM16:AN16" si="9">AM5</f>
        <v>0.8122265851030156</v>
      </c>
      <c r="AN16" s="2">
        <f t="shared" si="9"/>
        <v>0.83324822337758164</v>
      </c>
    </row>
    <row r="17" spans="1:40">
      <c r="A17" s="11">
        <v>1</v>
      </c>
      <c r="B17" t="s">
        <v>146</v>
      </c>
      <c r="D17" t="s">
        <v>155</v>
      </c>
      <c r="E17" t="s">
        <v>82</v>
      </c>
      <c r="F17" s="9">
        <f>'INPUT DATA'!D227</f>
        <v>4265.4032678399999</v>
      </c>
      <c r="G17" s="9">
        <f>'INPUT DATA'!E227</f>
        <v>8553.9232317120004</v>
      </c>
      <c r="H17" s="9">
        <f>'INPUT DATA'!F227</f>
        <v>12836.477596608</v>
      </c>
      <c r="I17" s="9">
        <f>'INPUT DATA'!G227</f>
        <v>15401.685156288</v>
      </c>
      <c r="J17" s="9">
        <f>'INPUT DATA'!H227</f>
        <v>17089.949666495999</v>
      </c>
      <c r="K17" s="9">
        <f>'INPUT DATA'!I227</f>
        <v>18872.172360575998</v>
      </c>
      <c r="L17" s="9"/>
      <c r="M17" s="9"/>
      <c r="N17" s="9"/>
      <c r="O17" s="9" t="str">
        <f>'INPUT DATA'!M227</f>
        <v>Brake Power</v>
      </c>
      <c r="P17" s="9" t="str">
        <f>'INPUT DATA'!N227</f>
        <v>kW</v>
      </c>
      <c r="Q17" s="9">
        <f>'INPUT DATA'!O227</f>
        <v>8265.3373812480004</v>
      </c>
      <c r="R17" s="9">
        <f>'INPUT DATA'!P227</f>
        <v>8826.8493848639991</v>
      </c>
      <c r="S17" s="9">
        <f>'INPUT DATA'!Q227</f>
        <v>15227.19138624</v>
      </c>
      <c r="T17" s="9">
        <f>'INPUT DATA'!R227</f>
        <v>15769.315193184</v>
      </c>
      <c r="U17" s="9">
        <f>'INPUT DATA'!S227</f>
        <v>15644.78331456</v>
      </c>
      <c r="V17" s="9">
        <f>'INPUT DATA'!T227</f>
        <v>0</v>
      </c>
      <c r="W17" s="9"/>
      <c r="X17" s="9"/>
      <c r="Y17" s="9"/>
      <c r="Z17" s="9"/>
      <c r="AA17" s="9" t="str">
        <f>'INPUT DATA'!X227</f>
        <v>Brake Power</v>
      </c>
      <c r="AB17" s="9" t="str">
        <f>'INPUT DATA'!Y227</f>
        <v>kW</v>
      </c>
      <c r="AC17" s="9">
        <f>'INPUT DATA'!Z227</f>
        <v>13977.389675683591</v>
      </c>
      <c r="AD17" s="9">
        <f>'INPUT DATA'!AA227</f>
        <v>13653.287507279116</v>
      </c>
      <c r="AE17" s="9">
        <f>'INPUT DATA'!AB227</f>
        <v>13271.045603280067</v>
      </c>
      <c r="AF17" s="9">
        <f>'INPUT DATA'!AC227</f>
        <v>14304.778478060769</v>
      </c>
      <c r="AG17" s="9">
        <f>'INPUT DATA'!AD227</f>
        <v>13815.525228590603</v>
      </c>
      <c r="AH17" s="9">
        <f>'INPUT DATA'!AE227</f>
        <v>13272.271642176616</v>
      </c>
      <c r="AI17" s="9">
        <f>'INPUT DATA'!AF227</f>
        <v>13252.34244060811</v>
      </c>
      <c r="AJ17" s="9">
        <f>'INPUT DATA'!AG227</f>
        <v>13984.627553822911</v>
      </c>
      <c r="AK17" s="9">
        <f>'INPUT DATA'!AH227</f>
        <v>14533.865666731961</v>
      </c>
      <c r="AL17" s="9">
        <f>'INPUT DATA'!AI227</f>
        <v>14392.953131871192</v>
      </c>
      <c r="AM17" s="9">
        <f>'INPUT DATA'!AJ227</f>
        <v>13882.122811721558</v>
      </c>
      <c r="AN17" s="9">
        <f>'INPUT DATA'!AK227</f>
        <v>14241.412903407119</v>
      </c>
    </row>
    <row r="18" spans="1:40">
      <c r="A18" s="11">
        <v>2</v>
      </c>
      <c r="B18" t="s">
        <v>11</v>
      </c>
      <c r="D18" t="s">
        <v>156</v>
      </c>
      <c r="E18" t="s">
        <v>82</v>
      </c>
      <c r="F18" s="9">
        <f>'INPUT DATA'!D234</f>
        <v>4894.7739598079997</v>
      </c>
      <c r="G18" s="9">
        <f>'INPUT DATA'!E234</f>
        <v>9345.8564957759991</v>
      </c>
      <c r="H18" s="9">
        <f>'INPUT DATA'!F234</f>
        <v>13746.231440448</v>
      </c>
      <c r="I18" s="9">
        <f>'INPUT DATA'!G234</f>
        <v>16356.926692319999</v>
      </c>
      <c r="J18" s="9">
        <f>'INPUT DATA'!H234</f>
        <v>18088.441795104001</v>
      </c>
      <c r="K18" s="9">
        <f>'INPUT DATA'!I234</f>
        <v>19905.712383168</v>
      </c>
      <c r="L18" s="9"/>
      <c r="M18" s="9"/>
      <c r="N18" s="9"/>
      <c r="O18" s="9" t="str">
        <f>'INPUT DATA'!M234</f>
        <v>Indicated Power</v>
      </c>
      <c r="P18" s="9" t="str">
        <f>'INPUT DATA'!N234</f>
        <v>kW</v>
      </c>
      <c r="Q18" s="9">
        <f>'INPUT DATA'!O234</f>
        <v>0</v>
      </c>
      <c r="R18" s="9">
        <f>'INPUT DATA'!P234</f>
        <v>0</v>
      </c>
      <c r="S18" s="9">
        <f>'INPUT DATA'!Q234</f>
        <v>0</v>
      </c>
      <c r="T18" s="9">
        <f>'INPUT DATA'!R234</f>
        <v>0</v>
      </c>
      <c r="U18" s="9">
        <f>'INPUT DATA'!S234</f>
        <v>0</v>
      </c>
      <c r="V18" s="9">
        <f>'INPUT DATA'!T234</f>
        <v>0</v>
      </c>
      <c r="W18" s="9"/>
      <c r="X18" s="9"/>
      <c r="Y18" s="9"/>
      <c r="Z18" s="9"/>
      <c r="AA18" s="9" t="str">
        <f>'INPUT DATA'!X234</f>
        <v>Indicated Power</v>
      </c>
      <c r="AB18" s="9" t="str">
        <f>'INPUT DATA'!Y234</f>
        <v>kW</v>
      </c>
      <c r="AC18" s="9">
        <f>'INPUT DATA'!Z234</f>
        <v>14941.402209846818</v>
      </c>
      <c r="AD18" s="9">
        <f>'INPUT DATA'!AA234</f>
        <v>14641.581074143671</v>
      </c>
      <c r="AE18" s="9">
        <f>'INPUT DATA'!AB234</f>
        <v>14244.362680158238</v>
      </c>
      <c r="AF18" s="9">
        <f>'INPUT DATA'!AC234</f>
        <v>15302.786278855705</v>
      </c>
      <c r="AG18" s="9">
        <f>'INPUT DATA'!AD234</f>
        <v>14805.821730286169</v>
      </c>
      <c r="AH18" s="9">
        <f>'INPUT DATA'!AE234</f>
        <v>14253.539763383938</v>
      </c>
      <c r="AI18" s="9">
        <f>'INPUT DATA'!AF234</f>
        <v>14225.680760734489</v>
      </c>
      <c r="AJ18" s="9">
        <f>'INPUT DATA'!AG234</f>
        <v>14970.645058379507</v>
      </c>
      <c r="AK18" s="9">
        <f>'INPUT DATA'!AH234</f>
        <v>15511.364628757294</v>
      </c>
      <c r="AL18" s="9">
        <f>'INPUT DATA'!AI234</f>
        <v>15368.719251792729</v>
      </c>
      <c r="AM18" s="9">
        <f>'INPUT DATA'!AJ234</f>
        <v>14859.718885738695</v>
      </c>
      <c r="AN18" s="9">
        <f>'INPUT DATA'!AK234</f>
        <v>15191.896523211824</v>
      </c>
    </row>
    <row r="19" spans="1:40">
      <c r="A19" s="11">
        <v>3</v>
      </c>
      <c r="B19" t="s">
        <v>154</v>
      </c>
      <c r="D19" t="s">
        <v>39</v>
      </c>
      <c r="E19" t="s">
        <v>87</v>
      </c>
      <c r="F19" s="16">
        <f>'INPUT DATA'!D233</f>
        <v>181.16111890762971</v>
      </c>
      <c r="G19" s="16">
        <f>'INPUT DATA'!E233</f>
        <v>170.48047796801899</v>
      </c>
      <c r="H19" s="16">
        <f>'INPUT DATA'!F233</f>
        <v>167.453415127461</v>
      </c>
      <c r="I19" s="16">
        <f>'INPUT DATA'!G233</f>
        <v>166.09189777996113</v>
      </c>
      <c r="J19" s="16">
        <f>'INPUT DATA'!H233</f>
        <v>168.70918355476672</v>
      </c>
      <c r="K19" s="16">
        <f>'INPUT DATA'!I233</f>
        <v>171.26037625445096</v>
      </c>
      <c r="L19" s="16"/>
      <c r="M19" s="16"/>
      <c r="N19" s="16"/>
      <c r="O19" s="16" t="str">
        <f>'INPUT DATA'!M233</f>
        <v>bsfc corrected (LHV)</v>
      </c>
      <c r="P19" s="16" t="str">
        <f>'INPUT DATA'!N233</f>
        <v>g/kWh</v>
      </c>
      <c r="Q19" s="16">
        <f>'INPUT DATA'!O233</f>
        <v>0</v>
      </c>
      <c r="R19" s="16">
        <f>'INPUT DATA'!P233</f>
        <v>0</v>
      </c>
      <c r="S19" s="16">
        <f>'INPUT DATA'!Q233</f>
        <v>0</v>
      </c>
      <c r="T19" s="16">
        <f>'INPUT DATA'!R233</f>
        <v>0</v>
      </c>
      <c r="U19" s="16">
        <f>'INPUT DATA'!S233</f>
        <v>164.30532562991715</v>
      </c>
      <c r="V19" s="16">
        <f>'INPUT DATA'!T233</f>
        <v>0</v>
      </c>
      <c r="W19" s="16"/>
      <c r="X19" s="16"/>
      <c r="Y19" s="16"/>
      <c r="Z19" s="16"/>
      <c r="AA19" s="16" t="str">
        <f>'INPUT DATA'!X233</f>
        <v>bsfc corrected (LHV)</v>
      </c>
      <c r="AB19" s="16" t="str">
        <f>'INPUT DATA'!Y233</f>
        <v>g/kWh</v>
      </c>
      <c r="AC19" s="16">
        <f>'INPUT DATA'!Z233</f>
        <v>199.71286841735613</v>
      </c>
      <c r="AD19" s="16">
        <f>'INPUT DATA'!AA233</f>
        <v>188.55859803197944</v>
      </c>
      <c r="AE19" s="16">
        <f>'INPUT DATA'!AB233</f>
        <v>191.85771715923889</v>
      </c>
      <c r="AF19" s="16">
        <f>'INPUT DATA'!AC233</f>
        <v>213.35212514013108</v>
      </c>
      <c r="AG19" s="16">
        <f>'INPUT DATA'!AD233</f>
        <v>227.53955396523349</v>
      </c>
      <c r="AH19" s="16">
        <f>'INPUT DATA'!AE233</f>
        <v>207.15806904525238</v>
      </c>
      <c r="AI19" s="16">
        <f>'INPUT DATA'!AF233</f>
        <v>204.94475251554911</v>
      </c>
      <c r="AJ19" s="16">
        <f>'INPUT DATA'!AG233</f>
        <v>227.79214773900512</v>
      </c>
      <c r="AK19" s="16">
        <f>'INPUT DATA'!AH233</f>
        <v>210.18474123060957</v>
      </c>
      <c r="AL19" s="16">
        <f>'INPUT DATA'!AI233</f>
        <v>205.51717484875292</v>
      </c>
      <c r="AM19" s="16">
        <f>'INPUT DATA'!AJ233</f>
        <v>210.32308359830847</v>
      </c>
      <c r="AN19" s="16">
        <f>'INPUT DATA'!AK233</f>
        <v>196.27580130910266</v>
      </c>
    </row>
    <row r="20" spans="1:40">
      <c r="A20" s="11">
        <v>4</v>
      </c>
      <c r="B20" t="s">
        <v>19</v>
      </c>
      <c r="D20" t="s">
        <v>19</v>
      </c>
      <c r="E20" t="s">
        <v>20</v>
      </c>
      <c r="F20" s="18">
        <f>'INPUT DATA'!D240</f>
        <v>76.17378400072667</v>
      </c>
      <c r="G20" s="18">
        <f>'INPUT DATA'!E240</f>
        <v>105.50671736689</v>
      </c>
      <c r="H20" s="18">
        <f>'INPUT DATA'!F240</f>
        <v>135.67298406638665</v>
      </c>
      <c r="I20" s="18">
        <f>'INPUT DATA'!G240</f>
        <v>151.00605075493999</v>
      </c>
      <c r="J20" s="18">
        <f>'INPUT DATA'!H240</f>
        <v>151.00565078777001</v>
      </c>
      <c r="K20" s="18">
        <f>'INPUT DATA'!I240</f>
        <v>151.33791754198333</v>
      </c>
      <c r="L20" s="18"/>
      <c r="M20" s="18"/>
      <c r="N20" s="18"/>
      <c r="O20" s="18" t="str">
        <f>'INPUT DATA'!M240</f>
        <v>Pmax</v>
      </c>
      <c r="P20" s="18" t="str">
        <f>'INPUT DATA'!N240</f>
        <v>bar</v>
      </c>
      <c r="Q20" s="18">
        <f>'INPUT DATA'!O240</f>
        <v>99.170584263366678</v>
      </c>
      <c r="R20" s="18">
        <f>'INPUT DATA'!P240</f>
        <v>101.67058426336668</v>
      </c>
      <c r="S20" s="18">
        <f>'INPUT DATA'!Q240</f>
        <v>135.17058426336666</v>
      </c>
      <c r="T20" s="18">
        <f>'INPUT DATA'!R240</f>
        <v>142.00391759670001</v>
      </c>
      <c r="U20" s="18">
        <f>'INPUT DATA'!S240</f>
        <v>141.17058426336666</v>
      </c>
      <c r="V20" s="18">
        <f>'INPUT DATA'!T240</f>
        <v>0</v>
      </c>
      <c r="W20" s="18"/>
      <c r="X20" s="18"/>
      <c r="Y20" s="18"/>
      <c r="Z20" s="18"/>
      <c r="AA20" s="18" t="str">
        <f>'INPUT DATA'!X240</f>
        <v>Pmax</v>
      </c>
      <c r="AB20" s="18" t="str">
        <f>'INPUT DATA'!Y240</f>
        <v>bar</v>
      </c>
      <c r="AC20" s="18">
        <f>'INPUT DATA'!Z240</f>
        <v>135.36533333333335</v>
      </c>
      <c r="AD20" s="18">
        <f>'INPUT DATA'!AA240</f>
        <v>138.69666666666666</v>
      </c>
      <c r="AE20" s="18">
        <f>'INPUT DATA'!AB240</f>
        <v>135.51300000000001</v>
      </c>
      <c r="AF20" s="18">
        <f>'INPUT DATA'!AC240</f>
        <v>139.542</v>
      </c>
      <c r="AG20" s="18">
        <f>'INPUT DATA'!AD240</f>
        <v>134.52099999999999</v>
      </c>
      <c r="AH20" s="18">
        <f>'INPUT DATA'!AE240</f>
        <v>134.35733333333334</v>
      </c>
      <c r="AI20" s="18">
        <f>'INPUT DATA'!AF240</f>
        <v>132.02000000000001</v>
      </c>
      <c r="AJ20" s="18">
        <f>'INPUT DATA'!AG240</f>
        <v>134.02199999999999</v>
      </c>
      <c r="AK20" s="18">
        <f>'INPUT DATA'!AH240</f>
        <v>136.511</v>
      </c>
      <c r="AL20" s="18">
        <f>'INPUT DATA'!AI240</f>
        <v>143.52099999999999</v>
      </c>
      <c r="AM20" s="18">
        <f>'INPUT DATA'!AJ240</f>
        <v>142.51900000000001</v>
      </c>
      <c r="AN20" s="18">
        <f>'INPUT DATA'!AK240</f>
        <v>137.35733333333334</v>
      </c>
    </row>
    <row r="21" spans="1:40">
      <c r="A21" s="11">
        <v>5</v>
      </c>
      <c r="B21" t="s">
        <v>21</v>
      </c>
      <c r="D21" t="s">
        <v>21</v>
      </c>
      <c r="E21" s="11" t="s">
        <v>20</v>
      </c>
      <c r="F21" s="18">
        <f>'INPUT DATA'!D241</f>
        <v>49.007117334059998</v>
      </c>
      <c r="G21" s="18">
        <f>'INPUT DATA'!E241</f>
        <v>75.673384033556673</v>
      </c>
      <c r="H21" s="18">
        <f>'INPUT DATA'!F241</f>
        <v>106.17298406638668</v>
      </c>
      <c r="I21" s="18">
        <f>'INPUT DATA'!G241</f>
        <v>124.17271742160668</v>
      </c>
      <c r="J21" s="18">
        <f>'INPUT DATA'!H241</f>
        <v>137.17231745443667</v>
      </c>
      <c r="K21" s="18">
        <f>'INPUT DATA'!I241</f>
        <v>146.83791754198333</v>
      </c>
      <c r="L21" s="18"/>
      <c r="M21" s="18"/>
      <c r="N21" s="18"/>
      <c r="O21" s="18" t="str">
        <f>'INPUT DATA'!M241</f>
        <v>Pcomp</v>
      </c>
      <c r="P21" s="18" t="str">
        <f>'INPUT DATA'!N241</f>
        <v>bar</v>
      </c>
      <c r="Q21" s="18">
        <f>'INPUT DATA'!O241</f>
        <v>75.003917596700006</v>
      </c>
      <c r="R21" s="18">
        <f>'INPUT DATA'!P241</f>
        <v>78.670584263366678</v>
      </c>
      <c r="S21" s="18">
        <f>'INPUT DATA'!Q241</f>
        <v>121.33725093003333</v>
      </c>
      <c r="T21" s="18">
        <f>'INPUT DATA'!R241</f>
        <v>125.17058426336668</v>
      </c>
      <c r="U21" s="18">
        <f>'INPUT DATA'!S241</f>
        <v>124.83725093003333</v>
      </c>
      <c r="V21" s="18">
        <f>'INPUT DATA'!T241</f>
        <v>0</v>
      </c>
      <c r="W21" s="18"/>
      <c r="X21" s="18"/>
      <c r="Y21" s="18"/>
      <c r="Z21" s="18"/>
      <c r="AA21" s="18" t="str">
        <f>'INPUT DATA'!X241</f>
        <v>Pcomp</v>
      </c>
      <c r="AB21" s="18" t="str">
        <f>'INPUT DATA'!Y241</f>
        <v>bar</v>
      </c>
      <c r="AC21" s="18">
        <f>'INPUT DATA'!Z241</f>
        <v>117.49866666666665</v>
      </c>
      <c r="AD21" s="18">
        <f>'INPUT DATA'!AA241</f>
        <v>121.51333333333334</v>
      </c>
      <c r="AE21" s="18">
        <f>'INPUT DATA'!AB241</f>
        <v>116.87966666666668</v>
      </c>
      <c r="AF21" s="18">
        <f>'INPUT DATA'!AC241</f>
        <v>127.84200000000001</v>
      </c>
      <c r="AG21" s="18">
        <f>'INPUT DATA'!AD241</f>
        <v>117.93766666666667</v>
      </c>
      <c r="AH21" s="18">
        <f>'INPUT DATA'!AE241</f>
        <v>117.09066666666666</v>
      </c>
      <c r="AI21" s="18">
        <f>'INPUT DATA'!AF241</f>
        <v>113.77</v>
      </c>
      <c r="AJ21" s="18">
        <f>'INPUT DATA'!AG241</f>
        <v>118.43866666666668</v>
      </c>
      <c r="AK21" s="18">
        <f>'INPUT DATA'!AH241</f>
        <v>123.84433333333332</v>
      </c>
      <c r="AL21" s="18">
        <f>'INPUT DATA'!AI241</f>
        <v>119.70433333333332</v>
      </c>
      <c r="AM21" s="18">
        <f>'INPUT DATA'!AJ241</f>
        <v>117.03566666666667</v>
      </c>
      <c r="AN21" s="18">
        <f>'INPUT DATA'!AK241</f>
        <v>109.50733333333334</v>
      </c>
    </row>
    <row r="22" spans="1:40">
      <c r="A22" s="11">
        <v>6</v>
      </c>
      <c r="B22" t="s">
        <v>153</v>
      </c>
      <c r="D22" t="s">
        <v>142</v>
      </c>
      <c r="E22" s="11" t="s">
        <v>20</v>
      </c>
      <c r="F22">
        <f>'INPUT DATA'!D215</f>
        <v>1.3971173340599998</v>
      </c>
      <c r="G22" s="11">
        <f>'INPUT DATA'!E215</f>
        <v>2.1067173668899999</v>
      </c>
      <c r="H22" s="11">
        <f>'INPUT DATA'!F215</f>
        <v>2.9363173997200001</v>
      </c>
      <c r="I22" s="11">
        <f>'INPUT DATA'!G215</f>
        <v>3.3760507549400001</v>
      </c>
      <c r="J22" s="11">
        <f>'INPUT DATA'!H215</f>
        <v>3.7456507877700003</v>
      </c>
      <c r="K22" s="11">
        <f>'INPUT DATA'!I215</f>
        <v>4.0145842086499997</v>
      </c>
      <c r="L22" s="11"/>
      <c r="M22" s="11"/>
      <c r="N22" s="11"/>
      <c r="O22" s="11" t="str">
        <f>'INPUT DATA'!M215</f>
        <v>P scavenge receiver</v>
      </c>
      <c r="P22" s="11" t="str">
        <f>'INPUT DATA'!N215</f>
        <v>bar</v>
      </c>
      <c r="Q22" s="11">
        <f>'INPUT DATA'!O215</f>
        <v>2.1316823466999999</v>
      </c>
      <c r="R22" s="11">
        <f>'INPUT DATA'!P215</f>
        <v>2.2297488466999997</v>
      </c>
      <c r="S22" s="11">
        <f>'INPUT DATA'!Q215</f>
        <v>3.4065468467000004</v>
      </c>
      <c r="T22" s="11">
        <f>'INPUT DATA'!R215</f>
        <v>3.5046133466999998</v>
      </c>
      <c r="U22" s="11">
        <f>'INPUT DATA'!S215</f>
        <v>3.4555800966999999</v>
      </c>
      <c r="V22" s="11">
        <f>'INPUT DATA'!T215</f>
        <v>0</v>
      </c>
      <c r="W22" s="11"/>
      <c r="X22" s="11"/>
      <c r="Y22" s="11"/>
      <c r="Z22" s="11"/>
      <c r="AA22" s="11" t="str">
        <f>'INPUT DATA'!X215</f>
        <v>P scavenge receiver</v>
      </c>
      <c r="AB22" s="11" t="str">
        <f>'INPUT DATA'!Y215</f>
        <v>bar</v>
      </c>
      <c r="AC22" s="11">
        <f>'INPUT DATA'!Z215</f>
        <v>3.3319999999999999</v>
      </c>
      <c r="AD22" s="11">
        <f>'INPUT DATA'!AA215</f>
        <v>3.4299999999999997</v>
      </c>
      <c r="AE22" s="11">
        <f>'INPUT DATA'!AB215</f>
        <v>3.5129999999999999</v>
      </c>
      <c r="AF22" s="11">
        <f>'INPUT DATA'!AC215</f>
        <v>3.5419999999999998</v>
      </c>
      <c r="AG22" s="11">
        <f>'INPUT DATA'!AD215</f>
        <v>3.3209999999999997</v>
      </c>
      <c r="AH22" s="11">
        <f>'INPUT DATA'!AE215</f>
        <v>3.524</v>
      </c>
      <c r="AI22" s="11">
        <f>'INPUT DATA'!AF215</f>
        <v>3.22</v>
      </c>
      <c r="AJ22" s="11">
        <f>'INPUT DATA'!AG215</f>
        <v>3.5220000000000002</v>
      </c>
      <c r="AK22" s="11">
        <f>'INPUT DATA'!AH215</f>
        <v>3.7110000000000003</v>
      </c>
      <c r="AL22" s="11">
        <f>'INPUT DATA'!AI215</f>
        <v>3.621</v>
      </c>
      <c r="AM22" s="11">
        <f>'INPUT DATA'!AJ215</f>
        <v>3.2190000000000003</v>
      </c>
      <c r="AN22" s="11">
        <f>'INPUT DATA'!AK215</f>
        <v>3.1240000000000001</v>
      </c>
    </row>
    <row r="23" spans="1:40">
      <c r="A23" s="11">
        <v>7</v>
      </c>
      <c r="B23" t="s">
        <v>152</v>
      </c>
      <c r="D23" t="s">
        <v>143</v>
      </c>
      <c r="E23" t="s">
        <v>76</v>
      </c>
      <c r="F23" s="11">
        <f>'INPUT DATA'!D216</f>
        <v>303.14999999999998</v>
      </c>
      <c r="G23" s="11">
        <f>'INPUT DATA'!E216</f>
        <v>301.14999999999998</v>
      </c>
      <c r="H23" s="11">
        <f>'INPUT DATA'!F216</f>
        <v>301.14999999999998</v>
      </c>
      <c r="I23" s="11">
        <f>'INPUT DATA'!G216</f>
        <v>303.14999999999998</v>
      </c>
      <c r="J23" s="11">
        <f>'INPUT DATA'!H216</f>
        <v>305.14999999999998</v>
      </c>
      <c r="K23" s="11">
        <f>'INPUT DATA'!I216</f>
        <v>309.14999999999998</v>
      </c>
      <c r="L23" s="11"/>
      <c r="M23" s="11"/>
      <c r="N23" s="11"/>
      <c r="O23" s="11" t="str">
        <f>'INPUT DATA'!M216</f>
        <v>T scavenge receiver</v>
      </c>
      <c r="P23" s="11" t="str">
        <f>'INPUT DATA'!N216</f>
        <v>K</v>
      </c>
      <c r="Q23" s="11">
        <f>'INPUT DATA'!O216</f>
        <v>311.14999999999998</v>
      </c>
      <c r="R23" s="11">
        <f>'INPUT DATA'!P216</f>
        <v>312.14999999999998</v>
      </c>
      <c r="S23" s="11">
        <f>'INPUT DATA'!Q216</f>
        <v>316.14999999999998</v>
      </c>
      <c r="T23" s="11">
        <f>'INPUT DATA'!R216</f>
        <v>317.14999999999998</v>
      </c>
      <c r="U23" s="11">
        <f>'INPUT DATA'!S216</f>
        <v>315.14999999999998</v>
      </c>
      <c r="V23" s="11">
        <f>'INPUT DATA'!T216</f>
        <v>0</v>
      </c>
      <c r="W23" s="11"/>
      <c r="X23" s="11"/>
      <c r="Y23" s="11"/>
      <c r="Z23" s="11"/>
      <c r="AA23" s="11" t="str">
        <f>'INPUT DATA'!X216</f>
        <v>T scavenge receiver</v>
      </c>
      <c r="AB23" s="11" t="str">
        <f>'INPUT DATA'!Y216</f>
        <v>K</v>
      </c>
      <c r="AC23" s="11">
        <f>'INPUT DATA'!Z216</f>
        <v>316.14999999999998</v>
      </c>
      <c r="AD23" s="11">
        <f>'INPUT DATA'!AA216</f>
        <v>314.14999999999998</v>
      </c>
      <c r="AE23" s="11">
        <f>'INPUT DATA'!AB216</f>
        <v>314.14999999999998</v>
      </c>
      <c r="AF23" s="11">
        <f>'INPUT DATA'!AC216</f>
        <v>315.14999999999998</v>
      </c>
      <c r="AG23" s="11">
        <f>'INPUT DATA'!AD216</f>
        <v>318.14999999999998</v>
      </c>
      <c r="AH23" s="11">
        <f>'INPUT DATA'!AE216</f>
        <v>314.14999999999998</v>
      </c>
      <c r="AI23" s="11">
        <f>'INPUT DATA'!AF216</f>
        <v>314.14999999999998</v>
      </c>
      <c r="AJ23" s="11">
        <f>'INPUT DATA'!AG216</f>
        <v>317.14999999999998</v>
      </c>
      <c r="AK23" s="11">
        <f>'INPUT DATA'!AH216</f>
        <v>317.14999999999998</v>
      </c>
      <c r="AL23" s="11">
        <f>'INPUT DATA'!AI216</f>
        <v>316.14999999999998</v>
      </c>
      <c r="AM23" s="11">
        <f>'INPUT DATA'!AJ216</f>
        <v>315.14999999999998</v>
      </c>
      <c r="AN23" s="11">
        <f>'INPUT DATA'!AK216</f>
        <v>313.14999999999998</v>
      </c>
    </row>
    <row r="24" spans="1:40">
      <c r="A24" s="11">
        <v>8</v>
      </c>
      <c r="B24" t="s">
        <v>151</v>
      </c>
      <c r="D24" t="s">
        <v>144</v>
      </c>
      <c r="E24" t="s">
        <v>20</v>
      </c>
      <c r="F24" s="11">
        <f>'INPUT DATA'!D217</f>
        <v>1.31711733406</v>
      </c>
      <c r="G24" s="11">
        <f>'INPUT DATA'!E217</f>
        <v>1.94671736689</v>
      </c>
      <c r="H24" s="11">
        <f>'INPUT DATA'!F217</f>
        <v>2.7363173997199999</v>
      </c>
      <c r="I24" s="11">
        <f>'INPUT DATA'!G217</f>
        <v>3.1660507549400001</v>
      </c>
      <c r="J24" s="11">
        <f>'INPUT DATA'!H217</f>
        <v>3.48565078777</v>
      </c>
      <c r="K24" s="11">
        <f>'INPUT DATA'!I217</f>
        <v>3.7945842086499999</v>
      </c>
      <c r="L24" s="11"/>
      <c r="M24" s="11"/>
      <c r="N24" s="11"/>
      <c r="O24" s="11" t="str">
        <f>'INPUT DATA'!M217</f>
        <v>P Exhaust receiver</v>
      </c>
      <c r="P24" s="11" t="str">
        <f>'INPUT DATA'!N217</f>
        <v>bar</v>
      </c>
      <c r="Q24" s="11">
        <f>'INPUT DATA'!O217</f>
        <v>1.0039175967</v>
      </c>
      <c r="R24" s="11">
        <f>'INPUT DATA'!P217</f>
        <v>1.0039175967</v>
      </c>
      <c r="S24" s="11">
        <f>'INPUT DATA'!Q217</f>
        <v>1.0039175967</v>
      </c>
      <c r="T24" s="11">
        <f>'INPUT DATA'!R217</f>
        <v>1.0039175967</v>
      </c>
      <c r="U24" s="11">
        <f>'INPUT DATA'!S217</f>
        <v>1.0039175967</v>
      </c>
      <c r="V24" s="11">
        <f>'INPUT DATA'!T217</f>
        <v>0</v>
      </c>
      <c r="W24" s="11"/>
      <c r="X24" s="11"/>
      <c r="Y24" s="11"/>
      <c r="Z24" s="11"/>
      <c r="AA24" s="11" t="str">
        <f>'INPUT DATA'!X217</f>
        <v>P Exhaust receiver</v>
      </c>
      <c r="AB24" s="11" t="str">
        <f>'INPUT DATA'!Y217</f>
        <v>bar</v>
      </c>
      <c r="AC24" s="11">
        <f>'INPUT DATA'!Z217</f>
        <v>3.2320000000000002</v>
      </c>
      <c r="AD24" s="11">
        <f>'INPUT DATA'!AA217</f>
        <v>3.5300000000000002</v>
      </c>
      <c r="AE24" s="11">
        <f>'INPUT DATA'!AB217</f>
        <v>3.5129999999999999</v>
      </c>
      <c r="AF24" s="11">
        <f>'INPUT DATA'!AC217</f>
        <v>3.1420000000000003</v>
      </c>
      <c r="AG24" s="11">
        <f>'INPUT DATA'!AD217</f>
        <v>3.2210000000000001</v>
      </c>
      <c r="AH24" s="11">
        <f>'INPUT DATA'!AE217</f>
        <v>1.024</v>
      </c>
      <c r="AI24" s="11">
        <f>'INPUT DATA'!AF217</f>
        <v>3.02</v>
      </c>
      <c r="AJ24" s="11">
        <f>'INPUT DATA'!AG217</f>
        <v>1.022</v>
      </c>
      <c r="AK24" s="11">
        <f>'INPUT DATA'!AH217</f>
        <v>1.0109999999999999</v>
      </c>
      <c r="AL24" s="11">
        <f>'INPUT DATA'!AI217</f>
        <v>3.3209999999999997</v>
      </c>
      <c r="AM24" s="11">
        <f>'INPUT DATA'!AJ217</f>
        <v>2.819</v>
      </c>
      <c r="AN24" s="11">
        <f>'INPUT DATA'!AK217</f>
        <v>2.6240000000000001</v>
      </c>
    </row>
    <row r="25" spans="1:40">
      <c r="A25" s="11">
        <v>9</v>
      </c>
      <c r="B25" t="s">
        <v>150</v>
      </c>
      <c r="D25" t="s">
        <v>145</v>
      </c>
      <c r="E25" t="s">
        <v>76</v>
      </c>
      <c r="F25" s="11">
        <f>'INPUT DATA'!D218</f>
        <v>526.65</v>
      </c>
      <c r="G25" s="11">
        <f>'INPUT DATA'!E218</f>
        <v>582.65</v>
      </c>
      <c r="H25" s="11">
        <f>'INPUT DATA'!F218</f>
        <v>603.15</v>
      </c>
      <c r="I25" s="11">
        <f>'INPUT DATA'!G218</f>
        <v>623.65</v>
      </c>
      <c r="J25" s="11">
        <f>'INPUT DATA'!H218</f>
        <v>642.65</v>
      </c>
      <c r="K25" s="11">
        <f>'INPUT DATA'!I218</f>
        <v>670.15</v>
      </c>
      <c r="L25" s="11"/>
      <c r="M25" s="11"/>
      <c r="N25" s="11"/>
      <c r="O25" s="11" t="str">
        <f>'INPUT DATA'!M218</f>
        <v>T Exhaust receiver</v>
      </c>
      <c r="P25" s="11" t="str">
        <f>'INPUT DATA'!N218</f>
        <v>K</v>
      </c>
      <c r="Q25" s="11">
        <f>'INPUT DATA'!O218</f>
        <v>623.15</v>
      </c>
      <c r="R25" s="11">
        <f>'INPUT DATA'!P218</f>
        <v>633.15</v>
      </c>
      <c r="S25" s="11">
        <f>'INPUT DATA'!Q218</f>
        <v>665.15</v>
      </c>
      <c r="T25" s="11">
        <f>'INPUT DATA'!R218</f>
        <v>668.15</v>
      </c>
      <c r="U25" s="11">
        <f>'INPUT DATA'!S218</f>
        <v>669.65</v>
      </c>
      <c r="V25" s="11">
        <f>'INPUT DATA'!T218</f>
        <v>0</v>
      </c>
      <c r="W25" s="11"/>
      <c r="X25" s="11"/>
      <c r="Y25" s="11"/>
      <c r="Z25" s="11"/>
      <c r="AA25" s="11" t="str">
        <f>'INPUT DATA'!X218</f>
        <v>T Exhaust receiver</v>
      </c>
      <c r="AB25" s="11" t="str">
        <f>'INPUT DATA'!Y218</f>
        <v>K</v>
      </c>
      <c r="AC25" s="11">
        <f>'INPUT DATA'!Z218</f>
        <v>643.15</v>
      </c>
      <c r="AD25" s="11">
        <f>'INPUT DATA'!AA218</f>
        <v>630.65</v>
      </c>
      <c r="AE25" s="11">
        <f>'INPUT DATA'!AB218</f>
        <v>640.65</v>
      </c>
      <c r="AF25" s="11">
        <f>'INPUT DATA'!AC218</f>
        <v>638.15</v>
      </c>
      <c r="AG25" s="11">
        <f>'INPUT DATA'!AD218</f>
        <v>663.15</v>
      </c>
      <c r="AH25" s="11">
        <f>'INPUT DATA'!AE218</f>
        <v>645.65</v>
      </c>
      <c r="AI25" s="11">
        <f>'INPUT DATA'!AF218</f>
        <v>648.15</v>
      </c>
      <c r="AJ25" s="11">
        <f>'INPUT DATA'!AG218</f>
        <v>660.65</v>
      </c>
      <c r="AK25" s="11">
        <f>'INPUT DATA'!AH218</f>
        <v>664.15</v>
      </c>
      <c r="AL25" s="11">
        <f>'INPUT DATA'!AI218</f>
        <v>658.15</v>
      </c>
      <c r="AM25" s="11">
        <f>'INPUT DATA'!AJ218</f>
        <v>649.65</v>
      </c>
      <c r="AN25" s="11">
        <f>'INPUT DATA'!AK218</f>
        <v>648.15</v>
      </c>
    </row>
    <row r="26" spans="1:40">
      <c r="A26" s="11">
        <v>10</v>
      </c>
      <c r="B26" t="s">
        <v>147</v>
      </c>
      <c r="D26" t="s">
        <v>147</v>
      </c>
      <c r="E26" t="s">
        <v>14</v>
      </c>
      <c r="F26">
        <f>'INPUT DATA'!D206</f>
        <v>5399</v>
      </c>
      <c r="G26" s="11">
        <f>'INPUT DATA'!E206</f>
        <v>9112</v>
      </c>
      <c r="H26" s="11">
        <f>'INPUT DATA'!F206</f>
        <v>11268.5</v>
      </c>
      <c r="I26" s="11">
        <f>'INPUT DATA'!G206</f>
        <v>12216.5</v>
      </c>
      <c r="J26" s="11">
        <f>'INPUT DATA'!H206</f>
        <v>12860.5</v>
      </c>
      <c r="K26" s="11">
        <f>'INPUT DATA'!I206</f>
        <v>13468</v>
      </c>
      <c r="L26" s="11"/>
      <c r="M26" s="11"/>
      <c r="N26" s="11"/>
      <c r="O26" s="11" t="str">
        <f>'INPUT DATA'!M206</f>
        <v>TC Speed</v>
      </c>
      <c r="P26" s="11" t="str">
        <f>'INPUT DATA'!N206</f>
        <v>rpm</v>
      </c>
      <c r="Q26" s="11">
        <f>'INPUT DATA'!O206</f>
        <v>9549.5</v>
      </c>
      <c r="R26" s="11">
        <f>'INPUT DATA'!P206</f>
        <v>9897.5</v>
      </c>
      <c r="S26" s="11">
        <f>'INPUT DATA'!Q206</f>
        <v>12645</v>
      </c>
      <c r="T26" s="11">
        <f>'INPUT DATA'!R206</f>
        <v>12880</v>
      </c>
      <c r="U26" s="11">
        <f>'INPUT DATA'!S206</f>
        <v>12960</v>
      </c>
      <c r="V26" s="11">
        <f>'INPUT DATA'!T206</f>
        <v>0</v>
      </c>
      <c r="W26" s="11"/>
      <c r="X26" s="11"/>
      <c r="Y26" s="11"/>
      <c r="Z26" s="11"/>
      <c r="AA26" s="11" t="str">
        <f>'INPUT DATA'!X206</f>
        <v>TC Speed</v>
      </c>
      <c r="AB26" s="11" t="str">
        <f>'INPUT DATA'!Y206</f>
        <v>rpm</v>
      </c>
      <c r="AC26" s="11">
        <f>'INPUT DATA'!Z206</f>
        <v>12275</v>
      </c>
      <c r="AD26" s="11">
        <f>'INPUT DATA'!AA206</f>
        <v>12306</v>
      </c>
      <c r="AE26" s="11">
        <f>'INPUT DATA'!AB206</f>
        <v>12405</v>
      </c>
      <c r="AF26" s="11">
        <f>'INPUT DATA'!AC206</f>
        <v>12500</v>
      </c>
      <c r="AG26" s="11">
        <f>'INPUT DATA'!AD206</f>
        <v>12640</v>
      </c>
      <c r="AH26" s="11">
        <f>'INPUT DATA'!AE206</f>
        <v>12375</v>
      </c>
      <c r="AI26" s="11">
        <f>'INPUT DATA'!AF206</f>
        <v>12279</v>
      </c>
      <c r="AJ26" s="11">
        <f>'INPUT DATA'!AG206</f>
        <v>12630</v>
      </c>
      <c r="AK26" s="11">
        <f>'INPUT DATA'!AH206</f>
        <v>12862.5</v>
      </c>
      <c r="AL26" s="11">
        <f>'INPUT DATA'!AI206</f>
        <v>12515</v>
      </c>
      <c r="AM26" s="11">
        <f>'INPUT DATA'!AJ206</f>
        <v>12365.5</v>
      </c>
      <c r="AN26" s="11">
        <f>'INPUT DATA'!AK206</f>
        <v>11860</v>
      </c>
    </row>
    <row r="27" spans="1:40">
      <c r="A27" s="11">
        <v>11</v>
      </c>
      <c r="B27" t="s">
        <v>149</v>
      </c>
      <c r="D27" t="s">
        <v>157</v>
      </c>
      <c r="E27" t="s">
        <v>76</v>
      </c>
      <c r="F27">
        <f>'INPUT DATA'!D246</f>
        <v>296.14999999999998</v>
      </c>
      <c r="G27" s="11">
        <f>'INPUT DATA'!E246</f>
        <v>355.65</v>
      </c>
      <c r="H27" s="11">
        <f>'INPUT DATA'!F246</f>
        <v>400.65</v>
      </c>
      <c r="I27" s="11">
        <f>'INPUT DATA'!G246</f>
        <v>425.65</v>
      </c>
      <c r="J27" s="11">
        <f>'INPUT DATA'!H246</f>
        <v>443.15</v>
      </c>
      <c r="K27" s="11">
        <f>'INPUT DATA'!I246</f>
        <v>458.15</v>
      </c>
      <c r="L27" s="11"/>
      <c r="M27" s="11"/>
      <c r="N27" s="11"/>
      <c r="O27" s="11" t="str">
        <f>'INPUT DATA'!M246</f>
        <v>Compressor Delivery Temp</v>
      </c>
      <c r="P27" s="11" t="str">
        <f>'INPUT DATA'!N246</f>
        <v>K</v>
      </c>
      <c r="Q27" s="11">
        <f>'INPUT DATA'!O246</f>
        <v>383.15</v>
      </c>
      <c r="R27" s="11">
        <f>'INPUT DATA'!P246</f>
        <v>390.65</v>
      </c>
      <c r="S27" s="11">
        <f>'INPUT DATA'!Q246</f>
        <v>453.15</v>
      </c>
      <c r="T27" s="11">
        <f>'INPUT DATA'!R246</f>
        <v>460.15</v>
      </c>
      <c r="U27" s="11">
        <f>'INPUT DATA'!S246</f>
        <v>456.65</v>
      </c>
      <c r="V27" s="11">
        <f>'INPUT DATA'!T246</f>
        <v>0</v>
      </c>
      <c r="W27" s="11"/>
      <c r="X27" s="11"/>
      <c r="Y27" s="11"/>
      <c r="Z27" s="11"/>
      <c r="AA27" s="11" t="str">
        <f>'INPUT DATA'!X246</f>
        <v>Compressor Delivery Temp</v>
      </c>
      <c r="AB27" s="11" t="str">
        <f>'INPUT DATA'!Y246</f>
        <v>K</v>
      </c>
      <c r="AC27" s="11">
        <f>'INPUT DATA'!Z246</f>
        <v>435.65</v>
      </c>
      <c r="AD27" s="11">
        <f>'INPUT DATA'!AA246</f>
        <v>430.65</v>
      </c>
      <c r="AE27" s="11">
        <f>'INPUT DATA'!AB246</f>
        <v>428.15</v>
      </c>
      <c r="AF27" s="11">
        <f>'INPUT DATA'!AC246</f>
        <v>435.65</v>
      </c>
      <c r="AG27" s="11">
        <f>'INPUT DATA'!AD246</f>
        <v>438.15</v>
      </c>
      <c r="AH27" s="11">
        <f>'INPUT DATA'!AE246</f>
        <v>445.65</v>
      </c>
      <c r="AI27" s="11">
        <f>'INPUT DATA'!AF246</f>
        <v>443.15</v>
      </c>
      <c r="AJ27" s="11">
        <f>'INPUT DATA'!AG246</f>
        <v>450.65</v>
      </c>
      <c r="AK27" s="11">
        <f>'INPUT DATA'!AH246</f>
        <v>435.65</v>
      </c>
      <c r="AL27" s="11">
        <f>'INPUT DATA'!AI246</f>
        <v>450.65</v>
      </c>
      <c r="AM27" s="11">
        <f>'INPUT DATA'!AJ246</f>
        <v>443.15</v>
      </c>
      <c r="AN27" s="11">
        <f>'INPUT DATA'!AK246</f>
        <v>425.65</v>
      </c>
    </row>
    <row r="28" spans="1:40">
      <c r="A28" s="11">
        <v>12</v>
      </c>
      <c r="B28" t="s">
        <v>148</v>
      </c>
      <c r="D28" t="s">
        <v>141</v>
      </c>
      <c r="E28" t="s">
        <v>20</v>
      </c>
      <c r="F28">
        <f>'INPUT DATA'!D244</f>
        <v>6.0310897500000004E-3</v>
      </c>
      <c r="G28" s="11">
        <f>'INPUT DATA'!E244</f>
        <v>1.1179580999999999E-2</v>
      </c>
      <c r="H28" s="11">
        <f>'INPUT DATA'!F244</f>
        <v>1.5690639999999999E-2</v>
      </c>
      <c r="I28" s="11">
        <f>'INPUT DATA'!G244</f>
        <v>1.7897136250000001E-2</v>
      </c>
      <c r="J28" s="11">
        <f>'INPUT DATA'!H244</f>
        <v>1.9368133749999999E-2</v>
      </c>
      <c r="K28" s="11">
        <f>'INPUT DATA'!I244</f>
        <v>2.0103632499999999E-2</v>
      </c>
      <c r="L28" s="11"/>
      <c r="M28" s="11"/>
      <c r="N28" s="11"/>
      <c r="O28" s="11" t="str">
        <f>'INPUT DATA'!M244</f>
        <v xml:space="preserve">Air Cooler Pressure Drop </v>
      </c>
      <c r="P28" s="11" t="str">
        <f>'INPUT DATA'!N244</f>
        <v>bar</v>
      </c>
      <c r="Q28" s="11">
        <f>'INPUT DATA'!O244</f>
        <v>1.12776475E-2</v>
      </c>
      <c r="R28" s="11">
        <f>'INPUT DATA'!P244</f>
        <v>1.201314625E-2</v>
      </c>
      <c r="S28" s="11">
        <f>'INPUT DATA'!Q244</f>
        <v>1.8142302499999999E-2</v>
      </c>
      <c r="T28" s="11">
        <f>'INPUT DATA'!R244</f>
        <v>1.8877801249999999E-2</v>
      </c>
      <c r="U28" s="11">
        <f>'INPUT DATA'!S244</f>
        <v>1.8632635000000002E-2</v>
      </c>
      <c r="V28" s="11">
        <f>'INPUT DATA'!T244</f>
        <v>0</v>
      </c>
      <c r="W28" s="11"/>
      <c r="X28" s="11"/>
      <c r="Y28" s="11"/>
      <c r="Z28" s="11"/>
      <c r="AA28" s="11" t="str">
        <f>'INPUT DATA'!X244</f>
        <v xml:space="preserve">Air Cooler Pressure Drop </v>
      </c>
      <c r="AB28" s="11" t="str">
        <f>'INPUT DATA'!Y244</f>
        <v>bar</v>
      </c>
      <c r="AC28" s="11">
        <f>'INPUT DATA'!Z244</f>
        <v>1.96133E-2</v>
      </c>
      <c r="AD28" s="11">
        <f>'INPUT DATA'!AA244</f>
        <v>1.8632635000000002E-2</v>
      </c>
      <c r="AE28" s="11">
        <f>'INPUT DATA'!AB244</f>
        <v>1.8632635000000002E-2</v>
      </c>
      <c r="AF28" s="11">
        <f>'INPUT DATA'!AC244</f>
        <v>2.1084297500000002E-2</v>
      </c>
      <c r="AG28" s="11">
        <f>'INPUT DATA'!AD244</f>
        <v>1.6671305000000001E-2</v>
      </c>
      <c r="AH28" s="11">
        <f>'INPUT DATA'!AE244</f>
        <v>1.8632635000000002E-2</v>
      </c>
      <c r="AI28" s="11">
        <f>'INPUT DATA'!AF244</f>
        <v>1.6671305000000001E-2</v>
      </c>
      <c r="AJ28" s="11">
        <f>'INPUT DATA'!AG244</f>
        <v>1.8142302499999999E-2</v>
      </c>
      <c r="AK28" s="11">
        <f>'INPUT DATA'!AH244</f>
        <v>1.8632635000000002E-2</v>
      </c>
      <c r="AL28" s="11">
        <f>'INPUT DATA'!AI244</f>
        <v>1.8632635000000002E-2</v>
      </c>
      <c r="AM28" s="11">
        <f>'INPUT DATA'!AJ244</f>
        <v>1.6671305000000001E-2</v>
      </c>
      <c r="AN28" s="11">
        <f>'INPUT DATA'!AK244</f>
        <v>1.71616375E-2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C1:E20"/>
  <sheetViews>
    <sheetView workbookViewId="0">
      <selection activeCell="E6" sqref="E6"/>
    </sheetView>
  </sheetViews>
  <sheetFormatPr defaultRowHeight="15"/>
  <cols>
    <col min="4" max="4" width="12" customWidth="1"/>
    <col min="5" max="5" width="11" customWidth="1"/>
  </cols>
  <sheetData>
    <row r="1" spans="3:5">
      <c r="C1">
        <v>2</v>
      </c>
    </row>
    <row r="2" spans="3:5">
      <c r="C2">
        <v>8</v>
      </c>
      <c r="D2">
        <v>2</v>
      </c>
    </row>
    <row r="3" spans="3:5">
      <c r="C3" s="63">
        <v>0.95</v>
      </c>
    </row>
    <row r="4" spans="3:5" s="11" customFormat="1">
      <c r="C4" s="16">
        <f>'INPUT DATA'!$C$16</f>
        <v>22.7</v>
      </c>
      <c r="D4" s="62">
        <f>$C$3+E4</f>
        <v>0.95196132999999994</v>
      </c>
      <c r="E4" s="11">
        <f>E5</f>
        <v>1.9613299999999998E-3</v>
      </c>
    </row>
    <row r="5" spans="3:5">
      <c r="C5" s="16">
        <f t="array" ref="C5:C10">TRANSPOSE(RESULTS!D8:I8)</f>
        <v>57.4</v>
      </c>
      <c r="D5" s="62">
        <f>$C$3+E5</f>
        <v>0.95196132999999994</v>
      </c>
      <c r="E5">
        <f t="array" ref="E5:E10">TRANSPOSE(RESULTS!D92:I92)</f>
        <v>1.9613299999999998E-3</v>
      </c>
    </row>
    <row r="6" spans="3:5">
      <c r="C6" s="16">
        <v>72.3</v>
      </c>
      <c r="D6" s="62">
        <f t="shared" ref="D6:D11" si="0">$C$3+E6</f>
        <v>0.95490332499999997</v>
      </c>
      <c r="E6">
        <v>4.903325E-3</v>
      </c>
    </row>
    <row r="7" spans="3:5">
      <c r="C7" s="16">
        <v>82.9</v>
      </c>
      <c r="D7" s="62">
        <f t="shared" si="0"/>
        <v>0.96078731499999992</v>
      </c>
      <c r="E7">
        <v>1.0787315E-2</v>
      </c>
    </row>
    <row r="8" spans="3:5">
      <c r="C8" s="16">
        <v>87.9</v>
      </c>
      <c r="D8" s="62">
        <f t="shared" si="0"/>
        <v>0.96569063999999993</v>
      </c>
      <c r="E8">
        <v>1.5690639999999999E-2</v>
      </c>
    </row>
    <row r="9" spans="3:5">
      <c r="C9" s="16">
        <v>91</v>
      </c>
      <c r="D9" s="62">
        <f t="shared" si="0"/>
        <v>0.96863263499999996</v>
      </c>
      <c r="E9">
        <v>1.8632635000000002E-2</v>
      </c>
    </row>
    <row r="10" spans="3:5">
      <c r="C10" s="16">
        <v>94</v>
      </c>
      <c r="D10" s="62">
        <f t="shared" si="0"/>
        <v>0.97108429749999992</v>
      </c>
      <c r="E10">
        <v>2.1084297500000002E-2</v>
      </c>
    </row>
    <row r="11" spans="3:5">
      <c r="C11" s="16">
        <f>C10+0.11*C10</f>
        <v>104.34</v>
      </c>
      <c r="D11" s="62">
        <f t="shared" si="0"/>
        <v>0.97108429749999992</v>
      </c>
      <c r="E11" s="11">
        <f>E10</f>
        <v>2.1084297500000002E-2</v>
      </c>
    </row>
    <row r="12" spans="3:5">
      <c r="C12" s="63">
        <v>1.07</v>
      </c>
      <c r="D12" s="62"/>
    </row>
    <row r="13" spans="3:5">
      <c r="C13" s="16">
        <f>C4</f>
        <v>22.7</v>
      </c>
      <c r="D13" s="62">
        <f>$C$12+E13</f>
        <v>1.0719613300000002</v>
      </c>
      <c r="E13" s="11">
        <f>E4</f>
        <v>1.9613299999999998E-3</v>
      </c>
    </row>
    <row r="14" spans="3:5">
      <c r="C14" s="16">
        <f t="shared" ref="C14:C20" si="1">C5</f>
        <v>57.4</v>
      </c>
      <c r="D14" s="62">
        <f>$C$12+E14</f>
        <v>1.0719613300000002</v>
      </c>
      <c r="E14" s="11">
        <f t="shared" ref="E14:E20" si="2">E5</f>
        <v>1.9613299999999998E-3</v>
      </c>
    </row>
    <row r="15" spans="3:5">
      <c r="C15" s="16">
        <f t="shared" si="1"/>
        <v>72.3</v>
      </c>
      <c r="D15" s="62">
        <f>$C$12+E15</f>
        <v>1.074903325</v>
      </c>
      <c r="E15" s="11">
        <f t="shared" si="2"/>
        <v>4.903325E-3</v>
      </c>
    </row>
    <row r="16" spans="3:5">
      <c r="C16" s="16">
        <f t="shared" si="1"/>
        <v>82.9</v>
      </c>
      <c r="D16" s="62">
        <f t="shared" ref="D16:D20" si="3">$C$12+E16</f>
        <v>1.080787315</v>
      </c>
      <c r="E16" s="11">
        <f t="shared" si="2"/>
        <v>1.0787315E-2</v>
      </c>
    </row>
    <row r="17" spans="3:5">
      <c r="C17" s="16">
        <f t="shared" si="1"/>
        <v>87.9</v>
      </c>
      <c r="D17" s="62">
        <f t="shared" si="3"/>
        <v>1.0856906400000002</v>
      </c>
      <c r="E17" s="11">
        <f t="shared" si="2"/>
        <v>1.5690639999999999E-2</v>
      </c>
    </row>
    <row r="18" spans="3:5">
      <c r="C18" s="16">
        <f t="shared" si="1"/>
        <v>91</v>
      </c>
      <c r="D18" s="62">
        <f t="shared" si="3"/>
        <v>1.088632635</v>
      </c>
      <c r="E18" s="11">
        <f t="shared" si="2"/>
        <v>1.8632635000000002E-2</v>
      </c>
    </row>
    <row r="19" spans="3:5">
      <c r="C19" s="16">
        <f t="shared" si="1"/>
        <v>94</v>
      </c>
      <c r="D19" s="62">
        <f t="shared" si="3"/>
        <v>1.0910842975000001</v>
      </c>
      <c r="E19" s="11">
        <f t="shared" si="2"/>
        <v>2.1084297500000002E-2</v>
      </c>
    </row>
    <row r="20" spans="3:5">
      <c r="C20" s="16">
        <f t="shared" si="1"/>
        <v>104.34</v>
      </c>
      <c r="D20" s="62">
        <f t="shared" si="3"/>
        <v>1.0910842975000001</v>
      </c>
      <c r="E20" s="11">
        <f t="shared" si="2"/>
        <v>2.1084297500000002E-2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U202"/>
  <sheetViews>
    <sheetView topLeftCell="A28" workbookViewId="0">
      <selection activeCell="Q61" sqref="Q61"/>
    </sheetView>
  </sheetViews>
  <sheetFormatPr defaultRowHeight="15"/>
  <sheetData>
    <row r="1" spans="2:10" s="11" customFormat="1">
      <c r="B1" s="11" t="s">
        <v>214</v>
      </c>
      <c r="G1" s="11" t="s">
        <v>226</v>
      </c>
      <c r="J1" s="11">
        <v>10</v>
      </c>
    </row>
    <row r="2" spans="2:10" s="11" customFormat="1">
      <c r="B2" s="11" t="s">
        <v>223</v>
      </c>
      <c r="C2" s="11" t="s">
        <v>224</v>
      </c>
      <c r="D2" s="11" t="s">
        <v>225</v>
      </c>
    </row>
    <row r="3" spans="2:10">
      <c r="B3">
        <v>4500</v>
      </c>
      <c r="C3">
        <v>1.0205409999999999</v>
      </c>
      <c r="D3">
        <v>5.4042060000000003</v>
      </c>
      <c r="E3">
        <v>0.7</v>
      </c>
    </row>
    <row r="4" spans="2:10">
      <c r="B4">
        <v>4500</v>
      </c>
      <c r="C4">
        <v>1.0284260000000001</v>
      </c>
      <c r="D4">
        <v>5.3331720000000002</v>
      </c>
      <c r="E4">
        <v>0.71</v>
      </c>
    </row>
    <row r="5" spans="2:10">
      <c r="B5">
        <v>4500</v>
      </c>
      <c r="C5">
        <v>1.036311</v>
      </c>
      <c r="D5">
        <v>5.2621370000000001</v>
      </c>
      <c r="E5">
        <v>0.74</v>
      </c>
    </row>
    <row r="6" spans="2:10">
      <c r="B6">
        <v>4500</v>
      </c>
      <c r="C6">
        <v>1.0441959999999999</v>
      </c>
      <c r="D6">
        <v>5.191103</v>
      </c>
      <c r="E6">
        <v>0.76</v>
      </c>
    </row>
    <row r="7" spans="2:10">
      <c r="B7">
        <v>4500</v>
      </c>
      <c r="C7">
        <v>1.052081</v>
      </c>
      <c r="D7">
        <v>5.120069</v>
      </c>
      <c r="E7">
        <v>0.77</v>
      </c>
    </row>
    <row r="8" spans="2:10">
      <c r="B8">
        <v>4500</v>
      </c>
      <c r="C8">
        <v>1.0725210000000001</v>
      </c>
      <c r="D8">
        <v>4.8349159999999998</v>
      </c>
      <c r="E8">
        <v>0.78</v>
      </c>
    </row>
    <row r="9" spans="2:10">
      <c r="B9">
        <v>4500</v>
      </c>
      <c r="C9">
        <v>1.089321</v>
      </c>
      <c r="D9">
        <v>4.5495260000000002</v>
      </c>
      <c r="E9">
        <v>0.79</v>
      </c>
    </row>
    <row r="10" spans="2:10">
      <c r="B10">
        <v>4500</v>
      </c>
      <c r="C10">
        <v>1.093091</v>
      </c>
      <c r="D10">
        <v>4.263668</v>
      </c>
      <c r="E10">
        <v>0.8</v>
      </c>
    </row>
    <row r="11" spans="2:10">
      <c r="B11">
        <v>4500</v>
      </c>
      <c r="C11">
        <v>1.0968610000000001</v>
      </c>
      <c r="D11">
        <v>3.9778090000000002</v>
      </c>
      <c r="E11">
        <v>0.79</v>
      </c>
    </row>
    <row r="12" spans="2:10">
      <c r="B12">
        <v>4500</v>
      </c>
      <c r="C12">
        <v>1.0969409999999999</v>
      </c>
      <c r="D12">
        <v>3.6919249999999999</v>
      </c>
      <c r="E12">
        <v>0.78</v>
      </c>
    </row>
    <row r="13" spans="2:10">
      <c r="B13">
        <v>5000</v>
      </c>
      <c r="C13">
        <v>1.0271349999999999</v>
      </c>
      <c r="D13">
        <v>6.4322280000000003</v>
      </c>
      <c r="E13">
        <v>0.7</v>
      </c>
    </row>
    <row r="14" spans="2:10">
      <c r="B14">
        <v>5000</v>
      </c>
      <c r="C14">
        <v>1.042878</v>
      </c>
      <c r="D14">
        <v>6.2848610000000003</v>
      </c>
      <c r="E14">
        <v>0.71</v>
      </c>
    </row>
    <row r="15" spans="2:10">
      <c r="B15">
        <v>5000</v>
      </c>
      <c r="C15">
        <v>1.0586199999999999</v>
      </c>
      <c r="D15">
        <v>6.1374940000000002</v>
      </c>
      <c r="E15">
        <v>0.74</v>
      </c>
    </row>
    <row r="16" spans="2:10">
      <c r="B16">
        <v>5000</v>
      </c>
      <c r="C16">
        <v>1.10866</v>
      </c>
      <c r="D16">
        <v>5.8453369999999998</v>
      </c>
      <c r="E16">
        <v>0.76</v>
      </c>
    </row>
    <row r="17" spans="2:5">
      <c r="B17">
        <v>5000</v>
      </c>
      <c r="C17">
        <v>1.1402000000000001</v>
      </c>
      <c r="D17">
        <v>5.5506089999999997</v>
      </c>
      <c r="E17">
        <v>0.78</v>
      </c>
    </row>
    <row r="18" spans="2:5">
      <c r="B18">
        <v>5000</v>
      </c>
      <c r="C18">
        <v>1.1606399999999999</v>
      </c>
      <c r="D18">
        <v>5.2549029999999997</v>
      </c>
      <c r="E18">
        <v>0.8</v>
      </c>
    </row>
    <row r="19" spans="2:5">
      <c r="B19">
        <v>5000</v>
      </c>
      <c r="C19">
        <v>1.17744</v>
      </c>
      <c r="D19">
        <v>4.9589689999999997</v>
      </c>
      <c r="E19">
        <v>0.81</v>
      </c>
    </row>
    <row r="20" spans="2:5">
      <c r="B20">
        <v>5000</v>
      </c>
      <c r="C20">
        <v>1.1812100000000001</v>
      </c>
      <c r="D20">
        <v>4.6625819999999996</v>
      </c>
      <c r="E20">
        <v>0.82</v>
      </c>
    </row>
    <row r="21" spans="2:5">
      <c r="B21">
        <v>5000</v>
      </c>
      <c r="C21">
        <v>1.1849799999999999</v>
      </c>
      <c r="D21">
        <v>4.3661960000000004</v>
      </c>
      <c r="E21">
        <v>0.8</v>
      </c>
    </row>
    <row r="22" spans="2:5">
      <c r="B22">
        <v>5000</v>
      </c>
      <c r="C22">
        <v>1.18506</v>
      </c>
      <c r="D22">
        <v>4.0697850000000004</v>
      </c>
      <c r="E22">
        <v>0.79</v>
      </c>
    </row>
    <row r="23" spans="2:5">
      <c r="B23">
        <v>5500</v>
      </c>
      <c r="C23">
        <v>1.0868469999999999</v>
      </c>
      <c r="D23">
        <v>6.9028960000000001</v>
      </c>
      <c r="E23">
        <v>0.7</v>
      </c>
    </row>
    <row r="24" spans="2:5">
      <c r="B24">
        <v>5500</v>
      </c>
      <c r="C24">
        <v>1.1183320000000001</v>
      </c>
      <c r="D24">
        <v>6.7526910000000004</v>
      </c>
      <c r="E24">
        <v>0.71</v>
      </c>
    </row>
    <row r="25" spans="2:5">
      <c r="B25">
        <v>5500</v>
      </c>
      <c r="C25">
        <v>1.1498170000000001</v>
      </c>
      <c r="D25">
        <v>6.602487</v>
      </c>
      <c r="E25">
        <v>0.74</v>
      </c>
    </row>
    <row r="26" spans="2:5">
      <c r="B26">
        <v>5500</v>
      </c>
      <c r="C26">
        <v>1.199857</v>
      </c>
      <c r="D26">
        <v>6.2996549999999996</v>
      </c>
      <c r="E26">
        <v>0.76</v>
      </c>
    </row>
    <row r="27" spans="2:5">
      <c r="B27">
        <v>5500</v>
      </c>
      <c r="C27">
        <v>1.2313970000000001</v>
      </c>
      <c r="D27">
        <v>5.9943410000000004</v>
      </c>
      <c r="E27">
        <v>0.77</v>
      </c>
    </row>
    <row r="28" spans="2:5">
      <c r="B28">
        <v>5500</v>
      </c>
      <c r="C28">
        <v>1.2518370000000001</v>
      </c>
      <c r="D28">
        <v>5.6880850000000001</v>
      </c>
      <c r="E28">
        <v>0.79</v>
      </c>
    </row>
    <row r="29" spans="2:5">
      <c r="B29">
        <v>5500</v>
      </c>
      <c r="C29">
        <v>1.268637</v>
      </c>
      <c r="D29">
        <v>5.3816069999999998</v>
      </c>
      <c r="E29">
        <v>0.81</v>
      </c>
    </row>
    <row r="30" spans="2:5">
      <c r="B30">
        <v>5500</v>
      </c>
      <c r="C30">
        <v>1.2724070000000001</v>
      </c>
      <c r="D30">
        <v>5.0746919999999998</v>
      </c>
      <c r="E30">
        <v>0.83</v>
      </c>
    </row>
    <row r="31" spans="2:5">
      <c r="B31">
        <v>5500</v>
      </c>
      <c r="C31">
        <v>1.2761769999999999</v>
      </c>
      <c r="D31">
        <v>4.7677769999999997</v>
      </c>
      <c r="E31">
        <v>0.84</v>
      </c>
    </row>
    <row r="32" spans="2:5">
      <c r="B32">
        <v>5500</v>
      </c>
      <c r="C32">
        <v>1.276257</v>
      </c>
      <c r="D32">
        <v>4.460839</v>
      </c>
      <c r="E32">
        <v>0.82</v>
      </c>
    </row>
    <row r="33" spans="2:20">
      <c r="B33">
        <v>6000</v>
      </c>
      <c r="C33">
        <v>1.0879399999999999</v>
      </c>
      <c r="D33">
        <v>7.7002699999999997</v>
      </c>
      <c r="E33">
        <v>0.7</v>
      </c>
    </row>
    <row r="34" spans="2:20">
      <c r="B34">
        <v>6000</v>
      </c>
      <c r="C34">
        <v>1.1823699999999999</v>
      </c>
      <c r="D34">
        <v>7.3971739999999997</v>
      </c>
      <c r="E34">
        <v>0.71</v>
      </c>
    </row>
    <row r="35" spans="2:20">
      <c r="B35">
        <v>6000</v>
      </c>
      <c r="C35">
        <v>1.2453399999999999</v>
      </c>
      <c r="D35">
        <v>7.0860159999999999</v>
      </c>
      <c r="E35">
        <v>0.74</v>
      </c>
    </row>
    <row r="36" spans="2:20">
      <c r="B36">
        <v>6000</v>
      </c>
      <c r="C36">
        <v>1.29538</v>
      </c>
      <c r="D36">
        <v>6.772519</v>
      </c>
      <c r="E36">
        <v>0.76</v>
      </c>
    </row>
    <row r="37" spans="2:20">
      <c r="B37">
        <v>6000</v>
      </c>
      <c r="C37">
        <v>1.3269200000000001</v>
      </c>
      <c r="D37">
        <v>6.4566239999999997</v>
      </c>
      <c r="E37">
        <v>0.77</v>
      </c>
    </row>
    <row r="38" spans="2:20">
      <c r="B38">
        <v>6000</v>
      </c>
      <c r="C38">
        <v>1.3473599999999999</v>
      </c>
      <c r="D38">
        <v>6.1398169999999999</v>
      </c>
      <c r="E38">
        <v>0.78</v>
      </c>
    </row>
    <row r="39" spans="2:20">
      <c r="B39">
        <v>6000</v>
      </c>
      <c r="C39">
        <v>1.36416</v>
      </c>
      <c r="D39">
        <v>5.8227969999999996</v>
      </c>
      <c r="E39">
        <v>0.8</v>
      </c>
    </row>
    <row r="40" spans="2:20">
      <c r="B40">
        <v>6000</v>
      </c>
      <c r="C40">
        <v>1.3679300000000001</v>
      </c>
      <c r="D40">
        <v>5.5053539999999996</v>
      </c>
      <c r="E40">
        <v>0.82</v>
      </c>
    </row>
    <row r="41" spans="2:20">
      <c r="B41">
        <v>6000</v>
      </c>
      <c r="C41">
        <v>1.3716999999999999</v>
      </c>
      <c r="D41">
        <v>5.1879109999999997</v>
      </c>
      <c r="E41">
        <v>0.85</v>
      </c>
    </row>
    <row r="42" spans="2:20">
      <c r="B42">
        <v>6000</v>
      </c>
      <c r="C42">
        <v>1.37178</v>
      </c>
      <c r="D42">
        <v>4.8704460000000003</v>
      </c>
      <c r="E42">
        <v>0.83</v>
      </c>
    </row>
    <row r="43" spans="2:20">
      <c r="B43">
        <v>6500</v>
      </c>
      <c r="C43">
        <v>1.189039</v>
      </c>
      <c r="D43">
        <v>8.2294389999999993</v>
      </c>
      <c r="E43">
        <v>0.7</v>
      </c>
    </row>
    <row r="44" spans="2:20">
      <c r="B44">
        <v>6500</v>
      </c>
      <c r="C44">
        <v>1.283469</v>
      </c>
      <c r="D44">
        <v>7.9153339999999996</v>
      </c>
      <c r="E44">
        <v>0.71</v>
      </c>
    </row>
    <row r="45" spans="2:20">
      <c r="B45">
        <v>6500</v>
      </c>
      <c r="C45">
        <v>1.3464389999999999</v>
      </c>
      <c r="D45">
        <v>7.5934419999999996</v>
      </c>
      <c r="E45">
        <v>0.74</v>
      </c>
    </row>
    <row r="46" spans="2:20">
      <c r="B46">
        <v>6500</v>
      </c>
      <c r="C46">
        <v>1.396479</v>
      </c>
      <c r="D46">
        <v>7.2692889999999997</v>
      </c>
      <c r="E46">
        <v>0.76</v>
      </c>
    </row>
    <row r="47" spans="2:20">
      <c r="B47">
        <v>6500</v>
      </c>
      <c r="C47">
        <v>1.4280189999999999</v>
      </c>
      <c r="D47">
        <v>6.9428169999999998</v>
      </c>
      <c r="E47">
        <v>0.77</v>
      </c>
      <c r="P47" s="93">
        <v>9500</v>
      </c>
      <c r="Q47" s="93">
        <v>2</v>
      </c>
      <c r="S47">
        <f>-(P47-L61)/700</f>
        <v>0.2857142857142857</v>
      </c>
      <c r="T47">
        <f>1-S47</f>
        <v>0.7142857142857143</v>
      </c>
    </row>
    <row r="48" spans="2:20">
      <c r="B48">
        <v>6500</v>
      </c>
      <c r="C48">
        <v>1.4484589999999999</v>
      </c>
      <c r="D48">
        <v>6.6154609999999998</v>
      </c>
      <c r="E48">
        <v>0.78</v>
      </c>
      <c r="Q48">
        <f>MATCH(P47,L51:L70,1)</f>
        <v>10</v>
      </c>
    </row>
    <row r="49" spans="2:21">
      <c r="B49">
        <v>6500</v>
      </c>
      <c r="C49">
        <v>1.4652590000000001</v>
      </c>
      <c r="D49">
        <v>6.2878990000000003</v>
      </c>
      <c r="E49">
        <v>0.81</v>
      </c>
      <c r="J49" s="11"/>
    </row>
    <row r="50" spans="2:21">
      <c r="B50">
        <v>6500</v>
      </c>
      <c r="C50">
        <v>1.4690289999999999</v>
      </c>
      <c r="D50">
        <v>5.9599279999999997</v>
      </c>
      <c r="E50">
        <v>0.84</v>
      </c>
      <c r="J50" s="11"/>
      <c r="Q50" s="93">
        <v>2.2999999999999998</v>
      </c>
    </row>
    <row r="51" spans="2:21">
      <c r="B51">
        <v>6500</v>
      </c>
      <c r="C51">
        <v>1.472799</v>
      </c>
      <c r="D51">
        <v>5.6319569999999999</v>
      </c>
      <c r="E51">
        <v>0.86</v>
      </c>
      <c r="J51" s="11"/>
      <c r="L51" s="94">
        <v>9000</v>
      </c>
      <c r="M51" s="94">
        <v>1.6227</v>
      </c>
      <c r="N51">
        <v>11.432399999999999</v>
      </c>
      <c r="P51">
        <v>1</v>
      </c>
      <c r="Q51" s="40">
        <f>FORECAST($Q$50,(CHOOSE({1;2},N51,N61)),CHOOSE({1;2},M51,M61))</f>
        <v>16.15778167037243</v>
      </c>
      <c r="R51">
        <f t="shared" ref="R51:R60" si="0">$Q$50</f>
        <v>2.2999999999999998</v>
      </c>
      <c r="S51" s="11">
        <f>(Q51-N51)/(N61-N51)</f>
        <v>4.7060867148415744</v>
      </c>
      <c r="T51">
        <f>ABS(S51-$T$47)</f>
        <v>3.99180100055586</v>
      </c>
    </row>
    <row r="52" spans="2:21">
      <c r="B52">
        <v>6500</v>
      </c>
      <c r="C52">
        <v>1.472879</v>
      </c>
      <c r="D52">
        <v>5.3039639999999997</v>
      </c>
      <c r="E52">
        <v>0.83</v>
      </c>
      <c r="J52" s="11"/>
      <c r="L52">
        <v>9000</v>
      </c>
      <c r="M52">
        <v>1.71153</v>
      </c>
      <c r="N52">
        <v>11.1968</v>
      </c>
      <c r="P52">
        <v>2</v>
      </c>
      <c r="Q52" s="40">
        <f>FORECAST($Q$50,(CHOOSE({1;2},N52,N62)),CHOOSE({1;2},M52,M62))</f>
        <v>14.989915623752211</v>
      </c>
      <c r="R52" s="11">
        <f t="shared" si="0"/>
        <v>2.2999999999999998</v>
      </c>
      <c r="S52" s="11">
        <f t="shared" ref="S52:S57" si="1">(Q52-N52)/(N62-N52)</f>
        <v>3.356739490046202</v>
      </c>
      <c r="T52" s="11">
        <f t="shared" ref="T52:T60" si="2">ABS(S52-$T$47)</f>
        <v>2.6424537757604876</v>
      </c>
    </row>
    <row r="53" spans="2:21">
      <c r="B53">
        <v>6800</v>
      </c>
      <c r="C53">
        <v>1.24637</v>
      </c>
      <c r="D53">
        <v>8.5464800000000007</v>
      </c>
      <c r="E53">
        <v>0.74</v>
      </c>
      <c r="J53" s="11"/>
      <c r="L53">
        <v>9000</v>
      </c>
      <c r="M53">
        <v>1.8096300000000001</v>
      </c>
      <c r="N53">
        <v>10.873900000000001</v>
      </c>
      <c r="P53" s="11">
        <v>3</v>
      </c>
      <c r="Q53" s="11">
        <f>FORECAST($Q$50,(CHOOSE({1;2},N53,N63)),CHOOSE({1;2},M53,M63))</f>
        <v>14.277174110368994</v>
      </c>
      <c r="R53" s="11">
        <f t="shared" si="0"/>
        <v>2.2999999999999998</v>
      </c>
      <c r="S53" s="11">
        <f t="shared" si="1"/>
        <v>2.6846052775648772</v>
      </c>
      <c r="T53" s="11">
        <f t="shared" si="2"/>
        <v>1.9703195632791628</v>
      </c>
    </row>
    <row r="54" spans="2:21">
      <c r="B54">
        <v>6800</v>
      </c>
      <c r="C54">
        <v>1.3408</v>
      </c>
      <c r="D54">
        <v>8.1609499999999997</v>
      </c>
      <c r="E54">
        <v>0.76</v>
      </c>
      <c r="J54" s="11"/>
      <c r="L54">
        <v>9000</v>
      </c>
      <c r="M54">
        <v>1.8670199999999999</v>
      </c>
      <c r="N54">
        <v>10.6501</v>
      </c>
      <c r="P54" s="11">
        <v>4</v>
      </c>
      <c r="Q54" s="11">
        <f>FORECAST($Q$50,(CHOOSE({1;2},N54,N64)),CHOOSE({1;2},M54,M64))</f>
        <v>13.377758863077617</v>
      </c>
      <c r="R54" s="11">
        <f t="shared" si="0"/>
        <v>2.2999999999999998</v>
      </c>
      <c r="S54" s="11">
        <f t="shared" si="1"/>
        <v>2.1723947619286537</v>
      </c>
      <c r="T54" s="11">
        <f t="shared" si="2"/>
        <v>1.4581090476429392</v>
      </c>
    </row>
    <row r="55" spans="2:21">
      <c r="B55">
        <v>6800</v>
      </c>
      <c r="C55">
        <v>1.40377</v>
      </c>
      <c r="D55">
        <v>7.8247</v>
      </c>
      <c r="E55">
        <v>0.78</v>
      </c>
      <c r="J55" s="11"/>
      <c r="L55">
        <v>9000</v>
      </c>
      <c r="M55">
        <v>1.9151800000000001</v>
      </c>
      <c r="N55">
        <v>10.3636</v>
      </c>
      <c r="P55" s="11">
        <v>5</v>
      </c>
      <c r="Q55" s="11">
        <f>FORECAST($Q$50,(CHOOSE({1;2},N55,N65)),CHOOSE({1;2},M55,M65))</f>
        <v>12.88710839232534</v>
      </c>
      <c r="R55" s="11">
        <f t="shared" si="0"/>
        <v>2.2999999999999998</v>
      </c>
      <c r="S55" s="11">
        <f t="shared" si="1"/>
        <v>1.8787287018503134</v>
      </c>
      <c r="T55" s="11">
        <f t="shared" si="2"/>
        <v>1.1644429875645992</v>
      </c>
      <c r="U55" s="11"/>
    </row>
    <row r="56" spans="2:21">
      <c r="B56">
        <v>6800</v>
      </c>
      <c r="C56">
        <v>1.45381</v>
      </c>
      <c r="D56">
        <v>7.4506300000000003</v>
      </c>
      <c r="E56">
        <v>0.8</v>
      </c>
      <c r="J56" s="11"/>
      <c r="L56">
        <v>9000</v>
      </c>
      <c r="M56">
        <v>1.9540999999999999</v>
      </c>
      <c r="N56">
        <v>10.0768</v>
      </c>
      <c r="P56" s="11">
        <v>6</v>
      </c>
      <c r="Q56" s="11">
        <f>FORECAST($Q$50,(CHOOSE({1;2},N56,N66)),CHOOSE({1;2},M56,M66))</f>
        <v>12.269112662097072</v>
      </c>
      <c r="R56" s="11">
        <f t="shared" si="0"/>
        <v>2.2999999999999998</v>
      </c>
      <c r="S56" s="11">
        <f t="shared" si="1"/>
        <v>1.6019822156354204</v>
      </c>
      <c r="T56" s="11">
        <f t="shared" si="2"/>
        <v>0.88769650134970612</v>
      </c>
      <c r="U56" s="11"/>
    </row>
    <row r="57" spans="2:21">
      <c r="B57">
        <v>6800</v>
      </c>
      <c r="C57">
        <v>1.4853499999999999</v>
      </c>
      <c r="D57">
        <v>7.0886199999999997</v>
      </c>
      <c r="E57">
        <v>0.82</v>
      </c>
      <c r="J57" s="11"/>
      <c r="L57">
        <v>9000</v>
      </c>
      <c r="M57">
        <v>1.98563</v>
      </c>
      <c r="N57">
        <v>9.7648100000000007</v>
      </c>
      <c r="P57" s="11">
        <v>7</v>
      </c>
      <c r="Q57" s="11">
        <f>FORECAST($Q$50,(CHOOSE({1;2},N57,N67)),CHOOSE({1;2},M57,M67))</f>
        <v>11.726951248936452</v>
      </c>
      <c r="R57" s="11">
        <f t="shared" si="0"/>
        <v>2.2999999999999998</v>
      </c>
      <c r="S57" s="11">
        <f t="shared" si="1"/>
        <v>1.4077739465317243</v>
      </c>
      <c r="T57" s="11">
        <f t="shared" si="2"/>
        <v>0.69348823224600997</v>
      </c>
      <c r="U57" s="11"/>
    </row>
    <row r="58" spans="2:21">
      <c r="B58">
        <v>6800</v>
      </c>
      <c r="C58">
        <v>1.50579</v>
      </c>
      <c r="D58">
        <v>6.7888999999999999</v>
      </c>
      <c r="E58">
        <v>0.84</v>
      </c>
      <c r="J58" s="11"/>
      <c r="L58">
        <v>9000</v>
      </c>
      <c r="M58">
        <v>2.0153099999999999</v>
      </c>
      <c r="N58">
        <v>9.4527999999999999</v>
      </c>
      <c r="P58" s="11">
        <v>8</v>
      </c>
      <c r="Q58" s="11">
        <f>FORECAST($Q$50,(CHOOSE({1;2},N58,N68)),CHOOSE({1;2},M58,M68))</f>
        <v>11.143973181114552</v>
      </c>
      <c r="R58" s="11">
        <f t="shared" si="0"/>
        <v>2.2999999999999998</v>
      </c>
      <c r="S58" s="11">
        <f>(Q58-N58)/(N68-N58)</f>
        <v>1.2241572067423458</v>
      </c>
      <c r="T58" s="11">
        <f t="shared" si="2"/>
        <v>0.50987149245663155</v>
      </c>
      <c r="U58" s="11"/>
    </row>
    <row r="59" spans="2:21">
      <c r="B59">
        <v>6800</v>
      </c>
      <c r="C59">
        <v>1.5225900000000001</v>
      </c>
      <c r="D59">
        <v>6.2514200000000004</v>
      </c>
      <c r="E59">
        <v>0.85</v>
      </c>
      <c r="L59">
        <v>9000</v>
      </c>
      <c r="M59">
        <v>2.0374400000000001</v>
      </c>
      <c r="N59">
        <v>8.7072000000000003</v>
      </c>
      <c r="P59" s="11">
        <v>9</v>
      </c>
      <c r="Q59" s="40">
        <f>FORECAST($Q$50,(CHOOSE({1;2},N59,N69)),CHOOSE({1;2},M59,M69))</f>
        <v>10.093217227956821</v>
      </c>
      <c r="R59" s="11">
        <f t="shared" si="0"/>
        <v>2.2999999999999998</v>
      </c>
      <c r="S59">
        <f>(Q59-N59)/(N69-N59)</f>
        <v>1.0344338507603825</v>
      </c>
      <c r="T59" s="11">
        <f t="shared" si="2"/>
        <v>0.32014813647466822</v>
      </c>
      <c r="U59" s="11"/>
    </row>
    <row r="60" spans="2:21">
      <c r="B60">
        <v>6800</v>
      </c>
      <c r="C60">
        <v>1.5263599999999999</v>
      </c>
      <c r="D60">
        <v>6.0388599999999997</v>
      </c>
      <c r="E60">
        <v>0.86</v>
      </c>
      <c r="L60">
        <v>9000</v>
      </c>
      <c r="M60">
        <v>2.0749599999999999</v>
      </c>
      <c r="N60">
        <v>7.90313</v>
      </c>
      <c r="P60" s="11">
        <v>10</v>
      </c>
      <c r="Q60" s="11">
        <f>FORECAST($Q$50,(CHOOSE({1;2},N60,N70)),CHOOSE({1;2},M60,M70))</f>
        <v>8.9442237655035566</v>
      </c>
      <c r="R60" s="11">
        <f t="shared" si="0"/>
        <v>2.2999999999999998</v>
      </c>
      <c r="S60" s="11">
        <f>(Q60-N60)/(N70-N60)</f>
        <v>0.93037870018190882</v>
      </c>
      <c r="T60" s="11">
        <f t="shared" si="2"/>
        <v>0.21609298589619452</v>
      </c>
      <c r="U60" s="11"/>
    </row>
    <row r="61" spans="2:21">
      <c r="B61">
        <v>6800</v>
      </c>
      <c r="C61">
        <v>1.53013</v>
      </c>
      <c r="D61">
        <v>5.78878</v>
      </c>
      <c r="E61">
        <v>0.85</v>
      </c>
      <c r="L61" s="94">
        <v>9700</v>
      </c>
      <c r="M61" s="94">
        <v>1.7666200000000001</v>
      </c>
      <c r="N61">
        <v>12.436500000000001</v>
      </c>
      <c r="P61" s="11"/>
      <c r="T61" s="95">
        <f>MATCH(MIN(T51:T60),T51:T60,0)</f>
        <v>10</v>
      </c>
      <c r="U61" s="95">
        <f>INDEX(Q51:Q60,T61)</f>
        <v>8.9442237655035566</v>
      </c>
    </row>
    <row r="62" spans="2:21">
      <c r="B62">
        <v>6800</v>
      </c>
      <c r="C62">
        <v>1.5302100000000001</v>
      </c>
      <c r="D62">
        <v>5.5511200000000001</v>
      </c>
      <c r="E62">
        <v>0.84</v>
      </c>
      <c r="L62">
        <v>9700</v>
      </c>
      <c r="M62">
        <v>1.8868400000000001</v>
      </c>
      <c r="N62">
        <v>12.3268</v>
      </c>
      <c r="P62" s="11"/>
    </row>
    <row r="63" spans="2:21">
      <c r="B63">
        <v>7500</v>
      </c>
      <c r="C63">
        <v>1.3692500000000001</v>
      </c>
      <c r="D63">
        <v>9.4713799999999999</v>
      </c>
      <c r="E63">
        <v>0.74</v>
      </c>
      <c r="L63">
        <v>9700</v>
      </c>
      <c r="M63">
        <v>1.9922899999999999</v>
      </c>
      <c r="N63">
        <v>12.1416</v>
      </c>
      <c r="P63" s="11"/>
    </row>
    <row r="64" spans="2:21">
      <c r="B64">
        <v>7500</v>
      </c>
      <c r="C64">
        <v>1.4524900000000001</v>
      </c>
      <c r="D64">
        <v>9.2105800000000002</v>
      </c>
      <c r="E64">
        <v>0.76</v>
      </c>
      <c r="L64">
        <v>9700</v>
      </c>
      <c r="M64">
        <v>2.0663299999999998</v>
      </c>
      <c r="N64">
        <v>11.9057</v>
      </c>
      <c r="P64" s="11"/>
      <c r="Q64" s="11"/>
    </row>
    <row r="65" spans="2:14">
      <c r="B65">
        <v>7500</v>
      </c>
      <c r="C65">
        <v>1.52834</v>
      </c>
      <c r="D65">
        <v>8.7992799999999995</v>
      </c>
      <c r="E65">
        <v>0.78</v>
      </c>
      <c r="L65">
        <v>9700</v>
      </c>
      <c r="M65">
        <v>2.1200100000000002</v>
      </c>
      <c r="N65">
        <v>11.706799999999999</v>
      </c>
    </row>
    <row r="66" spans="2:14">
      <c r="B66">
        <v>7500</v>
      </c>
      <c r="C66">
        <v>1.58385</v>
      </c>
      <c r="D66">
        <v>8.4625800000000009</v>
      </c>
      <c r="E66">
        <v>0.8</v>
      </c>
      <c r="L66">
        <v>9700</v>
      </c>
      <c r="M66">
        <v>2.1700200000000001</v>
      </c>
      <c r="N66">
        <v>11.4453</v>
      </c>
    </row>
    <row r="67" spans="2:14">
      <c r="B67">
        <v>7500</v>
      </c>
      <c r="C67">
        <v>1.6227100000000001</v>
      </c>
      <c r="D67">
        <v>8.1504799999999999</v>
      </c>
      <c r="E67">
        <v>0.82</v>
      </c>
      <c r="L67">
        <v>9700</v>
      </c>
      <c r="M67">
        <v>2.2089400000000001</v>
      </c>
      <c r="N67">
        <v>11.1586</v>
      </c>
    </row>
    <row r="68" spans="2:14">
      <c r="B68">
        <v>7500</v>
      </c>
      <c r="C68">
        <v>1.6467799999999999</v>
      </c>
      <c r="D68">
        <v>7.8379799999999999</v>
      </c>
      <c r="E68">
        <v>0.84</v>
      </c>
      <c r="L68">
        <v>9700</v>
      </c>
      <c r="M68">
        <v>2.2478699999999998</v>
      </c>
      <c r="N68">
        <v>10.834300000000001</v>
      </c>
    </row>
    <row r="69" spans="2:14">
      <c r="B69">
        <v>7500</v>
      </c>
      <c r="C69">
        <v>1.67455</v>
      </c>
      <c r="D69">
        <v>7.5130499999999998</v>
      </c>
      <c r="E69">
        <v>0.85</v>
      </c>
      <c r="L69">
        <v>9700</v>
      </c>
      <c r="M69">
        <v>2.2912599999999999</v>
      </c>
      <c r="N69">
        <v>10.047079999999999</v>
      </c>
    </row>
    <row r="70" spans="2:14">
      <c r="B70">
        <v>7500</v>
      </c>
      <c r="C70">
        <v>1.70048</v>
      </c>
      <c r="D70">
        <v>7.1129199999999999</v>
      </c>
      <c r="E70">
        <v>0.85499999999999998</v>
      </c>
      <c r="L70">
        <v>9700</v>
      </c>
      <c r="M70">
        <v>2.31684</v>
      </c>
      <c r="N70">
        <v>9.0221300000000006</v>
      </c>
    </row>
    <row r="71" spans="2:14">
      <c r="B71">
        <v>7500</v>
      </c>
      <c r="C71">
        <v>1.7116100000000001</v>
      </c>
      <c r="D71">
        <v>6.7624899999999997</v>
      </c>
      <c r="E71">
        <v>0.84799999999999998</v>
      </c>
    </row>
    <row r="72" spans="2:14">
      <c r="B72">
        <v>7500</v>
      </c>
      <c r="C72">
        <v>1.7172000000000001</v>
      </c>
      <c r="D72">
        <v>6.3492800000000003</v>
      </c>
      <c r="E72">
        <v>0.84</v>
      </c>
    </row>
    <row r="73" spans="2:14">
      <c r="B73">
        <v>8500</v>
      </c>
      <c r="C73">
        <v>1.5429299999999999</v>
      </c>
      <c r="D73">
        <v>10.803800000000001</v>
      </c>
      <c r="E73">
        <v>0.74</v>
      </c>
    </row>
    <row r="74" spans="2:14">
      <c r="B74">
        <v>8500</v>
      </c>
      <c r="C74">
        <v>1.62246</v>
      </c>
      <c r="D74">
        <v>10.568</v>
      </c>
      <c r="E74">
        <v>0.76</v>
      </c>
    </row>
    <row r="75" spans="2:14">
      <c r="B75">
        <v>8500</v>
      </c>
      <c r="C75">
        <v>1.7168000000000001</v>
      </c>
      <c r="D75">
        <v>10.194800000000001</v>
      </c>
      <c r="E75">
        <v>0.78</v>
      </c>
    </row>
    <row r="76" spans="2:14">
      <c r="B76">
        <v>8500</v>
      </c>
      <c r="C76">
        <v>1.7723100000000001</v>
      </c>
      <c r="D76">
        <v>9.9081799999999998</v>
      </c>
      <c r="E76">
        <v>0.8</v>
      </c>
    </row>
    <row r="77" spans="2:14">
      <c r="B77">
        <v>8500</v>
      </c>
      <c r="C77">
        <v>1.81856</v>
      </c>
      <c r="D77">
        <v>9.6589100000000006</v>
      </c>
      <c r="E77">
        <v>0.82</v>
      </c>
    </row>
    <row r="78" spans="2:14">
      <c r="B78">
        <v>8500</v>
      </c>
      <c r="C78">
        <v>1.8518699999999999</v>
      </c>
      <c r="D78">
        <v>9.34666</v>
      </c>
      <c r="E78">
        <v>0.84</v>
      </c>
    </row>
    <row r="79" spans="2:14">
      <c r="B79">
        <v>8500</v>
      </c>
      <c r="C79">
        <v>1.8777900000000001</v>
      </c>
      <c r="D79">
        <v>9.08432</v>
      </c>
      <c r="E79">
        <v>0.85</v>
      </c>
    </row>
    <row r="80" spans="2:14">
      <c r="B80">
        <v>8500</v>
      </c>
      <c r="C80">
        <v>1.90927</v>
      </c>
      <c r="D80">
        <v>8.6342300000000005</v>
      </c>
      <c r="E80">
        <v>0.86</v>
      </c>
    </row>
    <row r="81" spans="2:5">
      <c r="B81">
        <v>8500</v>
      </c>
      <c r="C81">
        <v>1.9315</v>
      </c>
      <c r="D81">
        <v>8.2465200000000003</v>
      </c>
      <c r="E81">
        <v>0.86</v>
      </c>
    </row>
    <row r="82" spans="2:5">
      <c r="B82">
        <v>8500</v>
      </c>
      <c r="C82">
        <v>1.95747</v>
      </c>
      <c r="D82">
        <v>7.38293</v>
      </c>
      <c r="E82">
        <v>0.85</v>
      </c>
    </row>
    <row r="83" spans="2:5">
      <c r="B83">
        <v>9000</v>
      </c>
      <c r="C83">
        <v>1.6227</v>
      </c>
      <c r="D83">
        <v>11.432399999999999</v>
      </c>
      <c r="E83">
        <v>0.74</v>
      </c>
    </row>
    <row r="84" spans="2:5">
      <c r="B84">
        <v>9000</v>
      </c>
      <c r="C84">
        <v>1.71153</v>
      </c>
      <c r="D84">
        <v>11.1968</v>
      </c>
      <c r="E84">
        <v>0.76</v>
      </c>
    </row>
    <row r="85" spans="2:5">
      <c r="B85">
        <v>9000</v>
      </c>
      <c r="C85">
        <v>1.8096300000000001</v>
      </c>
      <c r="D85">
        <v>10.873900000000001</v>
      </c>
      <c r="E85">
        <v>0.78</v>
      </c>
    </row>
    <row r="86" spans="2:5">
      <c r="B86">
        <v>9000</v>
      </c>
      <c r="C86">
        <v>1.8670199999999999</v>
      </c>
      <c r="D86">
        <v>10.6501</v>
      </c>
      <c r="E86">
        <v>0.8</v>
      </c>
    </row>
    <row r="87" spans="2:5">
      <c r="B87">
        <v>9000</v>
      </c>
      <c r="C87">
        <v>1.9151800000000001</v>
      </c>
      <c r="D87">
        <v>10.3636</v>
      </c>
      <c r="E87">
        <v>0.82</v>
      </c>
    </row>
    <row r="88" spans="2:5">
      <c r="B88">
        <v>9000</v>
      </c>
      <c r="C88">
        <v>1.9540999999999999</v>
      </c>
      <c r="D88">
        <v>10.0768</v>
      </c>
      <c r="E88">
        <v>0.84</v>
      </c>
    </row>
    <row r="89" spans="2:5">
      <c r="B89">
        <v>9000</v>
      </c>
      <c r="C89">
        <v>1.98563</v>
      </c>
      <c r="D89">
        <v>9.7648100000000007</v>
      </c>
      <c r="E89">
        <v>0.85</v>
      </c>
    </row>
    <row r="90" spans="2:5">
      <c r="B90">
        <v>9000</v>
      </c>
      <c r="C90">
        <v>2.0153099999999999</v>
      </c>
      <c r="D90">
        <v>9.4527999999999999</v>
      </c>
      <c r="E90">
        <v>0.86</v>
      </c>
    </row>
    <row r="91" spans="2:5">
      <c r="B91">
        <v>9000</v>
      </c>
      <c r="C91">
        <v>2.0374400000000001</v>
      </c>
      <c r="D91">
        <v>8.7072000000000003</v>
      </c>
      <c r="E91">
        <v>0.86</v>
      </c>
    </row>
    <row r="92" spans="2:5">
      <c r="B92">
        <v>9000</v>
      </c>
      <c r="C92">
        <v>2.0749599999999999</v>
      </c>
      <c r="D92">
        <v>7.90313</v>
      </c>
      <c r="E92">
        <v>0.84</v>
      </c>
    </row>
    <row r="93" spans="2:5">
      <c r="B93">
        <v>9700</v>
      </c>
      <c r="C93">
        <v>1.7666200000000001</v>
      </c>
      <c r="D93">
        <v>12.436500000000001</v>
      </c>
      <c r="E93">
        <v>0.74</v>
      </c>
    </row>
    <row r="94" spans="2:5">
      <c r="B94">
        <v>9700</v>
      </c>
      <c r="C94">
        <v>1.8868400000000001</v>
      </c>
      <c r="D94">
        <v>12.3268</v>
      </c>
      <c r="E94">
        <v>0.76</v>
      </c>
    </row>
    <row r="95" spans="2:5">
      <c r="B95">
        <v>9700</v>
      </c>
      <c r="C95">
        <v>1.9922899999999999</v>
      </c>
      <c r="D95">
        <v>12.1416</v>
      </c>
      <c r="E95">
        <v>0.78</v>
      </c>
    </row>
    <row r="96" spans="2:5">
      <c r="B96">
        <v>9700</v>
      </c>
      <c r="C96">
        <v>2.0663299999999998</v>
      </c>
      <c r="D96">
        <v>11.9057</v>
      </c>
      <c r="E96">
        <v>0.8</v>
      </c>
    </row>
    <row r="97" spans="2:5">
      <c r="B97">
        <v>9700</v>
      </c>
      <c r="C97">
        <v>2.1200100000000002</v>
      </c>
      <c r="D97">
        <v>11.706799999999999</v>
      </c>
      <c r="E97">
        <v>0.82</v>
      </c>
    </row>
    <row r="98" spans="2:5">
      <c r="B98">
        <v>9700</v>
      </c>
      <c r="C98">
        <v>2.1700200000000001</v>
      </c>
      <c r="D98">
        <v>11.4453</v>
      </c>
      <c r="E98">
        <v>0.84</v>
      </c>
    </row>
    <row r="99" spans="2:5">
      <c r="B99">
        <v>9700</v>
      </c>
      <c r="C99">
        <v>2.2089400000000001</v>
      </c>
      <c r="D99">
        <v>11.1586</v>
      </c>
      <c r="E99">
        <v>0.85</v>
      </c>
    </row>
    <row r="100" spans="2:5">
      <c r="B100">
        <v>9700</v>
      </c>
      <c r="C100">
        <v>2.2478699999999998</v>
      </c>
      <c r="D100">
        <v>10.834300000000001</v>
      </c>
      <c r="E100">
        <v>0.86</v>
      </c>
    </row>
    <row r="101" spans="2:5">
      <c r="B101">
        <v>9700</v>
      </c>
      <c r="C101">
        <v>2.2912599999999999</v>
      </c>
      <c r="D101">
        <v>10.047079999999999</v>
      </c>
      <c r="E101">
        <v>0.86</v>
      </c>
    </row>
    <row r="102" spans="2:5">
      <c r="B102">
        <v>9700</v>
      </c>
      <c r="C102">
        <v>2.31684</v>
      </c>
      <c r="D102">
        <v>9.0221300000000006</v>
      </c>
      <c r="E102">
        <v>0.85</v>
      </c>
    </row>
    <row r="103" spans="2:5">
      <c r="B103">
        <v>10400</v>
      </c>
      <c r="C103">
        <v>1.93085</v>
      </c>
      <c r="D103">
        <v>13.528600000000001</v>
      </c>
      <c r="E103">
        <v>0.74</v>
      </c>
    </row>
    <row r="104" spans="2:5">
      <c r="B104">
        <v>10400</v>
      </c>
      <c r="C104">
        <v>2.05477</v>
      </c>
      <c r="D104">
        <v>13.419</v>
      </c>
      <c r="E104">
        <v>0.76</v>
      </c>
    </row>
    <row r="105" spans="2:5">
      <c r="B105">
        <v>10400</v>
      </c>
      <c r="C105">
        <v>2.1546699999999999</v>
      </c>
      <c r="D105">
        <v>13.258699999999999</v>
      </c>
      <c r="E105">
        <v>0.78</v>
      </c>
    </row>
    <row r="106" spans="2:5">
      <c r="B106">
        <v>10400</v>
      </c>
      <c r="C106">
        <v>2.23794</v>
      </c>
      <c r="D106">
        <v>13.0481</v>
      </c>
      <c r="E106">
        <v>0.8</v>
      </c>
    </row>
    <row r="107" spans="2:5">
      <c r="B107">
        <v>10400</v>
      </c>
      <c r="C107">
        <v>2.2990200000000001</v>
      </c>
      <c r="D107">
        <v>12.849399999999999</v>
      </c>
      <c r="E107">
        <v>0.82</v>
      </c>
    </row>
    <row r="108" spans="2:5">
      <c r="B108">
        <v>10400</v>
      </c>
      <c r="C108">
        <v>2.35087</v>
      </c>
      <c r="D108">
        <v>12.6004</v>
      </c>
      <c r="E108">
        <v>0.84</v>
      </c>
    </row>
    <row r="109" spans="2:5">
      <c r="B109">
        <v>10400</v>
      </c>
      <c r="C109">
        <v>2.4045800000000002</v>
      </c>
      <c r="D109">
        <v>12.314</v>
      </c>
      <c r="E109">
        <v>0.85</v>
      </c>
    </row>
    <row r="110" spans="2:5">
      <c r="B110">
        <v>10400</v>
      </c>
      <c r="C110">
        <v>2.45092</v>
      </c>
      <c r="D110">
        <v>11.952299999999999</v>
      </c>
      <c r="E110">
        <v>0.86</v>
      </c>
    </row>
    <row r="111" spans="2:5">
      <c r="B111">
        <v>10400</v>
      </c>
      <c r="C111">
        <v>2.5099999999999998</v>
      </c>
      <c r="D111">
        <v>11.040800000000001</v>
      </c>
      <c r="E111">
        <v>0.86</v>
      </c>
    </row>
    <row r="112" spans="2:5">
      <c r="B112">
        <v>10400</v>
      </c>
      <c r="C112">
        <v>2.5384099999999998</v>
      </c>
      <c r="D112">
        <v>10.0656</v>
      </c>
      <c r="E112">
        <v>0.85499999999999998</v>
      </c>
    </row>
    <row r="113" spans="2:5">
      <c r="B113">
        <v>11000</v>
      </c>
      <c r="C113">
        <v>2.0729199999999999</v>
      </c>
      <c r="D113">
        <v>14.520200000000001</v>
      </c>
      <c r="E113">
        <v>0.74</v>
      </c>
    </row>
    <row r="114" spans="2:5">
      <c r="B114">
        <v>11000</v>
      </c>
      <c r="C114">
        <v>2.2171699999999999</v>
      </c>
      <c r="D114">
        <v>14.461</v>
      </c>
      <c r="E114">
        <v>0.76</v>
      </c>
    </row>
    <row r="115" spans="2:5">
      <c r="B115">
        <v>11000</v>
      </c>
      <c r="C115">
        <v>2.3355299999999999</v>
      </c>
      <c r="D115">
        <v>14.376300000000001</v>
      </c>
      <c r="E115">
        <v>0.78</v>
      </c>
    </row>
    <row r="116" spans="2:5">
      <c r="B116">
        <v>11000</v>
      </c>
      <c r="C116">
        <v>2.4372699999999998</v>
      </c>
      <c r="D116">
        <v>14.2536</v>
      </c>
      <c r="E116">
        <v>0.8</v>
      </c>
    </row>
    <row r="117" spans="2:5">
      <c r="B117">
        <v>11000</v>
      </c>
      <c r="C117">
        <v>2.5260600000000002</v>
      </c>
      <c r="D117">
        <v>14.1556</v>
      </c>
      <c r="E117">
        <v>0.82</v>
      </c>
    </row>
    <row r="118" spans="2:5">
      <c r="B118">
        <v>11000</v>
      </c>
      <c r="C118">
        <v>2.5945299999999998</v>
      </c>
      <c r="D118">
        <v>13.957100000000001</v>
      </c>
      <c r="E118">
        <v>0.84</v>
      </c>
    </row>
    <row r="119" spans="2:5">
      <c r="B119">
        <v>11000</v>
      </c>
      <c r="C119">
        <v>2.6556199999999999</v>
      </c>
      <c r="D119">
        <v>13.7334</v>
      </c>
      <c r="E119">
        <v>0.85</v>
      </c>
    </row>
    <row r="120" spans="2:5">
      <c r="B120">
        <v>11000</v>
      </c>
      <c r="C120">
        <v>2.7278500000000001</v>
      </c>
      <c r="D120">
        <v>13.3474</v>
      </c>
      <c r="E120">
        <v>0.86</v>
      </c>
    </row>
    <row r="121" spans="2:5">
      <c r="B121">
        <v>11000</v>
      </c>
      <c r="C121">
        <v>2.8317199999999998</v>
      </c>
      <c r="D121">
        <v>12.3116</v>
      </c>
      <c r="E121">
        <v>0.86</v>
      </c>
    </row>
    <row r="122" spans="2:5">
      <c r="B122">
        <v>11000</v>
      </c>
      <c r="C122">
        <v>2.8671700000000002</v>
      </c>
      <c r="D122">
        <v>11.2742</v>
      </c>
      <c r="E122">
        <v>0.86</v>
      </c>
    </row>
    <row r="123" spans="2:5">
      <c r="B123">
        <v>11400</v>
      </c>
      <c r="C123">
        <v>2.1397499999999998</v>
      </c>
      <c r="D123">
        <v>14.9536</v>
      </c>
      <c r="E123">
        <v>0.74</v>
      </c>
    </row>
    <row r="124" spans="2:5">
      <c r="B124">
        <v>11400</v>
      </c>
      <c r="C124">
        <v>2.29508</v>
      </c>
      <c r="D124">
        <v>14.9328</v>
      </c>
      <c r="E124">
        <v>0.76</v>
      </c>
    </row>
    <row r="125" spans="2:5">
      <c r="B125">
        <v>11400</v>
      </c>
      <c r="C125">
        <v>2.4134199999999999</v>
      </c>
      <c r="D125">
        <v>14.9109</v>
      </c>
      <c r="E125">
        <v>0.78</v>
      </c>
    </row>
    <row r="126" spans="2:5">
      <c r="B126">
        <v>11400</v>
      </c>
      <c r="C126">
        <v>2.53362</v>
      </c>
      <c r="D126">
        <v>14.826499999999999</v>
      </c>
      <c r="E126">
        <v>0.8</v>
      </c>
    </row>
    <row r="127" spans="2:5">
      <c r="B127">
        <v>11400</v>
      </c>
      <c r="C127">
        <v>2.6223900000000002</v>
      </c>
      <c r="D127">
        <v>14.7287</v>
      </c>
      <c r="E127">
        <v>0.82</v>
      </c>
    </row>
    <row r="128" spans="2:5">
      <c r="B128">
        <v>11400</v>
      </c>
      <c r="C128">
        <v>2.7056100000000001</v>
      </c>
      <c r="D128">
        <v>14.5556</v>
      </c>
      <c r="E128">
        <v>0.84</v>
      </c>
    </row>
    <row r="129" spans="2:5">
      <c r="B129">
        <v>11400</v>
      </c>
      <c r="C129">
        <v>2.7869899999999999</v>
      </c>
      <c r="D129">
        <v>14.382400000000001</v>
      </c>
      <c r="E129">
        <v>0.85</v>
      </c>
    </row>
    <row r="130" spans="2:5">
      <c r="B130">
        <v>11400</v>
      </c>
      <c r="C130">
        <v>2.87948</v>
      </c>
      <c r="D130">
        <v>13.996600000000001</v>
      </c>
      <c r="E130">
        <v>0.86</v>
      </c>
    </row>
    <row r="131" spans="2:5">
      <c r="B131">
        <v>11400</v>
      </c>
      <c r="C131">
        <v>3.0034700000000001</v>
      </c>
      <c r="D131">
        <v>12.9854</v>
      </c>
      <c r="E131">
        <v>0.86</v>
      </c>
    </row>
    <row r="132" spans="2:5">
      <c r="B132">
        <v>11400</v>
      </c>
      <c r="C132">
        <v>3.0553499999999998</v>
      </c>
      <c r="D132">
        <v>11.997199999999999</v>
      </c>
      <c r="E132">
        <v>0.86</v>
      </c>
    </row>
    <row r="133" spans="2:5">
      <c r="B133">
        <v>11800</v>
      </c>
      <c r="C133">
        <v>2.21502</v>
      </c>
      <c r="D133">
        <v>15.424200000000001</v>
      </c>
      <c r="E133">
        <v>0.74</v>
      </c>
    </row>
    <row r="134" spans="2:5">
      <c r="B134">
        <v>11800</v>
      </c>
      <c r="C134">
        <v>2.3629699999999998</v>
      </c>
      <c r="D134">
        <v>15.3401</v>
      </c>
      <c r="E134">
        <v>0.76</v>
      </c>
    </row>
    <row r="135" spans="2:5">
      <c r="B135">
        <v>11800</v>
      </c>
      <c r="C135">
        <v>2.4757699999999998</v>
      </c>
      <c r="D135">
        <v>15.3178</v>
      </c>
      <c r="E135">
        <v>0.78</v>
      </c>
    </row>
    <row r="136" spans="2:5">
      <c r="B136">
        <v>11800</v>
      </c>
      <c r="C136">
        <v>2.6089199999999999</v>
      </c>
      <c r="D136">
        <v>15.2834</v>
      </c>
      <c r="E136">
        <v>0.8</v>
      </c>
    </row>
    <row r="137" spans="2:5">
      <c r="B137">
        <v>11800</v>
      </c>
      <c r="C137">
        <v>2.72357</v>
      </c>
      <c r="D137">
        <v>15.2361</v>
      </c>
      <c r="E137">
        <v>0.82</v>
      </c>
    </row>
    <row r="138" spans="2:5">
      <c r="B138">
        <v>11800</v>
      </c>
      <c r="C138">
        <v>2.8290000000000002</v>
      </c>
      <c r="D138">
        <v>15.151</v>
      </c>
      <c r="E138">
        <v>0.84</v>
      </c>
    </row>
    <row r="139" spans="2:5">
      <c r="B139">
        <v>11800</v>
      </c>
      <c r="C139">
        <v>2.9252099999999999</v>
      </c>
      <c r="D139">
        <v>14.953099999999999</v>
      </c>
      <c r="E139">
        <v>0.85</v>
      </c>
    </row>
    <row r="140" spans="2:5">
      <c r="B140">
        <v>11800</v>
      </c>
      <c r="C140">
        <v>3.0325600000000001</v>
      </c>
      <c r="D140">
        <v>14.617900000000001</v>
      </c>
      <c r="E140">
        <v>0.86</v>
      </c>
    </row>
    <row r="141" spans="2:5">
      <c r="B141">
        <v>11800</v>
      </c>
      <c r="C141">
        <v>3.1900900000000001</v>
      </c>
      <c r="D141">
        <v>13.458399999999999</v>
      </c>
      <c r="E141">
        <v>0.86</v>
      </c>
    </row>
    <row r="142" spans="2:5">
      <c r="B142">
        <v>11800</v>
      </c>
      <c r="C142">
        <v>3.2254700000000001</v>
      </c>
      <c r="D142">
        <v>12.6586</v>
      </c>
      <c r="E142">
        <v>0.86</v>
      </c>
    </row>
    <row r="143" spans="2:5">
      <c r="B143">
        <v>12200</v>
      </c>
      <c r="C143">
        <v>2.36727</v>
      </c>
      <c r="D143">
        <v>16.0779</v>
      </c>
      <c r="E143">
        <v>0.74</v>
      </c>
    </row>
    <row r="144" spans="2:5">
      <c r="B144">
        <v>12200</v>
      </c>
      <c r="C144">
        <v>2.5190000000000001</v>
      </c>
      <c r="D144">
        <v>16.0733</v>
      </c>
      <c r="E144">
        <v>0.76</v>
      </c>
    </row>
    <row r="145" spans="2:5">
      <c r="B145">
        <v>12200</v>
      </c>
      <c r="C145">
        <v>2.6111599999999999</v>
      </c>
      <c r="D145">
        <v>16.043600000000001</v>
      </c>
      <c r="E145">
        <v>0.78</v>
      </c>
    </row>
    <row r="146" spans="2:5">
      <c r="B146">
        <v>12200</v>
      </c>
      <c r="C146">
        <v>2.8029700000000002</v>
      </c>
      <c r="D146">
        <v>16.0259</v>
      </c>
      <c r="E146">
        <v>0.8</v>
      </c>
    </row>
    <row r="147" spans="2:5">
      <c r="B147">
        <v>12200</v>
      </c>
      <c r="C147">
        <v>2.9253900000000002</v>
      </c>
      <c r="D147">
        <v>16.022500000000001</v>
      </c>
      <c r="E147">
        <v>0.82</v>
      </c>
    </row>
    <row r="148" spans="2:5">
      <c r="B148">
        <v>12200</v>
      </c>
      <c r="C148">
        <v>2.9994800000000001</v>
      </c>
      <c r="D148">
        <v>15.916399999999999</v>
      </c>
      <c r="E148">
        <v>0.84</v>
      </c>
    </row>
    <row r="149" spans="2:5">
      <c r="B149">
        <v>12200</v>
      </c>
      <c r="C149">
        <v>3.0938099999999999</v>
      </c>
      <c r="D149">
        <v>15.655900000000001</v>
      </c>
      <c r="E149">
        <v>0.85</v>
      </c>
    </row>
    <row r="150" spans="2:5">
      <c r="B150">
        <v>12200</v>
      </c>
      <c r="C150">
        <v>3.2084899999999998</v>
      </c>
      <c r="D150">
        <v>15.2456</v>
      </c>
      <c r="E150">
        <v>0.86</v>
      </c>
    </row>
    <row r="151" spans="2:5">
      <c r="B151">
        <v>12200</v>
      </c>
      <c r="C151">
        <v>3.3213599999999999</v>
      </c>
      <c r="D151">
        <v>14.4971</v>
      </c>
      <c r="E151">
        <v>0.86</v>
      </c>
    </row>
    <row r="152" spans="2:5">
      <c r="B152">
        <v>12200</v>
      </c>
      <c r="C152">
        <v>3.3751099999999998</v>
      </c>
      <c r="D152">
        <v>13.2334</v>
      </c>
      <c r="E152">
        <v>0.86</v>
      </c>
    </row>
    <row r="153" spans="2:5">
      <c r="B153">
        <v>12400</v>
      </c>
      <c r="C153">
        <v>2.3885000000000001</v>
      </c>
      <c r="D153">
        <v>16.491499999999998</v>
      </c>
      <c r="E153">
        <v>0.74</v>
      </c>
    </row>
    <row r="154" spans="2:5">
      <c r="B154">
        <v>12400</v>
      </c>
      <c r="C154">
        <v>2.5567799999999998</v>
      </c>
      <c r="D154">
        <v>16.457999999999998</v>
      </c>
      <c r="E154">
        <v>0.76</v>
      </c>
    </row>
    <row r="155" spans="2:5">
      <c r="B155">
        <v>12400</v>
      </c>
      <c r="C155">
        <v>2.7490999999999999</v>
      </c>
      <c r="D155">
        <v>16.401800000000001</v>
      </c>
      <c r="E155">
        <v>0.78</v>
      </c>
    </row>
    <row r="156" spans="2:5">
      <c r="B156">
        <v>12400</v>
      </c>
      <c r="C156">
        <v>2.9051399999999998</v>
      </c>
      <c r="D156">
        <v>16.398199999999999</v>
      </c>
      <c r="E156">
        <v>0.8</v>
      </c>
    </row>
    <row r="157" spans="2:5">
      <c r="B157">
        <v>12400</v>
      </c>
      <c r="C157">
        <v>2.9710000000000001</v>
      </c>
      <c r="D157">
        <v>16.380199999999999</v>
      </c>
      <c r="E157">
        <v>0.82</v>
      </c>
    </row>
    <row r="158" spans="2:5">
      <c r="B158">
        <v>12400</v>
      </c>
      <c r="C158">
        <v>3.1059999999999999</v>
      </c>
      <c r="D158">
        <v>16.320900000000002</v>
      </c>
      <c r="E158">
        <v>0.84</v>
      </c>
    </row>
    <row r="159" spans="2:5">
      <c r="B159">
        <v>12400</v>
      </c>
      <c r="C159">
        <v>3.2280799999999998</v>
      </c>
      <c r="D159">
        <v>16.1736</v>
      </c>
      <c r="E159">
        <v>0.85</v>
      </c>
    </row>
    <row r="160" spans="2:5">
      <c r="B160">
        <v>12400</v>
      </c>
      <c r="C160">
        <v>3.3428599999999999</v>
      </c>
      <c r="D160">
        <v>15.7386</v>
      </c>
      <c r="E160">
        <v>0.86</v>
      </c>
    </row>
    <row r="161" spans="2:5">
      <c r="B161">
        <v>12400</v>
      </c>
      <c r="C161">
        <v>3.4726400000000002</v>
      </c>
      <c r="D161">
        <v>14.603300000000001</v>
      </c>
      <c r="E161">
        <v>0.86</v>
      </c>
    </row>
    <row r="162" spans="2:5">
      <c r="B162">
        <v>12400</v>
      </c>
      <c r="C162">
        <v>3.49878</v>
      </c>
      <c r="D162">
        <v>13.8034</v>
      </c>
      <c r="E162">
        <v>0.86</v>
      </c>
    </row>
    <row r="163" spans="2:5">
      <c r="B163">
        <v>13100</v>
      </c>
      <c r="C163">
        <v>2.55464</v>
      </c>
      <c r="D163">
        <v>17.4086</v>
      </c>
      <c r="E163">
        <v>0.74</v>
      </c>
    </row>
    <row r="164" spans="2:5">
      <c r="B164">
        <v>13100</v>
      </c>
      <c r="C164">
        <v>2.72106</v>
      </c>
      <c r="D164">
        <v>17.387499999999999</v>
      </c>
      <c r="E164">
        <v>0.76</v>
      </c>
    </row>
    <row r="165" spans="2:5">
      <c r="B165">
        <v>13100</v>
      </c>
      <c r="C165">
        <v>2.8597600000000001</v>
      </c>
      <c r="D165">
        <v>17.340699999999998</v>
      </c>
      <c r="E165">
        <v>0.78</v>
      </c>
    </row>
    <row r="166" spans="2:5">
      <c r="B166">
        <v>13100</v>
      </c>
      <c r="C166">
        <v>3.0224899999999999</v>
      </c>
      <c r="D166">
        <v>17.307099999999998</v>
      </c>
      <c r="E166">
        <v>0.8</v>
      </c>
    </row>
    <row r="167" spans="2:5">
      <c r="B167">
        <v>13100</v>
      </c>
      <c r="C167">
        <v>3.18337</v>
      </c>
      <c r="D167">
        <v>17.273399999999999</v>
      </c>
      <c r="E167">
        <v>0.82</v>
      </c>
    </row>
    <row r="168" spans="2:5">
      <c r="B168">
        <v>13100</v>
      </c>
      <c r="C168">
        <v>3.3738299999999999</v>
      </c>
      <c r="D168">
        <v>17.252800000000001</v>
      </c>
      <c r="E168">
        <v>0.84</v>
      </c>
    </row>
    <row r="169" spans="2:5">
      <c r="B169">
        <v>13100</v>
      </c>
      <c r="C169">
        <v>3.5291899999999998</v>
      </c>
      <c r="D169">
        <v>17.131399999999999</v>
      </c>
      <c r="E169">
        <v>0.85</v>
      </c>
    </row>
    <row r="170" spans="2:5">
      <c r="B170">
        <v>13100</v>
      </c>
      <c r="C170">
        <v>3.7326800000000002</v>
      </c>
      <c r="D170">
        <v>16.835999999999999</v>
      </c>
      <c r="E170">
        <v>0.86</v>
      </c>
    </row>
    <row r="171" spans="2:5">
      <c r="B171">
        <v>13100</v>
      </c>
      <c r="C171">
        <v>3.8659400000000002</v>
      </c>
      <c r="D171">
        <v>16.401399999999999</v>
      </c>
      <c r="E171">
        <v>0.86</v>
      </c>
    </row>
    <row r="172" spans="2:5">
      <c r="B172">
        <v>13100</v>
      </c>
      <c r="C172">
        <v>3.9697</v>
      </c>
      <c r="D172">
        <v>15.7409</v>
      </c>
      <c r="E172">
        <v>0.84499999999999997</v>
      </c>
    </row>
    <row r="173" spans="2:5">
      <c r="B173">
        <v>13400</v>
      </c>
      <c r="C173">
        <v>2.82057</v>
      </c>
      <c r="D173">
        <v>18.0671</v>
      </c>
      <c r="E173">
        <v>0.74</v>
      </c>
    </row>
    <row r="174" spans="2:5">
      <c r="B174">
        <v>13400</v>
      </c>
      <c r="C174">
        <v>2.9738199999999999</v>
      </c>
      <c r="D174">
        <v>18.036999999999999</v>
      </c>
      <c r="E174">
        <v>0.76</v>
      </c>
    </row>
    <row r="175" spans="2:5">
      <c r="B175">
        <v>13400</v>
      </c>
      <c r="C175">
        <v>3.0288400000000002</v>
      </c>
      <c r="D175">
        <v>18.034099999999999</v>
      </c>
      <c r="E175">
        <v>0.78</v>
      </c>
    </row>
    <row r="176" spans="2:5">
      <c r="B176">
        <v>13400</v>
      </c>
      <c r="C176">
        <v>3.1749200000000002</v>
      </c>
      <c r="D176">
        <v>17.9879</v>
      </c>
      <c r="E176">
        <v>0.8</v>
      </c>
    </row>
    <row r="177" spans="2:5">
      <c r="B177">
        <v>13400</v>
      </c>
      <c r="C177">
        <v>3.3801800000000002</v>
      </c>
      <c r="D177">
        <v>17.930900000000001</v>
      </c>
      <c r="E177">
        <v>0.82</v>
      </c>
    </row>
    <row r="178" spans="2:5">
      <c r="B178">
        <v>13400</v>
      </c>
      <c r="C178">
        <v>3.5817399999999999</v>
      </c>
      <c r="D178">
        <v>17.848600000000001</v>
      </c>
      <c r="E178">
        <v>0.84</v>
      </c>
    </row>
    <row r="179" spans="2:5">
      <c r="B179">
        <v>13400</v>
      </c>
      <c r="C179">
        <v>3.8369300000000002</v>
      </c>
      <c r="D179">
        <v>17.6676</v>
      </c>
      <c r="E179">
        <v>0.85</v>
      </c>
    </row>
    <row r="180" spans="2:5">
      <c r="B180">
        <v>13400</v>
      </c>
      <c r="C180">
        <v>3.9941399999999998</v>
      </c>
      <c r="D180">
        <v>17.258500000000002</v>
      </c>
      <c r="E180">
        <v>0.85</v>
      </c>
    </row>
    <row r="181" spans="2:5">
      <c r="B181">
        <v>13400</v>
      </c>
      <c r="C181">
        <v>4.0755400000000002</v>
      </c>
      <c r="D181">
        <v>16.897500000000001</v>
      </c>
      <c r="E181">
        <v>0.85</v>
      </c>
    </row>
    <row r="182" spans="2:5">
      <c r="B182">
        <v>13400</v>
      </c>
      <c r="C182">
        <v>4.1551</v>
      </c>
      <c r="D182">
        <v>16.411100000000001</v>
      </c>
      <c r="E182">
        <v>0.84499999999999997</v>
      </c>
    </row>
    <row r="183" spans="2:5">
      <c r="B183">
        <v>13800</v>
      </c>
      <c r="C183">
        <v>2.8389799999999998</v>
      </c>
      <c r="D183">
        <v>18.766200000000001</v>
      </c>
      <c r="E183">
        <v>0.74</v>
      </c>
    </row>
    <row r="184" spans="2:5">
      <c r="B184">
        <v>13800</v>
      </c>
      <c r="C184">
        <v>3.0294300000000001</v>
      </c>
      <c r="D184">
        <v>18.758199999999999</v>
      </c>
      <c r="E184">
        <v>0.76</v>
      </c>
    </row>
    <row r="185" spans="2:5">
      <c r="B185">
        <v>13800</v>
      </c>
      <c r="C185">
        <v>3.2140499999999999</v>
      </c>
      <c r="D185">
        <v>18.729800000000001</v>
      </c>
      <c r="E185">
        <v>0.78</v>
      </c>
    </row>
    <row r="186" spans="2:5">
      <c r="B186">
        <v>13800</v>
      </c>
      <c r="C186">
        <v>3.5203259999999998</v>
      </c>
      <c r="D186">
        <v>18.724799999999998</v>
      </c>
      <c r="E186">
        <v>0.8</v>
      </c>
    </row>
    <row r="187" spans="2:5">
      <c r="B187">
        <v>13800</v>
      </c>
      <c r="C187">
        <v>3.6988099999999999</v>
      </c>
      <c r="D187">
        <v>18.711500000000001</v>
      </c>
      <c r="E187">
        <v>0.82</v>
      </c>
    </row>
    <row r="188" spans="2:5">
      <c r="B188">
        <v>13800</v>
      </c>
      <c r="C188">
        <v>4.1130800000000001</v>
      </c>
      <c r="D188">
        <v>18.483699999999999</v>
      </c>
      <c r="E188">
        <v>0.84</v>
      </c>
    </row>
    <row r="189" spans="2:5">
      <c r="B189">
        <v>13800</v>
      </c>
      <c r="C189">
        <v>4.1678199999999999</v>
      </c>
      <c r="D189">
        <v>18.2622</v>
      </c>
      <c r="E189">
        <v>0.84</v>
      </c>
    </row>
    <row r="190" spans="2:5">
      <c r="B190">
        <v>13800</v>
      </c>
      <c r="C190">
        <v>4.2341300000000004</v>
      </c>
      <c r="D190">
        <v>18.063099999999999</v>
      </c>
      <c r="E190">
        <v>0.84499999999999997</v>
      </c>
    </row>
    <row r="191" spans="2:5">
      <c r="B191">
        <v>13800</v>
      </c>
      <c r="C191">
        <v>4.3000699999999998</v>
      </c>
      <c r="D191">
        <v>17.876100000000001</v>
      </c>
      <c r="E191">
        <v>0.85</v>
      </c>
    </row>
    <row r="192" spans="2:5">
      <c r="B192">
        <v>13800</v>
      </c>
      <c r="C192">
        <v>4.3667499999999997</v>
      </c>
      <c r="D192">
        <v>17.338899999999999</v>
      </c>
      <c r="E192">
        <v>0.84</v>
      </c>
    </row>
    <row r="193" spans="2:5">
      <c r="B193">
        <v>14800</v>
      </c>
      <c r="C193">
        <v>3.4247399999999999</v>
      </c>
      <c r="D193">
        <v>20.043500000000002</v>
      </c>
      <c r="E193">
        <v>0.74</v>
      </c>
    </row>
    <row r="194" spans="2:5">
      <c r="B194">
        <v>14800</v>
      </c>
      <c r="C194">
        <v>3.5784379999999998</v>
      </c>
      <c r="D194">
        <v>19.975300000000001</v>
      </c>
      <c r="E194">
        <v>0.76</v>
      </c>
    </row>
    <row r="195" spans="2:5">
      <c r="B195">
        <v>14800</v>
      </c>
      <c r="C195">
        <v>3.6780900000000001</v>
      </c>
      <c r="D195">
        <v>19.974399999999999</v>
      </c>
      <c r="E195">
        <v>0.78</v>
      </c>
    </row>
    <row r="196" spans="2:5">
      <c r="B196">
        <v>14800</v>
      </c>
      <c r="C196">
        <v>4.0960000000000001</v>
      </c>
      <c r="D196">
        <v>19.896799999999999</v>
      </c>
      <c r="E196">
        <v>0.8</v>
      </c>
    </row>
    <row r="197" spans="2:5">
      <c r="B197">
        <v>14800</v>
      </c>
      <c r="C197">
        <v>4.1977399999999996</v>
      </c>
      <c r="D197">
        <v>19.774100000000001</v>
      </c>
      <c r="E197">
        <v>0.80500000000000005</v>
      </c>
    </row>
    <row r="198" spans="2:5">
      <c r="B198">
        <v>14800</v>
      </c>
      <c r="C198">
        <v>4.3142899999999997</v>
      </c>
      <c r="D198">
        <v>19.576699999999999</v>
      </c>
      <c r="E198">
        <v>0.80800000000000005</v>
      </c>
    </row>
    <row r="199" spans="2:5">
      <c r="B199">
        <v>14800</v>
      </c>
      <c r="C199">
        <v>4.4067999999999996</v>
      </c>
      <c r="D199">
        <v>19.378699999999998</v>
      </c>
      <c r="E199">
        <v>0.81</v>
      </c>
    </row>
    <row r="200" spans="2:5">
      <c r="B200">
        <v>14800</v>
      </c>
      <c r="C200">
        <v>4.4919500000000001</v>
      </c>
      <c r="D200">
        <v>19.0931</v>
      </c>
      <c r="E200">
        <v>0.81299999999999994</v>
      </c>
    </row>
    <row r="201" spans="2:5">
      <c r="B201">
        <v>14800</v>
      </c>
      <c r="C201">
        <v>4.57524</v>
      </c>
      <c r="D201">
        <v>18.844899999999999</v>
      </c>
      <c r="E201">
        <v>0.81499999999999995</v>
      </c>
    </row>
    <row r="202" spans="2:5">
      <c r="B202">
        <v>14800</v>
      </c>
      <c r="C202">
        <v>4.6456200000000001</v>
      </c>
      <c r="D202">
        <v>18.446200000000001</v>
      </c>
      <c r="E202">
        <v>0.81599999999999995</v>
      </c>
    </row>
  </sheetData>
  <sortState ref="B3:E202">
    <sortCondition ref="B3:B202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1"/>
  <sheetViews>
    <sheetView workbookViewId="0">
      <selection activeCell="E9" sqref="E9"/>
    </sheetView>
  </sheetViews>
  <sheetFormatPr defaultRowHeight="15"/>
  <cols>
    <col min="5" max="5" width="10.28515625" bestFit="1" customWidth="1"/>
    <col min="7" max="7" width="21" bestFit="1" customWidth="1"/>
  </cols>
  <sheetData>
    <row r="1" spans="1:7">
      <c r="B1" t="s">
        <v>218</v>
      </c>
      <c r="C1" t="s">
        <v>219</v>
      </c>
      <c r="D1" t="s">
        <v>39</v>
      </c>
      <c r="E1" t="s">
        <v>220</v>
      </c>
      <c r="F1" t="s">
        <v>227</v>
      </c>
      <c r="G1" t="s">
        <v>261</v>
      </c>
    </row>
    <row r="2" spans="1:7">
      <c r="B2" t="s">
        <v>13</v>
      </c>
      <c r="C2" s="11" t="s">
        <v>217</v>
      </c>
      <c r="D2" t="s">
        <v>40</v>
      </c>
      <c r="E2" t="s">
        <v>92</v>
      </c>
      <c r="F2" t="s">
        <v>72</v>
      </c>
      <c r="G2" t="s">
        <v>262</v>
      </c>
    </row>
    <row r="3" spans="1:7">
      <c r="B3" t="s">
        <v>82</v>
      </c>
      <c r="C3" t="s">
        <v>20</v>
      </c>
      <c r="D3" t="s">
        <v>87</v>
      </c>
      <c r="E3" t="s">
        <v>31</v>
      </c>
      <c r="F3" t="s">
        <v>98</v>
      </c>
      <c r="G3" t="s">
        <v>207</v>
      </c>
    </row>
    <row r="4" spans="1:7">
      <c r="B4" t="s">
        <v>215</v>
      </c>
      <c r="C4" t="s">
        <v>216</v>
      </c>
      <c r="D4" t="s">
        <v>221</v>
      </c>
      <c r="E4" t="s">
        <v>46</v>
      </c>
    </row>
    <row r="7" spans="1:7">
      <c r="C7" t="s">
        <v>13</v>
      </c>
    </row>
    <row r="9" spans="1:7">
      <c r="A9" t="s">
        <v>14</v>
      </c>
      <c r="B9" t="s">
        <v>266</v>
      </c>
      <c r="C9" t="s">
        <v>267</v>
      </c>
      <c r="E9" t="s">
        <v>265</v>
      </c>
    </row>
    <row r="10" spans="1:7">
      <c r="A10">
        <v>0</v>
      </c>
      <c r="B10">
        <v>0</v>
      </c>
      <c r="C10">
        <v>0</v>
      </c>
      <c r="E10" s="9">
        <f>'INPUT DATA'!$C$17</f>
        <v>14800</v>
      </c>
    </row>
    <row r="11" spans="1:7">
      <c r="A11">
        <v>120</v>
      </c>
      <c r="B11">
        <v>1.2</v>
      </c>
      <c r="C11">
        <v>3000</v>
      </c>
      <c r="E11" s="9">
        <f>'INPUT DATA'!$C$17</f>
        <v>14800</v>
      </c>
    </row>
  </sheetData>
  <sortState ref="D2:D3">
    <sortCondition ref="D2"/>
  </sortState>
  <dataValidations disablePrompts="1" count="1">
    <dataValidation type="list" allowBlank="1" showInputMessage="1" showErrorMessage="1" sqref="C7">
      <formula1>Power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INPUT DATA</vt:lpstr>
      <vt:lpstr>RESULTS</vt:lpstr>
      <vt:lpstr>ISO diagrams</vt:lpstr>
      <vt:lpstr>Diagrams vs Speed</vt:lpstr>
      <vt:lpstr>Diagrams vs Load</vt:lpstr>
      <vt:lpstr>Extra Diagrams</vt:lpstr>
      <vt:lpstr>ThermoS </vt:lpstr>
      <vt:lpstr>Exhaust Fixed Fluid</vt:lpstr>
      <vt:lpstr>Compressor MAP</vt:lpstr>
      <vt:lpstr>Sheet1</vt:lpstr>
      <vt:lpstr>Exh. Gas Cylinder</vt:lpstr>
      <vt:lpstr>Chart3</vt:lpstr>
      <vt:lpstr>Chart1</vt:lpstr>
      <vt:lpstr>Operation vs SHOP (ISO)</vt:lpstr>
      <vt:lpstr>bsfc_con</vt:lpstr>
      <vt:lpstr>LHV</vt:lpstr>
      <vt:lpstr>Power</vt:lpstr>
      <vt:lpstr>Pressure_con</vt:lpstr>
      <vt:lpstr>pressure_drop</vt:lpstr>
      <vt:lpstr>'INPUT DATA'!Print_Area</vt:lpstr>
      <vt:lpstr>RESULTS!Print_Area</vt:lpstr>
      <vt:lpstr>viscosity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Lourandos</dc:creator>
  <cp:lastModifiedBy>Dimitris Lourandos</cp:lastModifiedBy>
  <cp:lastPrinted>2015-04-22T11:47:38Z</cp:lastPrinted>
  <dcterms:created xsi:type="dcterms:W3CDTF">2015-01-19T14:44:04Z</dcterms:created>
  <dcterms:modified xsi:type="dcterms:W3CDTF">2015-05-15T15:11:00Z</dcterms:modified>
</cp:coreProperties>
</file>