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2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4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5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6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7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8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9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0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1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2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3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4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5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6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7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8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19.xml" ContentType="application/vnd.openxmlformats-officedocument.themeOverride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0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21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2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23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24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5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6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7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8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29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0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1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2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3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4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5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6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37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38.xml" ContentType="application/vnd.openxmlformats-officedocument.themeOverride+xml"/>
  <Override PartName="/xl/drawings/drawing6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39.xml" ContentType="application/vnd.openxmlformats-officedocument.themeOverrid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theme/themeOverride40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Documents\GitHub\Components\"/>
    </mc:Choice>
  </mc:AlternateContent>
  <bookViews>
    <workbookView xWindow="0" yWindow="0" windowWidth="14700" windowHeight="9375" tabRatio="730"/>
  </bookViews>
  <sheets>
    <sheet name="INPUT DATA" sheetId="1" r:id="rId1"/>
    <sheet name="RESULTS" sheetId="3" r:id="rId2"/>
    <sheet name="Compressor MAP" sheetId="15" r:id="rId3"/>
    <sheet name="Exhaust Fixed Fluid" sheetId="11" r:id="rId4"/>
    <sheet name="ISO diagrams" sheetId="18" r:id="rId5"/>
    <sheet name="ThermoS " sheetId="2" r:id="rId6"/>
    <sheet name="Diagrams vs Speed" sheetId="10" r:id="rId7"/>
    <sheet name="Diagrams vs Load" sheetId="17" r:id="rId8"/>
    <sheet name="Extra Diagrams" sheetId="13" r:id="rId9"/>
    <sheet name="Sheet1" sheetId="16" r:id="rId10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0">'INPUT DATA'!$A$184:$I$254</definedName>
    <definedName name="_xlnm.Print_Area" localSheetId="4">'ISO diagrams'!$A$1:$Q$63</definedName>
    <definedName name="_xlnm.Print_Area" localSheetId="1">RESULTS!$A$1:$I$92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76" i="3" l="1"/>
  <c r="AK176" i="3"/>
  <c r="AJ156" i="3"/>
  <c r="AK156" i="3"/>
  <c r="AJ157" i="3"/>
  <c r="AK157" i="3"/>
  <c r="AJ158" i="3"/>
  <c r="AJ159" i="3" s="1"/>
  <c r="AJ177" i="3" s="1"/>
  <c r="AK158" i="3"/>
  <c r="AK159" i="3" s="1"/>
  <c r="AK177" i="3" s="1"/>
  <c r="AJ160" i="3"/>
  <c r="AK160" i="3"/>
  <c r="AJ161" i="3"/>
  <c r="AJ162" i="3" s="1"/>
  <c r="AJ178" i="3" s="1"/>
  <c r="AK161" i="3"/>
  <c r="AK162" i="3" s="1"/>
  <c r="AK178" i="3" s="1"/>
  <c r="AJ163" i="3"/>
  <c r="AK163" i="3"/>
  <c r="AJ164" i="3"/>
  <c r="AK164" i="3"/>
  <c r="AK165" i="3" s="1"/>
  <c r="AK179" i="3" s="1"/>
  <c r="AJ166" i="3"/>
  <c r="AK166" i="3"/>
  <c r="AJ167" i="3"/>
  <c r="AK167" i="3"/>
  <c r="AJ169" i="3"/>
  <c r="AK169" i="3"/>
  <c r="AJ170" i="3"/>
  <c r="AJ171" i="3" s="1"/>
  <c r="AJ181" i="3" s="1"/>
  <c r="AK170" i="3"/>
  <c r="AJ111" i="3"/>
  <c r="AJ114" i="3" s="1"/>
  <c r="AK111" i="3"/>
  <c r="AK114" i="3" s="1"/>
  <c r="AK116" i="3" s="1"/>
  <c r="AJ112" i="3"/>
  <c r="AK112" i="3"/>
  <c r="AJ113" i="3"/>
  <c r="AK113" i="3"/>
  <c r="AJ115" i="3"/>
  <c r="AK115" i="3"/>
  <c r="AJ119" i="3"/>
  <c r="AK119" i="3"/>
  <c r="AJ123" i="3"/>
  <c r="AJ126" i="3" s="1"/>
  <c r="AK123" i="3"/>
  <c r="AK131" i="3" s="1"/>
  <c r="AJ124" i="3"/>
  <c r="AK124" i="3"/>
  <c r="AJ131" i="3"/>
  <c r="AJ134" i="3" s="1"/>
  <c r="AJ132" i="3"/>
  <c r="AK132" i="3"/>
  <c r="AJ140" i="3"/>
  <c r="AK140" i="3"/>
  <c r="AJ146" i="3"/>
  <c r="AK146" i="3"/>
  <c r="AJ150" i="3"/>
  <c r="AK150" i="3"/>
  <c r="AJ108" i="3"/>
  <c r="AK108" i="3"/>
  <c r="AJ107" i="3"/>
  <c r="AK107" i="3"/>
  <c r="AJ104" i="3"/>
  <c r="AK104" i="3"/>
  <c r="AJ103" i="3"/>
  <c r="AK103" i="3"/>
  <c r="AJ185" i="1"/>
  <c r="AK185" i="1"/>
  <c r="AK6" i="3" s="1"/>
  <c r="AJ186" i="1"/>
  <c r="AJ7" i="3" s="1"/>
  <c r="AK186" i="1"/>
  <c r="AJ187" i="1"/>
  <c r="AK187" i="1"/>
  <c r="AJ188" i="1"/>
  <c r="AJ9" i="3" s="1"/>
  <c r="AK188" i="1"/>
  <c r="AJ189" i="1"/>
  <c r="AK189" i="1"/>
  <c r="AK240" i="1" s="1"/>
  <c r="AK61" i="3" s="1"/>
  <c r="AJ190" i="1"/>
  <c r="AJ11" i="3" s="1"/>
  <c r="AK190" i="1"/>
  <c r="AJ191" i="1"/>
  <c r="AK191" i="1"/>
  <c r="AJ192" i="1"/>
  <c r="AJ13" i="3" s="1"/>
  <c r="AK192" i="1"/>
  <c r="AJ193" i="1"/>
  <c r="AK193" i="1"/>
  <c r="AK194" i="1" s="1"/>
  <c r="AJ194" i="1"/>
  <c r="AJ211" i="1" s="1"/>
  <c r="AJ32" i="3" s="1"/>
  <c r="AJ195" i="1"/>
  <c r="AK195" i="1"/>
  <c r="AK212" i="1" s="1"/>
  <c r="AJ196" i="1"/>
  <c r="AJ17" i="3" s="1"/>
  <c r="AK196" i="1"/>
  <c r="AJ197" i="1"/>
  <c r="AK197" i="1"/>
  <c r="AK18" i="3" s="1"/>
  <c r="AJ198" i="1"/>
  <c r="AJ199" i="1" s="1"/>
  <c r="AJ20" i="3" s="1"/>
  <c r="AK198" i="1"/>
  <c r="AK199" i="1"/>
  <c r="AJ200" i="1"/>
  <c r="AJ215" i="1" s="1"/>
  <c r="AK200" i="1"/>
  <c r="AJ201" i="1"/>
  <c r="AJ217" i="1" s="1"/>
  <c r="AJ38" i="3" s="1"/>
  <c r="AK201" i="1"/>
  <c r="AK22" i="3" s="1"/>
  <c r="AJ202" i="1"/>
  <c r="AJ23" i="3" s="1"/>
  <c r="AJ92" i="3" s="1"/>
  <c r="AJ94" i="3" s="1"/>
  <c r="AK202" i="1"/>
  <c r="AJ203" i="1"/>
  <c r="AK203" i="1"/>
  <c r="AK246" i="1" s="1"/>
  <c r="AK67" i="3" s="1"/>
  <c r="AJ204" i="1"/>
  <c r="AJ205" i="1" s="1"/>
  <c r="AK204" i="1"/>
  <c r="AK205" i="1"/>
  <c r="AK26" i="3" s="1"/>
  <c r="AJ206" i="1"/>
  <c r="AJ249" i="1" s="1"/>
  <c r="AJ71" i="3" s="1"/>
  <c r="AJ72" i="3" s="1"/>
  <c r="AK206" i="1"/>
  <c r="AJ207" i="1"/>
  <c r="AK207" i="1"/>
  <c r="AK208" i="1" s="1"/>
  <c r="AK29" i="3" s="1"/>
  <c r="AJ208" i="1"/>
  <c r="AJ29" i="3" s="1"/>
  <c r="AJ212" i="1"/>
  <c r="AJ252" i="1" s="1"/>
  <c r="AJ75" i="3" s="1"/>
  <c r="AJ214" i="1"/>
  <c r="AJ35" i="3" s="1"/>
  <c r="AK215" i="1"/>
  <c r="AK36" i="3" s="1"/>
  <c r="AJ216" i="1"/>
  <c r="AJ37" i="3" s="1"/>
  <c r="AK216" i="1"/>
  <c r="AJ218" i="1"/>
  <c r="AJ39" i="3" s="1"/>
  <c r="AJ86" i="3" s="1"/>
  <c r="AK218" i="1"/>
  <c r="AJ221" i="1"/>
  <c r="AK221" i="1"/>
  <c r="AK222" i="1" s="1"/>
  <c r="AK43" i="3" s="1"/>
  <c r="AJ222" i="1"/>
  <c r="AJ43" i="3" s="1"/>
  <c r="AJ223" i="1"/>
  <c r="AK223" i="1"/>
  <c r="AJ224" i="1"/>
  <c r="AJ45" i="3" s="1"/>
  <c r="AK224" i="1"/>
  <c r="AJ227" i="1"/>
  <c r="AK227" i="1"/>
  <c r="AK228" i="1" s="1"/>
  <c r="AJ228" i="1"/>
  <c r="AJ229" i="1" s="1"/>
  <c r="AJ50" i="3" s="1"/>
  <c r="AJ230" i="1"/>
  <c r="AJ51" i="3" s="1"/>
  <c r="AK230" i="1"/>
  <c r="AJ231" i="1"/>
  <c r="AK231" i="1"/>
  <c r="AK52" i="3" s="1"/>
  <c r="AK233" i="1"/>
  <c r="AK232" i="1" s="1"/>
  <c r="AK53" i="3" s="1"/>
  <c r="AJ234" i="1"/>
  <c r="AJ235" i="1" s="1"/>
  <c r="AK234" i="1"/>
  <c r="AK235" i="1"/>
  <c r="AK236" i="1" s="1"/>
  <c r="AK237" i="1"/>
  <c r="AK238" i="1" s="1"/>
  <c r="AK59" i="3" s="1"/>
  <c r="AJ240" i="1"/>
  <c r="AJ61" i="3" s="1"/>
  <c r="AJ84" i="3" s="1"/>
  <c r="AJ241" i="1"/>
  <c r="AJ246" i="1"/>
  <c r="AJ67" i="3" s="1"/>
  <c r="AJ248" i="1"/>
  <c r="AJ70" i="3" s="1"/>
  <c r="AK248" i="1"/>
  <c r="AJ251" i="1"/>
  <c r="AK251" i="1"/>
  <c r="AJ6" i="3"/>
  <c r="AK7" i="3"/>
  <c r="AJ8" i="3"/>
  <c r="AK8" i="3"/>
  <c r="AK9" i="3"/>
  <c r="AJ10" i="3"/>
  <c r="AK11" i="3"/>
  <c r="AJ12" i="3"/>
  <c r="AK12" i="3"/>
  <c r="AK13" i="3"/>
  <c r="AJ14" i="3"/>
  <c r="AJ16" i="3"/>
  <c r="AK16" i="3"/>
  <c r="AK17" i="3"/>
  <c r="AJ18" i="3"/>
  <c r="AK19" i="3"/>
  <c r="AK20" i="3"/>
  <c r="AK21" i="3"/>
  <c r="AJ22" i="3"/>
  <c r="AK23" i="3"/>
  <c r="AJ24" i="3"/>
  <c r="AK24" i="3"/>
  <c r="AK25" i="3"/>
  <c r="AK27" i="3"/>
  <c r="AJ28" i="3"/>
  <c r="AK28" i="3"/>
  <c r="AK37" i="3"/>
  <c r="AK39" i="3"/>
  <c r="AJ42" i="3"/>
  <c r="AJ44" i="3"/>
  <c r="AK44" i="3"/>
  <c r="AK45" i="3"/>
  <c r="AJ48" i="3"/>
  <c r="AJ90" i="3" s="1"/>
  <c r="AK51" i="3"/>
  <c r="AJ52" i="3"/>
  <c r="AK54" i="3"/>
  <c r="AK55" i="3"/>
  <c r="AK58" i="3"/>
  <c r="AJ62" i="3"/>
  <c r="AK70" i="3"/>
  <c r="AJ73" i="3"/>
  <c r="AK73" i="3"/>
  <c r="AK74" i="3"/>
  <c r="AK86" i="3"/>
  <c r="AK92" i="3"/>
  <c r="AK94" i="3" s="1"/>
  <c r="AJ93" i="3"/>
  <c r="AK93" i="3"/>
  <c r="AJ95" i="3"/>
  <c r="AJ96" i="3" s="1"/>
  <c r="AJ97" i="3" s="1"/>
  <c r="AK95" i="3"/>
  <c r="AK96" i="3" s="1"/>
  <c r="AK97" i="3" s="1"/>
  <c r="AK98" i="3" s="1"/>
  <c r="AK99" i="3" s="1"/>
  <c r="AK100" i="3" s="1"/>
  <c r="AJ165" i="3" l="1"/>
  <c r="AJ179" i="3" s="1"/>
  <c r="AJ168" i="3"/>
  <c r="AJ180" i="3" s="1"/>
  <c r="AK171" i="3"/>
  <c r="AK181" i="3" s="1"/>
  <c r="AK168" i="3"/>
  <c r="AK180" i="3" s="1"/>
  <c r="AK134" i="3"/>
  <c r="AK139" i="3"/>
  <c r="AK142" i="3" s="1"/>
  <c r="AJ116" i="3"/>
  <c r="AJ139" i="3"/>
  <c r="AJ142" i="3" s="1"/>
  <c r="AK126" i="3"/>
  <c r="AK122" i="3"/>
  <c r="AJ122" i="3"/>
  <c r="AJ213" i="1"/>
  <c r="AJ34" i="3" s="1"/>
  <c r="AK82" i="3"/>
  <c r="AK211" i="1"/>
  <c r="AK32" i="3" s="1"/>
  <c r="AK15" i="3"/>
  <c r="AK57" i="3"/>
  <c r="AJ26" i="3"/>
  <c r="AJ244" i="1"/>
  <c r="AJ65" i="3" s="1"/>
  <c r="AJ245" i="1"/>
  <c r="AJ36" i="3"/>
  <c r="AJ83" i="3" s="1"/>
  <c r="AK249" i="1"/>
  <c r="AK71" i="3" s="1"/>
  <c r="AK72" i="3" s="1"/>
  <c r="AK252" i="1"/>
  <c r="AK33" i="3"/>
  <c r="AJ81" i="3"/>
  <c r="AJ254" i="1"/>
  <c r="AJ77" i="3" s="1"/>
  <c r="AK229" i="1"/>
  <c r="AK50" i="3" s="1"/>
  <c r="AK49" i="3"/>
  <c r="AJ236" i="1"/>
  <c r="AJ56" i="3"/>
  <c r="AJ55" i="3"/>
  <c r="AJ74" i="3"/>
  <c r="AK244" i="1"/>
  <c r="AK214" i="1"/>
  <c r="AK35" i="3" s="1"/>
  <c r="AK241" i="1"/>
  <c r="AK62" i="3" s="1"/>
  <c r="AK81" i="3" s="1"/>
  <c r="AK217" i="1"/>
  <c r="AK38" i="3" s="1"/>
  <c r="AK83" i="3" s="1"/>
  <c r="AK213" i="1"/>
  <c r="AK34" i="3" s="1"/>
  <c r="AJ49" i="3"/>
  <c r="AJ33" i="3"/>
  <c r="AJ27" i="3"/>
  <c r="AJ82" i="3" s="1"/>
  <c r="AJ19" i="3"/>
  <c r="AJ15" i="3"/>
  <c r="AJ237" i="1"/>
  <c r="AJ233" i="1"/>
  <c r="AJ253" i="1"/>
  <c r="AJ76" i="3" s="1"/>
  <c r="AJ98" i="3"/>
  <c r="AJ99" i="3" s="1"/>
  <c r="AJ100" i="3" s="1"/>
  <c r="AK56" i="3"/>
  <c r="AK48" i="3"/>
  <c r="AK90" i="3" s="1"/>
  <c r="AK42" i="3"/>
  <c r="AK14" i="3"/>
  <c r="AK10" i="3"/>
  <c r="AJ25" i="3"/>
  <c r="AJ21" i="3"/>
  <c r="U25" i="1"/>
  <c r="T25" i="1"/>
  <c r="S25" i="1"/>
  <c r="R25" i="1"/>
  <c r="Q25" i="1"/>
  <c r="P25" i="1"/>
  <c r="O25" i="1"/>
  <c r="E4" i="1"/>
  <c r="C11" i="1"/>
  <c r="J12" i="1"/>
  <c r="J13" i="1"/>
  <c r="F152" i="1"/>
  <c r="I25" i="1"/>
  <c r="H25" i="1"/>
  <c r="G25" i="1"/>
  <c r="F25" i="1"/>
  <c r="E25" i="1"/>
  <c r="D25" i="1"/>
  <c r="AJ130" i="3" l="1"/>
  <c r="AJ125" i="3"/>
  <c r="AJ127" i="3" s="1"/>
  <c r="AK130" i="3"/>
  <c r="AK125" i="3"/>
  <c r="AK127" i="3" s="1"/>
  <c r="AJ232" i="1"/>
  <c r="AJ53" i="3" s="1"/>
  <c r="AJ54" i="3"/>
  <c r="AK65" i="3"/>
  <c r="AK245" i="1"/>
  <c r="AK84" i="3"/>
  <c r="AK239" i="1"/>
  <c r="AK60" i="3" s="1"/>
  <c r="AJ66" i="3"/>
  <c r="AJ247" i="1"/>
  <c r="AJ68" i="3" s="1"/>
  <c r="AJ88" i="3" s="1"/>
  <c r="AJ238" i="1"/>
  <c r="AJ59" i="3" s="1"/>
  <c r="AJ58" i="3"/>
  <c r="AK254" i="1"/>
  <c r="AK77" i="3" s="1"/>
  <c r="AK75" i="3"/>
  <c r="AK253" i="1"/>
  <c r="AK76" i="3" s="1"/>
  <c r="AJ239" i="1"/>
  <c r="AJ60" i="3" s="1"/>
  <c r="AJ57" i="3"/>
  <c r="J17" i="1"/>
  <c r="AJ138" i="3" l="1"/>
  <c r="AJ141" i="3" s="1"/>
  <c r="AJ143" i="3" s="1"/>
  <c r="AJ133" i="3"/>
  <c r="AJ135" i="3" s="1"/>
  <c r="AJ147" i="3" s="1"/>
  <c r="AJ151" i="3" s="1"/>
  <c r="AK133" i="3"/>
  <c r="AK135" i="3" s="1"/>
  <c r="AK147" i="3" s="1"/>
  <c r="AK151" i="3" s="1"/>
  <c r="AK138" i="3"/>
  <c r="AK141" i="3" s="1"/>
  <c r="AK143" i="3" s="1"/>
  <c r="AJ87" i="3"/>
  <c r="AJ89" i="3" s="1"/>
  <c r="AJ85" i="3"/>
  <c r="AK66" i="3"/>
  <c r="AK247" i="1"/>
  <c r="AK68" i="3" s="1"/>
  <c r="Y53" i="3"/>
  <c r="X53" i="3"/>
  <c r="S53" i="3"/>
  <c r="R53" i="3"/>
  <c r="Q53" i="3"/>
  <c r="P53" i="3"/>
  <c r="N53" i="3"/>
  <c r="M53" i="3"/>
  <c r="C53" i="3"/>
  <c r="B53" i="3"/>
  <c r="Y10" i="3"/>
  <c r="X10" i="3"/>
  <c r="N10" i="3"/>
  <c r="M10" i="3"/>
  <c r="C10" i="3"/>
  <c r="B10" i="3"/>
  <c r="Y15" i="3"/>
  <c r="X15" i="3"/>
  <c r="N15" i="3"/>
  <c r="M15" i="3"/>
  <c r="C15" i="3"/>
  <c r="Y20" i="3"/>
  <c r="X20" i="3"/>
  <c r="N20" i="3"/>
  <c r="M20" i="3"/>
  <c r="C20" i="3"/>
  <c r="B20" i="3"/>
  <c r="Y26" i="3"/>
  <c r="X26" i="3"/>
  <c r="N26" i="3"/>
  <c r="M26" i="3"/>
  <c r="C26" i="3"/>
  <c r="B26" i="3"/>
  <c r="AK88" i="3" l="1"/>
  <c r="AK85" i="3"/>
  <c r="AK87" i="3"/>
  <c r="Y176" i="3"/>
  <c r="Y181" i="3"/>
  <c r="Y180" i="3"/>
  <c r="Y179" i="3"/>
  <c r="Y178" i="3"/>
  <c r="Y177" i="3"/>
  <c r="Y28" i="3"/>
  <c r="Y112" i="3" s="1"/>
  <c r="Y123" i="3" s="1"/>
  <c r="Y131" i="3" s="1"/>
  <c r="Y139" i="3" s="1"/>
  <c r="X28" i="3"/>
  <c r="N28" i="3"/>
  <c r="M28" i="3"/>
  <c r="M112" i="3" s="1"/>
  <c r="M123" i="3" s="1"/>
  <c r="M131" i="3" s="1"/>
  <c r="M139" i="3" s="1"/>
  <c r="M166" i="3"/>
  <c r="M163" i="3"/>
  <c r="M160" i="3"/>
  <c r="M157" i="3"/>
  <c r="I169" i="3"/>
  <c r="H169" i="3"/>
  <c r="G169" i="3"/>
  <c r="F169" i="3"/>
  <c r="E169" i="3"/>
  <c r="Y151" i="3"/>
  <c r="Y147" i="3"/>
  <c r="X147" i="3"/>
  <c r="X151" i="3" s="1"/>
  <c r="X112" i="3"/>
  <c r="X123" i="3" s="1"/>
  <c r="X131" i="3" s="1"/>
  <c r="X139" i="3" s="1"/>
  <c r="N112" i="3"/>
  <c r="N123" i="3" s="1"/>
  <c r="N131" i="3" s="1"/>
  <c r="N139" i="3" s="1"/>
  <c r="M147" i="3"/>
  <c r="M151" i="3" s="1"/>
  <c r="N147" i="3"/>
  <c r="N151" i="3"/>
  <c r="C151" i="3"/>
  <c r="B151" i="3"/>
  <c r="C147" i="3"/>
  <c r="B147" i="3"/>
  <c r="C28" i="3"/>
  <c r="C112" i="3" s="1"/>
  <c r="C123" i="3" s="1"/>
  <c r="C131" i="3" s="1"/>
  <c r="C139" i="3" s="1"/>
  <c r="B28" i="3"/>
  <c r="B112" i="3" s="1"/>
  <c r="B123" i="3" s="1"/>
  <c r="B131" i="3" s="1"/>
  <c r="B139" i="3" s="1"/>
  <c r="AK89" i="3" l="1"/>
  <c r="M244" i="1"/>
  <c r="X244" i="1"/>
  <c r="Y244" i="1"/>
  <c r="AA234" i="1" l="1"/>
  <c r="AB234" i="1"/>
  <c r="AC234" i="1"/>
  <c r="AD234" i="1"/>
  <c r="AE234" i="1"/>
  <c r="AF234" i="1"/>
  <c r="AG234" i="1"/>
  <c r="AH234" i="1"/>
  <c r="AI234" i="1"/>
  <c r="Z234" i="1"/>
  <c r="Z237" i="1" s="1"/>
  <c r="P234" i="1"/>
  <c r="Q234" i="1"/>
  <c r="R234" i="1"/>
  <c r="S234" i="1"/>
  <c r="O234" i="1"/>
  <c r="E234" i="1"/>
  <c r="F234" i="1"/>
  <c r="G234" i="1"/>
  <c r="H234" i="1"/>
  <c r="I234" i="1"/>
  <c r="D234" i="1"/>
  <c r="D237" i="1" s="1"/>
  <c r="Z202" i="1"/>
  <c r="AA207" i="1"/>
  <c r="AB207" i="1"/>
  <c r="AC207" i="1"/>
  <c r="AD207" i="1"/>
  <c r="AE207" i="1"/>
  <c r="AF207" i="1"/>
  <c r="AG207" i="1"/>
  <c r="AH207" i="1"/>
  <c r="AI207" i="1"/>
  <c r="Z207" i="1"/>
  <c r="O207" i="1"/>
  <c r="P207" i="1"/>
  <c r="Q207" i="1"/>
  <c r="R207" i="1"/>
  <c r="S207" i="1"/>
  <c r="E207" i="1"/>
  <c r="F207" i="1"/>
  <c r="G207" i="1"/>
  <c r="H207" i="1"/>
  <c r="I207" i="1"/>
  <c r="D207" i="1"/>
  <c r="AA227" i="1"/>
  <c r="AB227" i="1"/>
  <c r="AC227" i="1"/>
  <c r="AD227" i="1"/>
  <c r="AE227" i="1"/>
  <c r="AF227" i="1"/>
  <c r="AG227" i="1"/>
  <c r="AH227" i="1"/>
  <c r="AI227" i="1"/>
  <c r="Z227" i="1"/>
  <c r="P227" i="1"/>
  <c r="Q227" i="1"/>
  <c r="R227" i="1"/>
  <c r="S227" i="1"/>
  <c r="O227" i="1"/>
  <c r="Z208" i="1" l="1"/>
  <c r="Z28" i="3"/>
  <c r="Z112" i="3" s="1"/>
  <c r="Z123" i="3" s="1"/>
  <c r="Z131" i="3" s="1"/>
  <c r="Z139" i="3" s="1"/>
  <c r="AB208" i="1"/>
  <c r="AB28" i="3"/>
  <c r="AB112" i="3" s="1"/>
  <c r="AB123" i="3" s="1"/>
  <c r="AB131" i="3" s="1"/>
  <c r="AB139" i="3" s="1"/>
  <c r="AA208" i="1"/>
  <c r="AA28" i="3"/>
  <c r="AA112" i="3" s="1"/>
  <c r="AA123" i="3" s="1"/>
  <c r="AA131" i="3" s="1"/>
  <c r="AA139" i="3" s="1"/>
  <c r="AH208" i="1"/>
  <c r="AH28" i="3"/>
  <c r="AH112" i="3" s="1"/>
  <c r="AH123" i="3" s="1"/>
  <c r="AH131" i="3" s="1"/>
  <c r="AH139" i="3" s="1"/>
  <c r="AG208" i="1"/>
  <c r="AG28" i="3"/>
  <c r="AG112" i="3" s="1"/>
  <c r="AG123" i="3" s="1"/>
  <c r="AG131" i="3" s="1"/>
  <c r="AG139" i="3" s="1"/>
  <c r="AI208" i="1"/>
  <c r="AI28" i="3"/>
  <c r="AI112" i="3" s="1"/>
  <c r="AI123" i="3" s="1"/>
  <c r="AI131" i="3" s="1"/>
  <c r="AI139" i="3" s="1"/>
  <c r="AF208" i="1"/>
  <c r="AF28" i="3"/>
  <c r="AF112" i="3" s="1"/>
  <c r="AF123" i="3" s="1"/>
  <c r="AF131" i="3" s="1"/>
  <c r="AF139" i="3" s="1"/>
  <c r="AE208" i="1"/>
  <c r="AE28" i="3"/>
  <c r="AE112" i="3" s="1"/>
  <c r="AE123" i="3" s="1"/>
  <c r="AE131" i="3" s="1"/>
  <c r="AE139" i="3" s="1"/>
  <c r="AD208" i="1"/>
  <c r="AD28" i="3"/>
  <c r="AD112" i="3" s="1"/>
  <c r="AD123" i="3" s="1"/>
  <c r="AD131" i="3" s="1"/>
  <c r="AD139" i="3" s="1"/>
  <c r="AC208" i="1"/>
  <c r="AC28" i="3"/>
  <c r="AC112" i="3" s="1"/>
  <c r="AC123" i="3" s="1"/>
  <c r="AC131" i="3" s="1"/>
  <c r="AC139" i="3" s="1"/>
  <c r="P208" i="1"/>
  <c r="P28" i="3"/>
  <c r="P112" i="3" s="1"/>
  <c r="P123" i="3" s="1"/>
  <c r="P131" i="3" s="1"/>
  <c r="P139" i="3" s="1"/>
  <c r="O208" i="1"/>
  <c r="O28" i="3"/>
  <c r="O112" i="3" s="1"/>
  <c r="O123" i="3" s="1"/>
  <c r="O131" i="3" s="1"/>
  <c r="O139" i="3" s="1"/>
  <c r="S208" i="1"/>
  <c r="S28" i="3"/>
  <c r="S112" i="3" s="1"/>
  <c r="S123" i="3" s="1"/>
  <c r="S131" i="3" s="1"/>
  <c r="S139" i="3" s="1"/>
  <c r="R208" i="1"/>
  <c r="R28" i="3"/>
  <c r="R112" i="3" s="1"/>
  <c r="R123" i="3" s="1"/>
  <c r="R131" i="3" s="1"/>
  <c r="R139" i="3" s="1"/>
  <c r="Q208" i="1"/>
  <c r="Q28" i="3"/>
  <c r="Q112" i="3" s="1"/>
  <c r="Q123" i="3" s="1"/>
  <c r="Q131" i="3" s="1"/>
  <c r="Q139" i="3" s="1"/>
  <c r="G208" i="1"/>
  <c r="G28" i="3"/>
  <c r="G112" i="3" s="1"/>
  <c r="G123" i="3" s="1"/>
  <c r="G131" i="3" s="1"/>
  <c r="G139" i="3" s="1"/>
  <c r="E208" i="1"/>
  <c r="E28" i="3"/>
  <c r="E112" i="3" s="1"/>
  <c r="E123" i="3" s="1"/>
  <c r="E131" i="3" s="1"/>
  <c r="E139" i="3" s="1"/>
  <c r="D208" i="1"/>
  <c r="D28" i="3"/>
  <c r="D112" i="3" s="1"/>
  <c r="D123" i="3" s="1"/>
  <c r="D131" i="3" s="1"/>
  <c r="D139" i="3" s="1"/>
  <c r="I208" i="1"/>
  <c r="I28" i="3"/>
  <c r="I112" i="3" s="1"/>
  <c r="I123" i="3" s="1"/>
  <c r="I131" i="3" s="1"/>
  <c r="I139" i="3" s="1"/>
  <c r="F208" i="1"/>
  <c r="F28" i="3"/>
  <c r="F112" i="3" s="1"/>
  <c r="F123" i="3" s="1"/>
  <c r="F131" i="3" s="1"/>
  <c r="F139" i="3" s="1"/>
  <c r="H208" i="1"/>
  <c r="H28" i="3"/>
  <c r="H112" i="3" s="1"/>
  <c r="H123" i="3" s="1"/>
  <c r="H131" i="3" s="1"/>
  <c r="H139" i="3" s="1"/>
  <c r="Z238" i="1"/>
  <c r="Z235" i="1"/>
  <c r="E227" i="1"/>
  <c r="F227" i="1"/>
  <c r="G227" i="1"/>
  <c r="H227" i="1"/>
  <c r="I227" i="1"/>
  <c r="D227" i="1"/>
  <c r="D228" i="1" s="1"/>
  <c r="D229" i="1" s="1"/>
  <c r="D221" i="1"/>
  <c r="X205" i="1"/>
  <c r="N204" i="1"/>
  <c r="AA202" i="1"/>
  <c r="AB202" i="1"/>
  <c r="AC202" i="1"/>
  <c r="AD202" i="1"/>
  <c r="AE202" i="1"/>
  <c r="AF202" i="1"/>
  <c r="AG202" i="1"/>
  <c r="AH202" i="1"/>
  <c r="AI202" i="1"/>
  <c r="P202" i="1"/>
  <c r="Q202" i="1"/>
  <c r="R202" i="1"/>
  <c r="S202" i="1"/>
  <c r="O202" i="1"/>
  <c r="AA201" i="1"/>
  <c r="AB201" i="1"/>
  <c r="AC201" i="1"/>
  <c r="AD201" i="1"/>
  <c r="AE201" i="1"/>
  <c r="AF201" i="1"/>
  <c r="AG201" i="1"/>
  <c r="AH201" i="1"/>
  <c r="AI201" i="1"/>
  <c r="Z201" i="1"/>
  <c r="P201" i="1"/>
  <c r="Q201" i="1"/>
  <c r="R201" i="1"/>
  <c r="S201" i="1"/>
  <c r="O201" i="1"/>
  <c r="AA200" i="1"/>
  <c r="AB200" i="1"/>
  <c r="AC200" i="1"/>
  <c r="AD200" i="1"/>
  <c r="AE200" i="1"/>
  <c r="AF200" i="1"/>
  <c r="AG200" i="1"/>
  <c r="AH200" i="1"/>
  <c r="AI200" i="1"/>
  <c r="Z200" i="1"/>
  <c r="P200" i="1"/>
  <c r="Q200" i="1"/>
  <c r="R200" i="1"/>
  <c r="S200" i="1"/>
  <c r="O200" i="1"/>
  <c r="D200" i="1"/>
  <c r="P189" i="1"/>
  <c r="P10" i="3" s="1"/>
  <c r="Q189" i="1"/>
  <c r="Q10" i="3" s="1"/>
  <c r="R189" i="1"/>
  <c r="R10" i="3" s="1"/>
  <c r="S189" i="1"/>
  <c r="S10" i="3" s="1"/>
  <c r="O189" i="1"/>
  <c r="O10" i="3" s="1"/>
  <c r="AA95" i="3"/>
  <c r="AB95" i="3"/>
  <c r="AC95" i="3"/>
  <c r="AD95" i="3"/>
  <c r="AE95" i="3"/>
  <c r="AF95" i="3"/>
  <c r="AG95" i="3"/>
  <c r="AH95" i="3"/>
  <c r="AI95" i="3"/>
  <c r="Z95" i="3"/>
  <c r="P95" i="3"/>
  <c r="Q95" i="3"/>
  <c r="R95" i="3"/>
  <c r="S95" i="3"/>
  <c r="O95" i="3"/>
  <c r="E95" i="3"/>
  <c r="F95" i="3"/>
  <c r="G95" i="3"/>
  <c r="H95" i="3"/>
  <c r="I95" i="3"/>
  <c r="D95" i="3"/>
  <c r="Q215" i="1" l="1"/>
  <c r="O217" i="1"/>
  <c r="O215" i="1"/>
  <c r="P215" i="1"/>
  <c r="P217" i="1"/>
  <c r="S240" i="1"/>
  <c r="S241" i="1"/>
  <c r="R240" i="1"/>
  <c r="R241" i="1"/>
  <c r="Q240" i="1"/>
  <c r="Q241" i="1"/>
  <c r="P241" i="1"/>
  <c r="P240" i="1"/>
  <c r="S217" i="1"/>
  <c r="S215" i="1"/>
  <c r="O241" i="1"/>
  <c r="O240" i="1"/>
  <c r="R215" i="1"/>
  <c r="Q217" i="1"/>
  <c r="AD96" i="3"/>
  <c r="AD97" i="3" s="1"/>
  <c r="AC96" i="3"/>
  <c r="AC97" i="3" s="1"/>
  <c r="Z96" i="3"/>
  <c r="Z97" i="3" s="1"/>
  <c r="AB96" i="3"/>
  <c r="AB97" i="3" s="1"/>
  <c r="R217" i="1"/>
  <c r="AI96" i="3"/>
  <c r="AI97" i="3" s="1"/>
  <c r="AA96" i="3"/>
  <c r="AA97" i="3" s="1"/>
  <c r="AH96" i="3"/>
  <c r="AH97" i="3" s="1"/>
  <c r="AG96" i="3"/>
  <c r="AG97" i="3" s="1"/>
  <c r="AF96" i="3"/>
  <c r="AF97" i="3" s="1"/>
  <c r="AE96" i="3"/>
  <c r="AE97" i="3" s="1"/>
  <c r="AA189" i="1"/>
  <c r="AB189" i="1"/>
  <c r="AB10" i="3" s="1"/>
  <c r="AC189" i="1"/>
  <c r="AC10" i="3" s="1"/>
  <c r="AD189" i="1"/>
  <c r="AD10" i="3" s="1"/>
  <c r="AE189" i="1"/>
  <c r="AE10" i="3" s="1"/>
  <c r="AF189" i="1"/>
  <c r="AF10" i="3" s="1"/>
  <c r="AG189" i="1"/>
  <c r="AG10" i="3" s="1"/>
  <c r="AH189" i="1"/>
  <c r="AH10" i="3" s="1"/>
  <c r="AI189" i="1"/>
  <c r="AI10" i="3" s="1"/>
  <c r="E189" i="1"/>
  <c r="E10" i="3" s="1"/>
  <c r="F189" i="1"/>
  <c r="F10" i="3" s="1"/>
  <c r="G189" i="1"/>
  <c r="G10" i="3" s="1"/>
  <c r="H189" i="1"/>
  <c r="H10" i="3" s="1"/>
  <c r="I189" i="1"/>
  <c r="I10" i="3" s="1"/>
  <c r="D189" i="1"/>
  <c r="D10" i="3" s="1"/>
  <c r="E202" i="1"/>
  <c r="F202" i="1"/>
  <c r="G202" i="1"/>
  <c r="H202" i="1"/>
  <c r="I202" i="1"/>
  <c r="D202" i="1"/>
  <c r="D222" i="1" s="1"/>
  <c r="C4" i="11"/>
  <c r="C13" i="11" s="1"/>
  <c r="AA215" i="1" l="1"/>
  <c r="AA10" i="3"/>
  <c r="AG240" i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X199" i="1" l="1"/>
  <c r="Y199" i="1"/>
  <c r="M199" i="1"/>
  <c r="C198" i="1"/>
  <c r="E190" i="1"/>
  <c r="F190" i="1"/>
  <c r="G190" i="1"/>
  <c r="H190" i="1"/>
  <c r="I190" i="1"/>
  <c r="D190" i="1"/>
  <c r="P190" i="1"/>
  <c r="Q190" i="1"/>
  <c r="R190" i="1"/>
  <c r="S190" i="1"/>
  <c r="O190" i="1"/>
  <c r="C193" i="1"/>
  <c r="D203" i="1"/>
  <c r="D204" i="1"/>
  <c r="D206" i="1"/>
  <c r="D205" i="1" l="1"/>
  <c r="Z93" i="3"/>
  <c r="D26" i="3" l="1"/>
  <c r="D244" i="1"/>
  <c r="D245" i="1" s="1"/>
  <c r="P93" i="3"/>
  <c r="Q93" i="3"/>
  <c r="R93" i="3"/>
  <c r="S93" i="3"/>
  <c r="O93" i="3"/>
  <c r="AA93" i="3"/>
  <c r="AB93" i="3"/>
  <c r="AC93" i="3"/>
  <c r="AD93" i="3"/>
  <c r="AE93" i="3"/>
  <c r="AF93" i="3"/>
  <c r="AG93" i="3"/>
  <c r="AH93" i="3"/>
  <c r="AI93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H9" i="2"/>
  <c r="AI9" i="2"/>
  <c r="AJ9" i="2"/>
  <c r="AK9" i="2"/>
  <c r="AL9" i="2"/>
  <c r="AH10" i="2"/>
  <c r="AI10" i="2"/>
  <c r="AJ10" i="2"/>
  <c r="AK10" i="2"/>
  <c r="AL10" i="2"/>
  <c r="AE185" i="1" l="1"/>
  <c r="AF185" i="1"/>
  <c r="AG185" i="1"/>
  <c r="AH185" i="1"/>
  <c r="AI185" i="1"/>
  <c r="AE186" i="1"/>
  <c r="AE7" i="3" s="1"/>
  <c r="AE156" i="3" s="1"/>
  <c r="AE176" i="3" s="1"/>
  <c r="AF186" i="1"/>
  <c r="AF7" i="3" s="1"/>
  <c r="AF156" i="3" s="1"/>
  <c r="AF176" i="3" s="1"/>
  <c r="AG186" i="1"/>
  <c r="AG7" i="3" s="1"/>
  <c r="AG156" i="3" s="1"/>
  <c r="AG176" i="3" s="1"/>
  <c r="AH186" i="1"/>
  <c r="AH7" i="3" s="1"/>
  <c r="AH156" i="3" s="1"/>
  <c r="AH176" i="3" s="1"/>
  <c r="AI186" i="1"/>
  <c r="AE187" i="1"/>
  <c r="AE8" i="3" s="1"/>
  <c r="AF187" i="1"/>
  <c r="AF8" i="3" s="1"/>
  <c r="AG187" i="1"/>
  <c r="AG8" i="3" s="1"/>
  <c r="AH187" i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I11" i="3" s="1"/>
  <c r="AE191" i="1"/>
  <c r="AF191" i="1"/>
  <c r="AF12" i="3" s="1"/>
  <c r="AF119" i="3" s="1"/>
  <c r="AG191" i="1"/>
  <c r="AG12" i="3" s="1"/>
  <c r="AG119" i="3" s="1"/>
  <c r="AH191" i="1"/>
  <c r="AI191" i="1"/>
  <c r="AI12" i="3" s="1"/>
  <c r="AI119" i="3" s="1"/>
  <c r="AE192" i="1"/>
  <c r="AE13" i="3" s="1"/>
  <c r="AF192" i="1"/>
  <c r="AF13" i="3" s="1"/>
  <c r="AG192" i="1"/>
  <c r="AH192" i="1"/>
  <c r="AH13" i="3" s="1"/>
  <c r="AI192" i="1"/>
  <c r="AE193" i="1"/>
  <c r="AF193" i="1"/>
  <c r="AF14" i="3" s="1"/>
  <c r="AG193" i="1"/>
  <c r="AG14" i="3" s="1"/>
  <c r="AH193" i="1"/>
  <c r="AI193" i="1"/>
  <c r="AI14" i="3" s="1"/>
  <c r="AE195" i="1"/>
  <c r="AE212" i="1" s="1"/>
  <c r="AH8" i="2" s="1"/>
  <c r="AF195" i="1"/>
  <c r="AF212" i="1" s="1"/>
  <c r="AI8" i="2" s="1"/>
  <c r="AG195" i="1"/>
  <c r="AG212" i="1" s="1"/>
  <c r="AJ8" i="2" s="1"/>
  <c r="AH195" i="1"/>
  <c r="AH212" i="1" s="1"/>
  <c r="AI195" i="1"/>
  <c r="AI16" i="3" s="1"/>
  <c r="AI111" i="3" s="1"/>
  <c r="AE196" i="1"/>
  <c r="AE218" i="1" s="1"/>
  <c r="AF196" i="1"/>
  <c r="AF17" i="3" s="1"/>
  <c r="AG196" i="1"/>
  <c r="AG218" i="1" s="1"/>
  <c r="AH196" i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G198" i="1"/>
  <c r="AH198" i="1"/>
  <c r="AI198" i="1"/>
  <c r="AI19" i="3" s="1"/>
  <c r="AI21" i="3"/>
  <c r="AF22" i="3"/>
  <c r="AE23" i="3"/>
  <c r="AE92" i="3" s="1"/>
  <c r="AF23" i="3"/>
  <c r="AF92" i="3" s="1"/>
  <c r="AH23" i="3"/>
  <c r="AH92" i="3" s="1"/>
  <c r="AE203" i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G37" i="3" s="1"/>
  <c r="AH216" i="1"/>
  <c r="AI216" i="1"/>
  <c r="AH218" i="1"/>
  <c r="AK25" i="2" s="1"/>
  <c r="AE221" i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F224" i="1"/>
  <c r="AF45" i="3" s="1"/>
  <c r="AG224" i="1"/>
  <c r="AG45" i="3" s="1"/>
  <c r="AH224" i="1"/>
  <c r="AH45" i="3" s="1"/>
  <c r="AI224" i="1"/>
  <c r="AI45" i="3" s="1"/>
  <c r="AI20" i="2"/>
  <c r="AK20" i="2"/>
  <c r="AH21" i="2"/>
  <c r="AE246" i="1"/>
  <c r="AH27" i="2" s="1"/>
  <c r="AE248" i="1"/>
  <c r="AE70" i="3" s="1"/>
  <c r="AF248" i="1"/>
  <c r="AF70" i="3" s="1"/>
  <c r="AG248" i="1"/>
  <c r="AG70" i="3" s="1"/>
  <c r="AH248" i="1"/>
  <c r="AH70" i="3" s="1"/>
  <c r="AI248" i="1"/>
  <c r="AI70" i="3" s="1"/>
  <c r="AE6" i="3"/>
  <c r="AE103" i="3" s="1"/>
  <c r="AF6" i="3"/>
  <c r="AF103" i="3" s="1"/>
  <c r="AG6" i="3"/>
  <c r="AG103" i="3" s="1"/>
  <c r="AH6" i="3"/>
  <c r="AH103" i="3" s="1"/>
  <c r="AI6" i="3"/>
  <c r="AI103" i="3" s="1"/>
  <c r="AI7" i="3"/>
  <c r="AI156" i="3" s="1"/>
  <c r="AI176" i="3" s="1"/>
  <c r="AH8" i="3"/>
  <c r="AF9" i="3"/>
  <c r="AG9" i="3"/>
  <c r="AH9" i="3"/>
  <c r="AE12" i="3"/>
  <c r="AE119" i="3" s="1"/>
  <c r="AH12" i="3"/>
  <c r="AH119" i="3" s="1"/>
  <c r="AG13" i="3"/>
  <c r="AI13" i="3"/>
  <c r="AE14" i="3"/>
  <c r="AG16" i="3"/>
  <c r="AG111" i="3" s="1"/>
  <c r="AH16" i="3"/>
  <c r="AH111" i="3" s="1"/>
  <c r="AH17" i="3"/>
  <c r="AE18" i="3"/>
  <c r="AF19" i="3"/>
  <c r="AH19" i="3"/>
  <c r="AE21" i="3"/>
  <c r="AH21" i="3"/>
  <c r="AG22" i="3"/>
  <c r="AH22" i="3"/>
  <c r="AG23" i="3"/>
  <c r="AG92" i="3" s="1"/>
  <c r="AE24" i="3"/>
  <c r="AF24" i="3"/>
  <c r="AH25" i="3"/>
  <c r="AE29" i="3"/>
  <c r="AG29" i="3"/>
  <c r="AH29" i="3"/>
  <c r="AE36" i="3"/>
  <c r="AE132" i="3" s="1"/>
  <c r="AE134" i="3" s="1"/>
  <c r="AH39" i="3"/>
  <c r="AH124" i="3" s="1"/>
  <c r="AH126" i="3" s="1"/>
  <c r="AE42" i="3"/>
  <c r="AE45" i="3"/>
  <c r="AF61" i="3"/>
  <c r="AF113" i="3" s="1"/>
  <c r="AF115" i="3" s="1"/>
  <c r="AE62" i="3"/>
  <c r="AE140" i="3" s="1"/>
  <c r="AE142" i="3" s="1"/>
  <c r="AE67" i="3"/>
  <c r="AE73" i="3"/>
  <c r="AF73" i="3"/>
  <c r="AG73" i="3"/>
  <c r="AH73" i="3"/>
  <c r="AI73" i="3"/>
  <c r="AE17" i="3" l="1"/>
  <c r="AG27" i="3"/>
  <c r="AG146" i="3" s="1"/>
  <c r="AG169" i="3" s="1"/>
  <c r="AI150" i="3"/>
  <c r="AI98" i="3"/>
  <c r="AI99" i="3" s="1"/>
  <c r="AI100" i="3" s="1"/>
  <c r="AI107" i="3"/>
  <c r="AG150" i="3"/>
  <c r="AI122" i="3"/>
  <c r="AF150" i="3"/>
  <c r="AG98" i="3"/>
  <c r="AG99" i="3" s="1"/>
  <c r="AG100" i="3" s="1"/>
  <c r="AG107" i="3"/>
  <c r="AH122" i="3"/>
  <c r="AF98" i="3"/>
  <c r="AF99" i="3" s="1"/>
  <c r="AF100" i="3" s="1"/>
  <c r="AF107" i="3"/>
  <c r="AG122" i="3"/>
  <c r="AE98" i="3"/>
  <c r="AE99" i="3" s="1"/>
  <c r="AE100" i="3" s="1"/>
  <c r="AE107" i="3"/>
  <c r="AE150" i="3"/>
  <c r="AH98" i="3"/>
  <c r="AH99" i="3" s="1"/>
  <c r="AH100" i="3" s="1"/>
  <c r="AH107" i="3"/>
  <c r="AE25" i="3"/>
  <c r="AI25" i="3"/>
  <c r="AG25" i="3"/>
  <c r="AE44" i="3"/>
  <c r="AH27" i="3"/>
  <c r="AH146" i="3" s="1"/>
  <c r="AH169" i="3" s="1"/>
  <c r="AG17" i="3"/>
  <c r="AE9" i="3"/>
  <c r="AE94" i="3"/>
  <c r="AG36" i="3"/>
  <c r="AG132" i="3" s="1"/>
  <c r="AG134" i="3" s="1"/>
  <c r="AJ22" i="2"/>
  <c r="AI38" i="3"/>
  <c r="AL24" i="2"/>
  <c r="AF37" i="3"/>
  <c r="AI23" i="2"/>
  <c r="AG61" i="3"/>
  <c r="AG113" i="3" s="1"/>
  <c r="AJ20" i="2"/>
  <c r="AE249" i="1"/>
  <c r="AE71" i="3" s="1"/>
  <c r="AE72" i="3" s="1"/>
  <c r="AH26" i="2"/>
  <c r="AI61" i="3"/>
  <c r="AI113" i="3" s="1"/>
  <c r="AI115" i="3" s="1"/>
  <c r="AL20" i="2"/>
  <c r="AG251" i="1"/>
  <c r="AG74" i="3" s="1"/>
  <c r="AJ23" i="2"/>
  <c r="AH36" i="3"/>
  <c r="AH132" i="3" s="1"/>
  <c r="AH134" i="3" s="1"/>
  <c r="AK22" i="2"/>
  <c r="AG39" i="3"/>
  <c r="AG124" i="3" s="1"/>
  <c r="AG126" i="3" s="1"/>
  <c r="AJ25" i="2"/>
  <c r="AG21" i="3"/>
  <c r="AI62" i="3"/>
  <c r="AI140" i="3" s="1"/>
  <c r="AI142" i="3" s="1"/>
  <c r="AL21" i="2"/>
  <c r="AH44" i="3"/>
  <c r="AK13" i="2"/>
  <c r="AF67" i="3"/>
  <c r="AI27" i="2"/>
  <c r="AH38" i="3"/>
  <c r="AK24" i="2"/>
  <c r="AE39" i="3"/>
  <c r="AE124" i="3" s="1"/>
  <c r="AE126" i="3" s="1"/>
  <c r="AH25" i="2"/>
  <c r="AH61" i="3"/>
  <c r="AH113" i="3" s="1"/>
  <c r="AH115" i="3" s="1"/>
  <c r="AH62" i="3"/>
  <c r="AH140" i="3" s="1"/>
  <c r="AH142" i="3" s="1"/>
  <c r="AK21" i="2"/>
  <c r="AE61" i="3"/>
  <c r="AH20" i="2"/>
  <c r="AG44" i="3"/>
  <c r="AJ13" i="2"/>
  <c r="AH22" i="2"/>
  <c r="AF29" i="3"/>
  <c r="AI11" i="2"/>
  <c r="AG38" i="3"/>
  <c r="AJ24" i="2"/>
  <c r="AH33" i="3"/>
  <c r="AK8" i="2"/>
  <c r="AI9" i="3"/>
  <c r="AL12" i="2"/>
  <c r="AF27" i="3"/>
  <c r="AF146" i="3" s="1"/>
  <c r="AF169" i="3" s="1"/>
  <c r="AI26" i="2"/>
  <c r="AE251" i="1"/>
  <c r="AH23" i="2"/>
  <c r="AF36" i="3"/>
  <c r="AF132" i="3" s="1"/>
  <c r="AI22" i="2"/>
  <c r="AI22" i="3"/>
  <c r="AG62" i="3"/>
  <c r="AG140" i="3" s="1"/>
  <c r="AG142" i="3" s="1"/>
  <c r="AJ21" i="2"/>
  <c r="AF44" i="3"/>
  <c r="AI13" i="2"/>
  <c r="AI29" i="3"/>
  <c r="AL11" i="2"/>
  <c r="AI44" i="3"/>
  <c r="AL13" i="2"/>
  <c r="AE27" i="3"/>
  <c r="AE146" i="3" s="1"/>
  <c r="AE169" i="3" s="1"/>
  <c r="AH18" i="3"/>
  <c r="AF62" i="3"/>
  <c r="AI21" i="2"/>
  <c r="AI37" i="3"/>
  <c r="AL23" i="2"/>
  <c r="AI27" i="3"/>
  <c r="AI146" i="3" s="1"/>
  <c r="AI169" i="3" s="1"/>
  <c r="AL26" i="2"/>
  <c r="AE38" i="3"/>
  <c r="AE83" i="3" s="1"/>
  <c r="AH24" i="2"/>
  <c r="AI39" i="3"/>
  <c r="AI124" i="3" s="1"/>
  <c r="AI126" i="3" s="1"/>
  <c r="AL25" i="2"/>
  <c r="AH251" i="1"/>
  <c r="AH74" i="3" s="1"/>
  <c r="AK23" i="2"/>
  <c r="AG94" i="3"/>
  <c r="AF94" i="3"/>
  <c r="AH94" i="3"/>
  <c r="AI17" i="3"/>
  <c r="AI212" i="1"/>
  <c r="AI249" i="1" s="1"/>
  <c r="AI71" i="3" s="1"/>
  <c r="AI72" i="3" s="1"/>
  <c r="AI246" i="1"/>
  <c r="AE252" i="1"/>
  <c r="AE75" i="3" s="1"/>
  <c r="AE33" i="3"/>
  <c r="AF251" i="1"/>
  <c r="AG19" i="3"/>
  <c r="AE222" i="1"/>
  <c r="AE43" i="3" s="1"/>
  <c r="AE22" i="3"/>
  <c r="AE16" i="3"/>
  <c r="AE111" i="3" s="1"/>
  <c r="AI251" i="1"/>
  <c r="AG252" i="1"/>
  <c r="AG33" i="3"/>
  <c r="AH37" i="3"/>
  <c r="AF25" i="3"/>
  <c r="AE81" i="3"/>
  <c r="AI18" i="3"/>
  <c r="AG222" i="1"/>
  <c r="AG43" i="3" s="1"/>
  <c r="AL22" i="2"/>
  <c r="AE37" i="3"/>
  <c r="AI23" i="3"/>
  <c r="AI92" i="3" s="1"/>
  <c r="AI94" i="3" s="1"/>
  <c r="AF21" i="3"/>
  <c r="AI222" i="1"/>
  <c r="AI43" i="3" s="1"/>
  <c r="AH14" i="3"/>
  <c r="AH249" i="1"/>
  <c r="AH71" i="3" s="1"/>
  <c r="AH72" i="3" s="1"/>
  <c r="AH252" i="1"/>
  <c r="AH246" i="1"/>
  <c r="AH222" i="1"/>
  <c r="AH43" i="3" s="1"/>
  <c r="AG18" i="3"/>
  <c r="AG249" i="1"/>
  <c r="AG71" i="3" s="1"/>
  <c r="AG72" i="3" s="1"/>
  <c r="AG246" i="1"/>
  <c r="AG82" i="3"/>
  <c r="AF214" i="1"/>
  <c r="AF35" i="3" s="1"/>
  <c r="AF218" i="1"/>
  <c r="AF252" i="1"/>
  <c r="AF75" i="3" s="1"/>
  <c r="AF33" i="3"/>
  <c r="AF16" i="3"/>
  <c r="AF111" i="3" s="1"/>
  <c r="AF249" i="1"/>
  <c r="AF71" i="3" s="1"/>
  <c r="AF72" i="3" s="1"/>
  <c r="AF74" i="3"/>
  <c r="AF222" i="1"/>
  <c r="AF43" i="3" s="1"/>
  <c r="AI42" i="3"/>
  <c r="AI36" i="3"/>
  <c r="AI132" i="3" s="1"/>
  <c r="AI134" i="3" s="1"/>
  <c r="AH253" i="1" l="1"/>
  <c r="AH76" i="3" s="1"/>
  <c r="AG81" i="3"/>
  <c r="AE82" i="3"/>
  <c r="AH82" i="3"/>
  <c r="AH125" i="3"/>
  <c r="AH127" i="3" s="1"/>
  <c r="AH166" i="3" s="1"/>
  <c r="AH130" i="3"/>
  <c r="AG115" i="3"/>
  <c r="AH114" i="3"/>
  <c r="AH116" i="3" s="1"/>
  <c r="AH157" i="3" s="1"/>
  <c r="AF134" i="3"/>
  <c r="AE122" i="3"/>
  <c r="AG125" i="3"/>
  <c r="AG127" i="3" s="1"/>
  <c r="AG166" i="3" s="1"/>
  <c r="AG130" i="3"/>
  <c r="AG114" i="3"/>
  <c r="AF122" i="3"/>
  <c r="AF114" i="3"/>
  <c r="AF116" i="3" s="1"/>
  <c r="AF157" i="3" s="1"/>
  <c r="AH150" i="3"/>
  <c r="AF84" i="3"/>
  <c r="AF140" i="3"/>
  <c r="AF142" i="3" s="1"/>
  <c r="AI125" i="3"/>
  <c r="AI127" i="3" s="1"/>
  <c r="AI166" i="3" s="1"/>
  <c r="AI130" i="3"/>
  <c r="AE84" i="3"/>
  <c r="AE113" i="3"/>
  <c r="AE115" i="3" s="1"/>
  <c r="AI114" i="3"/>
  <c r="AI116" i="3" s="1"/>
  <c r="AI157" i="3" s="1"/>
  <c r="AE253" i="1"/>
  <c r="AE76" i="3" s="1"/>
  <c r="AI252" i="1"/>
  <c r="AI75" i="3" s="1"/>
  <c r="AG254" i="1"/>
  <c r="AG77" i="3" s="1"/>
  <c r="AG253" i="1"/>
  <c r="AG76" i="3" s="1"/>
  <c r="AF254" i="1"/>
  <c r="AF77" i="3" s="1"/>
  <c r="AE74" i="3"/>
  <c r="AF82" i="3"/>
  <c r="AI84" i="3"/>
  <c r="AF81" i="3"/>
  <c r="AH84" i="3"/>
  <c r="AG84" i="3"/>
  <c r="AG83" i="3"/>
  <c r="AH83" i="3"/>
  <c r="AG75" i="3"/>
  <c r="AH81" i="3"/>
  <c r="AI67" i="3"/>
  <c r="AL27" i="2"/>
  <c r="AF39" i="3"/>
  <c r="AF124" i="3" s="1"/>
  <c r="AF126" i="3" s="1"/>
  <c r="AI25" i="2"/>
  <c r="AH67" i="3"/>
  <c r="AK27" i="2"/>
  <c r="AI33" i="3"/>
  <c r="AL8" i="2"/>
  <c r="AF38" i="3"/>
  <c r="AF83" i="3" s="1"/>
  <c r="AI24" i="2"/>
  <c r="AG67" i="3"/>
  <c r="AJ27" i="2"/>
  <c r="AI74" i="3"/>
  <c r="AE254" i="1"/>
  <c r="AE77" i="3" s="1"/>
  <c r="AF253" i="1"/>
  <c r="AF76" i="3" s="1"/>
  <c r="AH254" i="1"/>
  <c r="AH77" i="3" s="1"/>
  <c r="AH75" i="3"/>
  <c r="AI83" i="3"/>
  <c r="AI82" i="3"/>
  <c r="AI81" i="3"/>
  <c r="AI254" i="1" l="1"/>
  <c r="AI77" i="3" s="1"/>
  <c r="AI253" i="1"/>
  <c r="AI76" i="3" s="1"/>
  <c r="AG116" i="3"/>
  <c r="AG157" i="3" s="1"/>
  <c r="AG138" i="3"/>
  <c r="AG141" i="3" s="1"/>
  <c r="AG143" i="3" s="1"/>
  <c r="AG160" i="3" s="1"/>
  <c r="AG133" i="3"/>
  <c r="AG135" i="3" s="1"/>
  <c r="AH138" i="3"/>
  <c r="AH141" i="3" s="1"/>
  <c r="AH143" i="3" s="1"/>
  <c r="AH160" i="3" s="1"/>
  <c r="AH133" i="3"/>
  <c r="AH135" i="3" s="1"/>
  <c r="AF130" i="3"/>
  <c r="AF125" i="3"/>
  <c r="AF127" i="3" s="1"/>
  <c r="AF166" i="3" s="1"/>
  <c r="AE114" i="3"/>
  <c r="AE116" i="3" s="1"/>
  <c r="AE157" i="3" s="1"/>
  <c r="AI133" i="3"/>
  <c r="AI135" i="3" s="1"/>
  <c r="AI138" i="3"/>
  <c r="AI141" i="3" s="1"/>
  <c r="AI143" i="3" s="1"/>
  <c r="AI160" i="3" s="1"/>
  <c r="AE125" i="3"/>
  <c r="AE127" i="3" s="1"/>
  <c r="AE166" i="3" s="1"/>
  <c r="AE130" i="3"/>
  <c r="Y11" i="3"/>
  <c r="X11" i="3"/>
  <c r="N11" i="3"/>
  <c r="M11" i="3"/>
  <c r="C11" i="3"/>
  <c r="B11" i="3"/>
  <c r="AI147" i="3" l="1"/>
  <c r="AI151" i="3" s="1"/>
  <c r="AI163" i="3"/>
  <c r="AH147" i="3"/>
  <c r="AH151" i="3" s="1"/>
  <c r="AH163" i="3"/>
  <c r="AG147" i="3"/>
  <c r="AG151" i="3" s="1"/>
  <c r="AG163" i="3"/>
  <c r="AF138" i="3"/>
  <c r="AF141" i="3" s="1"/>
  <c r="AF143" i="3" s="1"/>
  <c r="AF160" i="3" s="1"/>
  <c r="AF133" i="3"/>
  <c r="AF135" i="3" s="1"/>
  <c r="AE133" i="3"/>
  <c r="AE135" i="3" s="1"/>
  <c r="AE138" i="3"/>
  <c r="AE141" i="3" s="1"/>
  <c r="AE143" i="3" s="1"/>
  <c r="AE160" i="3" s="1"/>
  <c r="AD192" i="1"/>
  <c r="AD13" i="3" s="1"/>
  <c r="AC192" i="1"/>
  <c r="AC13" i="3" s="1"/>
  <c r="AB192" i="1"/>
  <c r="AB13" i="3" s="1"/>
  <c r="AA192" i="1"/>
  <c r="AA13" i="3" s="1"/>
  <c r="Z192" i="1"/>
  <c r="Z13" i="3" s="1"/>
  <c r="AD191" i="1"/>
  <c r="AD12" i="3" s="1"/>
  <c r="AD119" i="3" s="1"/>
  <c r="AC191" i="1"/>
  <c r="AC12" i="3" s="1"/>
  <c r="AC119" i="3" s="1"/>
  <c r="AB191" i="1"/>
  <c r="AB12" i="3" s="1"/>
  <c r="AB119" i="3" s="1"/>
  <c r="AA191" i="1"/>
  <c r="AA12" i="3" s="1"/>
  <c r="AA119" i="3" s="1"/>
  <c r="Z191" i="1"/>
  <c r="Z12" i="3" s="1"/>
  <c r="Z119" i="3" s="1"/>
  <c r="AD190" i="1"/>
  <c r="AD11" i="3" s="1"/>
  <c r="AC190" i="1"/>
  <c r="AC11" i="3" s="1"/>
  <c r="AB190" i="1"/>
  <c r="AB11" i="3" s="1"/>
  <c r="AA190" i="1"/>
  <c r="AA11" i="3" s="1"/>
  <c r="Z190" i="1"/>
  <c r="Z11" i="3" s="1"/>
  <c r="S192" i="1"/>
  <c r="S13" i="3" s="1"/>
  <c r="R192" i="1"/>
  <c r="R13" i="3" s="1"/>
  <c r="Q192" i="1"/>
  <c r="Q13" i="3" s="1"/>
  <c r="P192" i="1"/>
  <c r="P13" i="3" s="1"/>
  <c r="O192" i="1"/>
  <c r="O13" i="3" s="1"/>
  <c r="N192" i="1"/>
  <c r="N13" i="3" s="1"/>
  <c r="S191" i="1"/>
  <c r="S12" i="3" s="1"/>
  <c r="S119" i="3" s="1"/>
  <c r="R191" i="1"/>
  <c r="R12" i="3" s="1"/>
  <c r="R119" i="3" s="1"/>
  <c r="Q191" i="1"/>
  <c r="Q12" i="3" s="1"/>
  <c r="Q119" i="3" s="1"/>
  <c r="P191" i="1"/>
  <c r="P12" i="3" s="1"/>
  <c r="P119" i="3" s="1"/>
  <c r="O191" i="1"/>
  <c r="O12" i="3" s="1"/>
  <c r="O119" i="3" s="1"/>
  <c r="N191" i="1"/>
  <c r="N12" i="3" s="1"/>
  <c r="N119" i="3" s="1"/>
  <c r="S11" i="3"/>
  <c r="R11" i="3"/>
  <c r="Q11" i="3"/>
  <c r="P11" i="3"/>
  <c r="O11" i="3"/>
  <c r="E11" i="3"/>
  <c r="F11" i="3"/>
  <c r="G11" i="3"/>
  <c r="H11" i="3"/>
  <c r="I11" i="3"/>
  <c r="E191" i="1"/>
  <c r="E12" i="3" s="1"/>
  <c r="E119" i="3" s="1"/>
  <c r="F191" i="1"/>
  <c r="F12" i="3" s="1"/>
  <c r="F119" i="3" s="1"/>
  <c r="G191" i="1"/>
  <c r="G12" i="3" s="1"/>
  <c r="G119" i="3" s="1"/>
  <c r="H191" i="1"/>
  <c r="H12" i="3" s="1"/>
  <c r="H119" i="3" s="1"/>
  <c r="I191" i="1"/>
  <c r="I12" i="3" s="1"/>
  <c r="I119" i="3" s="1"/>
  <c r="E192" i="1"/>
  <c r="E13" i="3" s="1"/>
  <c r="F192" i="1"/>
  <c r="F13" i="3" s="1"/>
  <c r="G192" i="1"/>
  <c r="G13" i="3" s="1"/>
  <c r="H192" i="1"/>
  <c r="H13" i="3" s="1"/>
  <c r="I192" i="1"/>
  <c r="I13" i="3" s="1"/>
  <c r="D192" i="1"/>
  <c r="D13" i="3" s="1"/>
  <c r="D191" i="1"/>
  <c r="D12" i="3" s="1"/>
  <c r="D119" i="3" s="1"/>
  <c r="D11" i="3"/>
  <c r="M33" i="1"/>
  <c r="X33" i="1"/>
  <c r="M32" i="1"/>
  <c r="X32" i="1"/>
  <c r="AE147" i="3" l="1"/>
  <c r="AE151" i="3" s="1"/>
  <c r="AE163" i="3"/>
  <c r="AF147" i="3"/>
  <c r="AF151" i="3" s="1"/>
  <c r="AF163" i="3"/>
  <c r="X26" i="1"/>
  <c r="Z189" i="1" l="1"/>
  <c r="Z10" i="3" s="1"/>
  <c r="Y191" i="1"/>
  <c r="Y12" i="3" s="1"/>
  <c r="Y119" i="3" s="1"/>
  <c r="Y192" i="1"/>
  <c r="Y13" i="3" s="1"/>
  <c r="Y188" i="1"/>
  <c r="Y193" i="1"/>
  <c r="Y194" i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Z240" i="1" l="1"/>
  <c r="Z241" i="1"/>
  <c r="Z215" i="1"/>
  <c r="Z217" i="1"/>
  <c r="AH205" i="1"/>
  <c r="AI205" i="1"/>
  <c r="AG205" i="1"/>
  <c r="AE205" i="1"/>
  <c r="AF205" i="1"/>
  <c r="AG194" i="1"/>
  <c r="AH194" i="1"/>
  <c r="AI194" i="1"/>
  <c r="AE194" i="1"/>
  <c r="AF194" i="1"/>
  <c r="AF199" i="1"/>
  <c r="AG199" i="1"/>
  <c r="AH199" i="1"/>
  <c r="AI199" i="1"/>
  <c r="AE199" i="1"/>
  <c r="N187" i="1"/>
  <c r="Y187" i="1" s="1"/>
  <c r="X158" i="1"/>
  <c r="X21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1" i="1"/>
  <c r="X42" i="1"/>
  <c r="X44" i="1"/>
  <c r="X45" i="1"/>
  <c r="X58" i="1"/>
  <c r="X71" i="1"/>
  <c r="X84" i="1"/>
  <c r="X191" i="1" s="1"/>
  <c r="X12" i="3" s="1"/>
  <c r="X119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0" i="1"/>
  <c r="M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1" i="1"/>
  <c r="M42" i="1"/>
  <c r="M44" i="1"/>
  <c r="M45" i="1"/>
  <c r="M58" i="1"/>
  <c r="M71" i="1"/>
  <c r="M84" i="1"/>
  <c r="M191" i="1" s="1"/>
  <c r="M12" i="3" s="1"/>
  <c r="M119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0" i="1"/>
  <c r="AH213" i="1" l="1"/>
  <c r="AH34" i="3" s="1"/>
  <c r="AH20" i="3"/>
  <c r="AG213" i="1"/>
  <c r="AG34" i="3" s="1"/>
  <c r="AG20" i="3"/>
  <c r="AE26" i="3"/>
  <c r="AE244" i="1"/>
  <c r="AF213" i="1"/>
  <c r="AF34" i="3" s="1"/>
  <c r="AF20" i="3"/>
  <c r="AG26" i="3"/>
  <c r="AG244" i="1"/>
  <c r="AF211" i="1"/>
  <c r="AF32" i="3" s="1"/>
  <c r="AF15" i="3"/>
  <c r="AI26" i="3"/>
  <c r="AI244" i="1"/>
  <c r="AH26" i="3"/>
  <c r="AH244" i="1"/>
  <c r="AE211" i="1"/>
  <c r="AE32" i="3" s="1"/>
  <c r="AE15" i="3"/>
  <c r="AI211" i="1"/>
  <c r="AI15" i="3"/>
  <c r="AE213" i="1"/>
  <c r="AE34" i="3" s="1"/>
  <c r="AE20" i="3"/>
  <c r="AH211" i="1"/>
  <c r="AH32" i="3" s="1"/>
  <c r="AH15" i="3"/>
  <c r="AI213" i="1"/>
  <c r="AI34" i="3" s="1"/>
  <c r="AI20" i="3"/>
  <c r="AG211" i="1"/>
  <c r="AJ7" i="2" s="1"/>
  <c r="AG15" i="3"/>
  <c r="AF26" i="3"/>
  <c r="AF244" i="1"/>
  <c r="AI32" i="3"/>
  <c r="AL7" i="2"/>
  <c r="Z236" i="1"/>
  <c r="AI7" i="2" l="1"/>
  <c r="AH7" i="2"/>
  <c r="AG32" i="3"/>
  <c r="AH245" i="1"/>
  <c r="AH65" i="3"/>
  <c r="AK28" i="2"/>
  <c r="AF65" i="3"/>
  <c r="AI28" i="2"/>
  <c r="AF245" i="1"/>
  <c r="AI65" i="3"/>
  <c r="AL28" i="2"/>
  <c r="AI245" i="1"/>
  <c r="AE245" i="1"/>
  <c r="AH28" i="2"/>
  <c r="AE65" i="3"/>
  <c r="AK7" i="2"/>
  <c r="AG65" i="3"/>
  <c r="AJ28" i="2"/>
  <c r="AG245" i="1"/>
  <c r="AG86" i="3"/>
  <c r="AI86" i="3"/>
  <c r="AH86" i="3"/>
  <c r="AE86" i="3"/>
  <c r="AF86" i="3"/>
  <c r="O248" i="1"/>
  <c r="O224" i="1"/>
  <c r="O223" i="1"/>
  <c r="O221" i="1"/>
  <c r="O216" i="1"/>
  <c r="O251" i="1" s="1"/>
  <c r="O206" i="1"/>
  <c r="O204" i="1"/>
  <c r="O203" i="1"/>
  <c r="O246" i="1" s="1"/>
  <c r="O198" i="1"/>
  <c r="O199" i="1" s="1"/>
  <c r="O197" i="1"/>
  <c r="O214" i="1" s="1"/>
  <c r="O196" i="1"/>
  <c r="O218" i="1" s="1"/>
  <c r="O195" i="1"/>
  <c r="O212" i="1" s="1"/>
  <c r="O193" i="1"/>
  <c r="O194" i="1" s="1"/>
  <c r="O188" i="1"/>
  <c r="O187" i="1"/>
  <c r="O186" i="1"/>
  <c r="O185" i="1"/>
  <c r="AI66" i="3" l="1"/>
  <c r="AI247" i="1"/>
  <c r="AI68" i="3" s="1"/>
  <c r="AG66" i="3"/>
  <c r="AG247" i="1"/>
  <c r="AG68" i="3" s="1"/>
  <c r="O213" i="1"/>
  <c r="O20" i="3"/>
  <c r="AF66" i="3"/>
  <c r="AF247" i="1"/>
  <c r="AF68" i="3" s="1"/>
  <c r="O211" i="1"/>
  <c r="O15" i="3"/>
  <c r="AE66" i="3"/>
  <c r="AE247" i="1"/>
  <c r="AE68" i="3" s="1"/>
  <c r="AH66" i="3"/>
  <c r="AH247" i="1"/>
  <c r="AH68" i="3" s="1"/>
  <c r="O205" i="1"/>
  <c r="O222" i="1"/>
  <c r="O249" i="1"/>
  <c r="O252" i="1"/>
  <c r="O253" i="1" s="1"/>
  <c r="AF87" i="3" l="1"/>
  <c r="AF85" i="3"/>
  <c r="AF88" i="3"/>
  <c r="O26" i="3"/>
  <c r="O244" i="1"/>
  <c r="O245" i="1" s="1"/>
  <c r="O247" i="1" s="1"/>
  <c r="AG88" i="3"/>
  <c r="AG87" i="3"/>
  <c r="AG85" i="3"/>
  <c r="AE88" i="3"/>
  <c r="AE85" i="3"/>
  <c r="AE87" i="3"/>
  <c r="AH85" i="3"/>
  <c r="AH87" i="3"/>
  <c r="AH88" i="3"/>
  <c r="AI85" i="3"/>
  <c r="AI88" i="3"/>
  <c r="AI87" i="3"/>
  <c r="O254" i="1"/>
  <c r="AG89" i="3" l="1"/>
  <c r="AH89" i="3"/>
  <c r="AI89" i="3"/>
  <c r="AF89" i="3"/>
  <c r="AE89" i="3"/>
  <c r="AK17" i="2" l="1"/>
  <c r="AH230" i="1"/>
  <c r="AE231" i="1"/>
  <c r="AE52" i="3" s="1"/>
  <c r="AI18" i="2"/>
  <c r="AF231" i="1"/>
  <c r="AF52" i="3" s="1"/>
  <c r="AJ18" i="2"/>
  <c r="AI17" i="2"/>
  <c r="AK18" i="2"/>
  <c r="AH17" i="2"/>
  <c r="AE230" i="1"/>
  <c r="AG231" i="1"/>
  <c r="AG52" i="3" s="1"/>
  <c r="AF230" i="1"/>
  <c r="AJ17" i="2"/>
  <c r="AG230" i="1"/>
  <c r="AH231" i="1"/>
  <c r="AH52" i="3" s="1"/>
  <c r="AL18" i="2"/>
  <c r="AI230" i="1"/>
  <c r="AI231" i="1"/>
  <c r="AI52" i="3" s="1"/>
  <c r="AL17" i="2"/>
  <c r="AH18" i="2"/>
  <c r="O228" i="1"/>
  <c r="O229" i="1" s="1"/>
  <c r="O231" i="1"/>
  <c r="O230" i="1"/>
  <c r="O233" i="1" s="1"/>
  <c r="O232" i="1" s="1"/>
  <c r="O53" i="3" s="1"/>
  <c r="AG233" i="1" l="1"/>
  <c r="AG232" i="1" s="1"/>
  <c r="AG53" i="3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F53" i="3" s="1"/>
  <c r="AG48" i="3"/>
  <c r="AG228" i="1"/>
  <c r="AI51" i="3"/>
  <c r="AI233" i="1"/>
  <c r="AI232" i="1" s="1"/>
  <c r="AI53" i="3" s="1"/>
  <c r="AI235" i="1"/>
  <c r="AI55" i="3"/>
  <c r="AI237" i="1"/>
  <c r="AE233" i="1"/>
  <c r="AE232" i="1" s="1"/>
  <c r="AE53" i="3" s="1"/>
  <c r="AE51" i="3"/>
  <c r="AH233" i="1"/>
  <c r="AH232" i="1" s="1"/>
  <c r="AH53" i="3" s="1"/>
  <c r="AH51" i="3"/>
  <c r="AE228" i="1"/>
  <c r="AE48" i="3"/>
  <c r="AH228" i="1"/>
  <c r="AH48" i="3"/>
  <c r="O235" i="1"/>
  <c r="O236" i="1" s="1"/>
  <c r="O239" i="1" s="1"/>
  <c r="O237" i="1"/>
  <c r="O238" i="1" s="1"/>
  <c r="Z185" i="1"/>
  <c r="Z6" i="3" s="1"/>
  <c r="Z103" i="3" s="1"/>
  <c r="AA185" i="1"/>
  <c r="AA6" i="3" s="1"/>
  <c r="AA103" i="3" s="1"/>
  <c r="AB185" i="1"/>
  <c r="AB6" i="3" s="1"/>
  <c r="AB103" i="3" s="1"/>
  <c r="AC185" i="1"/>
  <c r="AC6" i="3" s="1"/>
  <c r="AC103" i="3" s="1"/>
  <c r="AD185" i="1"/>
  <c r="AD6" i="3" s="1"/>
  <c r="AD103" i="3" s="1"/>
  <c r="Z186" i="1"/>
  <c r="Z7" i="3" s="1"/>
  <c r="Z156" i="3" s="1"/>
  <c r="Z176" i="3" s="1"/>
  <c r="AA186" i="1"/>
  <c r="AA7" i="3" s="1"/>
  <c r="AA156" i="3" s="1"/>
  <c r="AA176" i="3" s="1"/>
  <c r="AB186" i="1"/>
  <c r="AB7" i="3" s="1"/>
  <c r="AB156" i="3" s="1"/>
  <c r="AB176" i="3" s="1"/>
  <c r="AC186" i="1"/>
  <c r="AC7" i="3" s="1"/>
  <c r="AC156" i="3" s="1"/>
  <c r="AC176" i="3" s="1"/>
  <c r="AD186" i="1"/>
  <c r="AD7" i="3" s="1"/>
  <c r="AD156" i="3" s="1"/>
  <c r="AD176" i="3" s="1"/>
  <c r="Z187" i="1"/>
  <c r="Z8" i="3" s="1"/>
  <c r="AA187" i="1"/>
  <c r="AA8" i="3" s="1"/>
  <c r="AB187" i="1"/>
  <c r="AB8" i="3" s="1"/>
  <c r="AC187" i="1"/>
  <c r="AC8" i="3" s="1"/>
  <c r="AD187" i="1"/>
  <c r="AD8" i="3" s="1"/>
  <c r="Z188" i="1"/>
  <c r="Z9" i="3" s="1"/>
  <c r="AA188" i="1"/>
  <c r="AA9" i="3" s="1"/>
  <c r="AB188" i="1"/>
  <c r="AB9" i="3" s="1"/>
  <c r="AC188" i="1"/>
  <c r="AC9" i="3" s="1"/>
  <c r="AD188" i="1"/>
  <c r="Z193" i="1"/>
  <c r="AA193" i="1"/>
  <c r="AB193" i="1"/>
  <c r="AC193" i="1"/>
  <c r="AC194" i="1" s="1"/>
  <c r="AD193" i="1"/>
  <c r="Z195" i="1"/>
  <c r="Z212" i="1" s="1"/>
  <c r="AA195" i="1"/>
  <c r="AA212" i="1" s="1"/>
  <c r="AD8" i="2" s="1"/>
  <c r="AB195" i="1"/>
  <c r="AB212" i="1" s="1"/>
  <c r="AB33" i="3" s="1"/>
  <c r="AC195" i="1"/>
  <c r="AC212" i="1" s="1"/>
  <c r="AD195" i="1"/>
  <c r="AD16" i="3" s="1"/>
  <c r="AD111" i="3" s="1"/>
  <c r="Z196" i="1"/>
  <c r="Z218" i="1" s="1"/>
  <c r="AA196" i="1"/>
  <c r="AA218" i="1" s="1"/>
  <c r="AB196" i="1"/>
  <c r="AB218" i="1" s="1"/>
  <c r="AC196" i="1"/>
  <c r="AC218" i="1" s="1"/>
  <c r="AD196" i="1"/>
  <c r="AD218" i="1" s="1"/>
  <c r="AD39" i="3" s="1"/>
  <c r="AD124" i="3" s="1"/>
  <c r="AD126" i="3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AD35" i="3" s="1"/>
  <c r="Z198" i="1"/>
  <c r="AA198" i="1"/>
  <c r="AB198" i="1"/>
  <c r="AC198" i="1"/>
  <c r="AD198" i="1"/>
  <c r="AA21" i="3"/>
  <c r="AB21" i="3"/>
  <c r="AC21" i="3"/>
  <c r="AD21" i="3"/>
  <c r="Z22" i="3"/>
  <c r="AB22" i="3"/>
  <c r="AC22" i="3"/>
  <c r="AD22" i="3"/>
  <c r="AA23" i="3"/>
  <c r="AA92" i="3" s="1"/>
  <c r="AA94" i="3" s="1"/>
  <c r="AC23" i="3"/>
  <c r="AC92" i="3" s="1"/>
  <c r="AC94" i="3" s="1"/>
  <c r="AD23" i="3"/>
  <c r="AD92" i="3" s="1"/>
  <c r="AD94" i="3" s="1"/>
  <c r="Z203" i="1"/>
  <c r="Z246" i="1" s="1"/>
  <c r="AA203" i="1"/>
  <c r="AA246" i="1" s="1"/>
  <c r="AB203" i="1"/>
  <c r="AB246" i="1" s="1"/>
  <c r="AC203" i="1"/>
  <c r="AC24" i="3" s="1"/>
  <c r="AD203" i="1"/>
  <c r="AD246" i="1" s="1"/>
  <c r="Z204" i="1"/>
  <c r="AA204" i="1"/>
  <c r="AB204" i="1"/>
  <c r="AC204" i="1"/>
  <c r="AD204" i="1"/>
  <c r="Z206" i="1"/>
  <c r="AC26" i="2" s="1"/>
  <c r="AA206" i="1"/>
  <c r="AD26" i="2" s="1"/>
  <c r="AB206" i="1"/>
  <c r="AB27" i="3" s="1"/>
  <c r="AB146" i="3" s="1"/>
  <c r="AB169" i="3" s="1"/>
  <c r="AC206" i="1"/>
  <c r="AD206" i="1"/>
  <c r="AD27" i="3" s="1"/>
  <c r="AD146" i="3" s="1"/>
  <c r="AD169" i="3" s="1"/>
  <c r="AC11" i="2"/>
  <c r="AD11" i="2"/>
  <c r="AE11" i="2"/>
  <c r="AC29" i="3"/>
  <c r="AG11" i="2"/>
  <c r="Z216" i="1"/>
  <c r="Z37" i="3" s="1"/>
  <c r="AA216" i="1"/>
  <c r="AA37" i="3" s="1"/>
  <c r="AB216" i="1"/>
  <c r="AB251" i="1" s="1"/>
  <c r="AC216" i="1"/>
  <c r="AC251" i="1" s="1"/>
  <c r="AC74" i="3" s="1"/>
  <c r="AD216" i="1"/>
  <c r="AD251" i="1" s="1"/>
  <c r="AD74" i="3" s="1"/>
  <c r="Z221" i="1"/>
  <c r="AA221" i="1"/>
  <c r="AA42" i="3" s="1"/>
  <c r="AB221" i="1"/>
  <c r="AB42" i="3" s="1"/>
  <c r="AC221" i="1"/>
  <c r="AD221" i="1"/>
  <c r="Z223" i="1"/>
  <c r="Z44" i="3" s="1"/>
  <c r="AA223" i="1"/>
  <c r="AA44" i="3" s="1"/>
  <c r="AB223" i="1"/>
  <c r="AB44" i="3" s="1"/>
  <c r="AC223" i="1"/>
  <c r="AC44" i="3" s="1"/>
  <c r="AD223" i="1"/>
  <c r="AD44" i="3" s="1"/>
  <c r="Z224" i="1"/>
  <c r="Z45" i="3" s="1"/>
  <c r="AA224" i="1"/>
  <c r="AA45" i="3" s="1"/>
  <c r="AB224" i="1"/>
  <c r="AB45" i="3" s="1"/>
  <c r="AC224" i="1"/>
  <c r="AC45" i="3" s="1"/>
  <c r="AD224" i="1"/>
  <c r="AD45" i="3" s="1"/>
  <c r="Z61" i="3"/>
  <c r="Z113" i="3" s="1"/>
  <c r="AA61" i="3"/>
  <c r="AA113" i="3" s="1"/>
  <c r="AA115" i="3" s="1"/>
  <c r="AB61" i="3"/>
  <c r="AB113" i="3" s="1"/>
  <c r="AB115" i="3" s="1"/>
  <c r="AF20" i="2"/>
  <c r="AD61" i="3"/>
  <c r="AD113" i="3" s="1"/>
  <c r="Z62" i="3"/>
  <c r="Z140" i="3" s="1"/>
  <c r="Z142" i="3" s="1"/>
  <c r="AD21" i="2"/>
  <c r="AB62" i="3"/>
  <c r="AB140" i="3" s="1"/>
  <c r="AB142" i="3" s="1"/>
  <c r="AC62" i="3"/>
  <c r="AC140" i="3" s="1"/>
  <c r="AC142" i="3" s="1"/>
  <c r="AG21" i="2"/>
  <c r="Z248" i="1"/>
  <c r="Z70" i="3" s="1"/>
  <c r="AA248" i="1"/>
  <c r="AA70" i="3" s="1"/>
  <c r="AB248" i="1"/>
  <c r="AB70" i="3" s="1"/>
  <c r="AC248" i="1"/>
  <c r="AC70" i="3" s="1"/>
  <c r="AD248" i="1"/>
  <c r="AD70" i="3" s="1"/>
  <c r="P185" i="1"/>
  <c r="P6" i="3" s="1"/>
  <c r="P103" i="3" s="1"/>
  <c r="Q185" i="1"/>
  <c r="Q6" i="3" s="1"/>
  <c r="Q103" i="3" s="1"/>
  <c r="R185" i="1"/>
  <c r="R6" i="3" s="1"/>
  <c r="R103" i="3" s="1"/>
  <c r="S185" i="1"/>
  <c r="S6" i="3" s="1"/>
  <c r="S103" i="3" s="1"/>
  <c r="P186" i="1"/>
  <c r="P7" i="3" s="1"/>
  <c r="P156" i="3" s="1"/>
  <c r="Q186" i="1"/>
  <c r="Q7" i="3" s="1"/>
  <c r="Q156" i="3" s="1"/>
  <c r="R186" i="1"/>
  <c r="R7" i="3" s="1"/>
  <c r="R156" i="3" s="1"/>
  <c r="S186" i="1"/>
  <c r="S7" i="3" s="1"/>
  <c r="S156" i="3" s="1"/>
  <c r="P187" i="1"/>
  <c r="P8" i="3" s="1"/>
  <c r="P107" i="3" s="1"/>
  <c r="Q187" i="1"/>
  <c r="Q8" i="3" s="1"/>
  <c r="Q107" i="3" s="1"/>
  <c r="R187" i="1"/>
  <c r="R8" i="3" s="1"/>
  <c r="R107" i="3" s="1"/>
  <c r="S187" i="1"/>
  <c r="S8" i="3" s="1"/>
  <c r="S107" i="3" s="1"/>
  <c r="P188" i="1"/>
  <c r="P9" i="3" s="1"/>
  <c r="Q188" i="1"/>
  <c r="Q9" i="3" s="1"/>
  <c r="R188" i="1"/>
  <c r="T12" i="2" s="1"/>
  <c r="S188" i="1"/>
  <c r="S9" i="3" s="1"/>
  <c r="V12" i="2"/>
  <c r="P193" i="1"/>
  <c r="Q193" i="1"/>
  <c r="R193" i="1"/>
  <c r="S193" i="1"/>
  <c r="S194" i="1" s="1"/>
  <c r="P195" i="1"/>
  <c r="P212" i="1" s="1"/>
  <c r="Q195" i="1"/>
  <c r="Q212" i="1" s="1"/>
  <c r="R195" i="1"/>
  <c r="R212" i="1" s="1"/>
  <c r="S195" i="1"/>
  <c r="S212" i="1" s="1"/>
  <c r="P196" i="1"/>
  <c r="P218" i="1" s="1"/>
  <c r="Q196" i="1"/>
  <c r="Q218" i="1" s="1"/>
  <c r="R196" i="1"/>
  <c r="R218" i="1" s="1"/>
  <c r="S196" i="1"/>
  <c r="S17" i="3" s="1"/>
  <c r="P197" i="1"/>
  <c r="Q197" i="1"/>
  <c r="Q214" i="1" s="1"/>
  <c r="Q35" i="3" s="1"/>
  <c r="R197" i="1"/>
  <c r="R18" i="3" s="1"/>
  <c r="S197" i="1"/>
  <c r="S214" i="1" s="1"/>
  <c r="S35" i="3" s="1"/>
  <c r="P198" i="1"/>
  <c r="Q198" i="1"/>
  <c r="Q199" i="1" s="1"/>
  <c r="R198" i="1"/>
  <c r="S198" i="1"/>
  <c r="P21" i="3"/>
  <c r="R21" i="3"/>
  <c r="S21" i="3"/>
  <c r="Q22" i="3"/>
  <c r="R22" i="3"/>
  <c r="P23" i="3"/>
  <c r="Q23" i="3"/>
  <c r="R23" i="3"/>
  <c r="S23" i="3"/>
  <c r="P203" i="1"/>
  <c r="P246" i="1" s="1"/>
  <c r="Q203" i="1"/>
  <c r="Q246" i="1" s="1"/>
  <c r="Q67" i="3" s="1"/>
  <c r="R203" i="1"/>
  <c r="R246" i="1" s="1"/>
  <c r="T27" i="2" s="1"/>
  <c r="S203" i="1"/>
  <c r="S24" i="3" s="1"/>
  <c r="P204" i="1"/>
  <c r="Q204" i="1"/>
  <c r="R204" i="1"/>
  <c r="S204" i="1"/>
  <c r="V28" i="2"/>
  <c r="P206" i="1"/>
  <c r="R26" i="2" s="1"/>
  <c r="Q206" i="1"/>
  <c r="Q27" i="3" s="1"/>
  <c r="Q146" i="3" s="1"/>
  <c r="Q169" i="3" s="1"/>
  <c r="R206" i="1"/>
  <c r="T26" i="2" s="1"/>
  <c r="S206" i="1"/>
  <c r="U26" i="2" s="1"/>
  <c r="P29" i="3"/>
  <c r="S11" i="2"/>
  <c r="R29" i="3"/>
  <c r="U11" i="2"/>
  <c r="V11" i="2"/>
  <c r="P216" i="1"/>
  <c r="P251" i="1" s="1"/>
  <c r="P74" i="3" s="1"/>
  <c r="Q216" i="1"/>
  <c r="Q251" i="1" s="1"/>
  <c r="R216" i="1"/>
  <c r="R251" i="1" s="1"/>
  <c r="R74" i="3" s="1"/>
  <c r="S216" i="1"/>
  <c r="S251" i="1" s="1"/>
  <c r="S74" i="3" s="1"/>
  <c r="P221" i="1"/>
  <c r="P42" i="3" s="1"/>
  <c r="Q221" i="1"/>
  <c r="Q42" i="3" s="1"/>
  <c r="R221" i="1"/>
  <c r="S221" i="1"/>
  <c r="P223" i="1"/>
  <c r="P44" i="3" s="1"/>
  <c r="Q223" i="1"/>
  <c r="Q44" i="3" s="1"/>
  <c r="R223" i="1"/>
  <c r="T13" i="2" s="1"/>
  <c r="S223" i="1"/>
  <c r="U13" i="2" s="1"/>
  <c r="P224" i="1"/>
  <c r="P45" i="3" s="1"/>
  <c r="Q224" i="1"/>
  <c r="Q45" i="3" s="1"/>
  <c r="R224" i="1"/>
  <c r="R45" i="3" s="1"/>
  <c r="S224" i="1"/>
  <c r="S45" i="3" s="1"/>
  <c r="V20" i="2"/>
  <c r="P248" i="1"/>
  <c r="P70" i="3" s="1"/>
  <c r="Q248" i="1"/>
  <c r="Q70" i="3" s="1"/>
  <c r="R248" i="1"/>
  <c r="R70" i="3" s="1"/>
  <c r="S248" i="1"/>
  <c r="S70" i="3" s="1"/>
  <c r="O70" i="3"/>
  <c r="Q21" i="2"/>
  <c r="Q20" i="2"/>
  <c r="O45" i="3"/>
  <c r="Q13" i="2"/>
  <c r="O42" i="3"/>
  <c r="Q11" i="2"/>
  <c r="O27" i="3"/>
  <c r="O146" i="3" s="1"/>
  <c r="O169" i="3" s="1"/>
  <c r="O23" i="3"/>
  <c r="O22" i="3"/>
  <c r="O21" i="3"/>
  <c r="O19" i="3"/>
  <c r="O18" i="3"/>
  <c r="O14" i="3"/>
  <c r="O9" i="3"/>
  <c r="O8" i="3"/>
  <c r="O107" i="3" s="1"/>
  <c r="O7" i="3"/>
  <c r="O156" i="3" s="1"/>
  <c r="O6" i="3"/>
  <c r="O103" i="3" s="1"/>
  <c r="AA3" i="2"/>
  <c r="O3" i="2"/>
  <c r="B3" i="2"/>
  <c r="X3" i="3"/>
  <c r="M3" i="3"/>
  <c r="X81" i="3"/>
  <c r="M81" i="3"/>
  <c r="X79" i="3"/>
  <c r="M79" i="3"/>
  <c r="M9" i="3"/>
  <c r="N9" i="3"/>
  <c r="X9" i="3"/>
  <c r="Y9" i="3"/>
  <c r="AD9" i="3"/>
  <c r="M14" i="3"/>
  <c r="M150" i="3" s="1"/>
  <c r="N14" i="3"/>
  <c r="N150" i="3" s="1"/>
  <c r="X14" i="3"/>
  <c r="X150" i="3" s="1"/>
  <c r="Y14" i="3"/>
  <c r="Y150" i="3" s="1"/>
  <c r="M16" i="3"/>
  <c r="M111" i="3" s="1"/>
  <c r="M122" i="3" s="1"/>
  <c r="M130" i="3" s="1"/>
  <c r="M138" i="3" s="1"/>
  <c r="N16" i="3"/>
  <c r="N111" i="3" s="1"/>
  <c r="N122" i="3" s="1"/>
  <c r="N130" i="3" s="1"/>
  <c r="N138" i="3" s="1"/>
  <c r="X16" i="3"/>
  <c r="X111" i="3" s="1"/>
  <c r="X122" i="3" s="1"/>
  <c r="X130" i="3" s="1"/>
  <c r="X138" i="3" s="1"/>
  <c r="Y16" i="3"/>
  <c r="Y111" i="3" s="1"/>
  <c r="Y122" i="3" s="1"/>
  <c r="Y130" i="3" s="1"/>
  <c r="Y138" i="3" s="1"/>
  <c r="M17" i="3"/>
  <c r="N17" i="3"/>
  <c r="X17" i="3"/>
  <c r="Y17" i="3"/>
  <c r="AC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AB23" i="3"/>
  <c r="AB92" i="3" s="1"/>
  <c r="AB94" i="3" s="1"/>
  <c r="M24" i="3"/>
  <c r="N24" i="3"/>
  <c r="X24" i="3"/>
  <c r="Y24" i="3"/>
  <c r="M25" i="3"/>
  <c r="N25" i="3"/>
  <c r="X25" i="3"/>
  <c r="Y25" i="3"/>
  <c r="Z25" i="3"/>
  <c r="M27" i="3"/>
  <c r="M146" i="3" s="1"/>
  <c r="N27" i="3"/>
  <c r="N146" i="3" s="1"/>
  <c r="X27" i="3"/>
  <c r="X146" i="3" s="1"/>
  <c r="Y27" i="3"/>
  <c r="Y146" i="3" s="1"/>
  <c r="AC27" i="3"/>
  <c r="AC146" i="3" s="1"/>
  <c r="AC169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2" i="3" s="1"/>
  <c r="N36" i="3"/>
  <c r="N132" i="3" s="1"/>
  <c r="X36" i="3"/>
  <c r="X132" i="3" s="1"/>
  <c r="Y36" i="3"/>
  <c r="Y132" i="3" s="1"/>
  <c r="M37" i="3"/>
  <c r="N37" i="3"/>
  <c r="X37" i="3"/>
  <c r="Y37" i="3"/>
  <c r="M38" i="3"/>
  <c r="N38" i="3"/>
  <c r="X38" i="3"/>
  <c r="Y38" i="3"/>
  <c r="M39" i="3"/>
  <c r="M124" i="3" s="1"/>
  <c r="N39" i="3"/>
  <c r="X39" i="3"/>
  <c r="X124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8" i="3" s="1"/>
  <c r="N57" i="3"/>
  <c r="N108" i="3" s="1"/>
  <c r="X57" i="3"/>
  <c r="X108" i="3" s="1"/>
  <c r="Y57" i="3"/>
  <c r="Y108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3" i="3" s="1"/>
  <c r="N61" i="3"/>
  <c r="N113" i="3" s="1"/>
  <c r="O61" i="3"/>
  <c r="O113" i="3" s="1"/>
  <c r="O115" i="3" s="1"/>
  <c r="X61" i="3"/>
  <c r="X113" i="3" s="1"/>
  <c r="Y61" i="3"/>
  <c r="Y113" i="3" s="1"/>
  <c r="AC61" i="3"/>
  <c r="AC113" i="3" s="1"/>
  <c r="AC115" i="3" s="1"/>
  <c r="M62" i="3"/>
  <c r="M140" i="3" s="1"/>
  <c r="N62" i="3"/>
  <c r="N140" i="3" s="1"/>
  <c r="X62" i="3"/>
  <c r="X140" i="3" s="1"/>
  <c r="Y62" i="3"/>
  <c r="Y140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O73" i="3"/>
  <c r="P73" i="3"/>
  <c r="Q73" i="3"/>
  <c r="R73" i="3"/>
  <c r="S73" i="3"/>
  <c r="X73" i="3"/>
  <c r="Y73" i="3"/>
  <c r="Z73" i="3"/>
  <c r="AA73" i="3"/>
  <c r="AB73" i="3"/>
  <c r="AC73" i="3"/>
  <c r="AD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D73" i="3"/>
  <c r="H73" i="3"/>
  <c r="I73" i="3"/>
  <c r="B9" i="3"/>
  <c r="C9" i="3"/>
  <c r="B14" i="3"/>
  <c r="B150" i="3" s="1"/>
  <c r="C14" i="3"/>
  <c r="C150" i="3" s="1"/>
  <c r="B15" i="3"/>
  <c r="B16" i="3"/>
  <c r="B111" i="3" s="1"/>
  <c r="B122" i="3" s="1"/>
  <c r="B130" i="3" s="1"/>
  <c r="B138" i="3" s="1"/>
  <c r="C16" i="3"/>
  <c r="C111" i="3" s="1"/>
  <c r="C122" i="3" s="1"/>
  <c r="C130" i="3" s="1"/>
  <c r="C138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6" i="3" s="1"/>
  <c r="J169" i="3" s="1"/>
  <c r="M169" i="3" s="1"/>
  <c r="C27" i="3"/>
  <c r="C146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2" i="3" s="1"/>
  <c r="C36" i="3"/>
  <c r="C132" i="3" s="1"/>
  <c r="B37" i="3"/>
  <c r="C37" i="3"/>
  <c r="B38" i="3"/>
  <c r="C38" i="3"/>
  <c r="B39" i="3"/>
  <c r="B124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8" i="3" s="1"/>
  <c r="D169" i="3" s="1"/>
  <c r="C57" i="3"/>
  <c r="C108" i="3" s="1"/>
  <c r="B58" i="3"/>
  <c r="C58" i="3"/>
  <c r="B59" i="3"/>
  <c r="C59" i="3"/>
  <c r="B60" i="3"/>
  <c r="C60" i="3"/>
  <c r="B61" i="3"/>
  <c r="B113" i="3" s="1"/>
  <c r="C61" i="3"/>
  <c r="C113" i="3" s="1"/>
  <c r="B62" i="3"/>
  <c r="B140" i="3" s="1"/>
  <c r="C62" i="3"/>
  <c r="C140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E73" i="3"/>
  <c r="F73" i="3"/>
  <c r="G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U15" i="2" s="1"/>
  <c r="V4" i="2"/>
  <c r="V15" i="2" s="1"/>
  <c r="AA4" i="2"/>
  <c r="AA15" i="2" s="1"/>
  <c r="AC4" i="2"/>
  <c r="AC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U5" i="2"/>
  <c r="U16" i="2" s="1"/>
  <c r="V5" i="2"/>
  <c r="V16" i="2" s="1"/>
  <c r="AA5" i="2"/>
  <c r="AA16" i="2" s="1"/>
  <c r="AC5" i="2"/>
  <c r="AC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U6" i="2"/>
  <c r="V6" i="2"/>
  <c r="AA6" i="2"/>
  <c r="AB6" i="2"/>
  <c r="AC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Q9" i="2"/>
  <c r="R9" i="2"/>
  <c r="S9" i="2"/>
  <c r="T9" i="2"/>
  <c r="U9" i="2"/>
  <c r="V9" i="2"/>
  <c r="AA9" i="2"/>
  <c r="AB9" i="2"/>
  <c r="AC9" i="2"/>
  <c r="AD9" i="2"/>
  <c r="AE9" i="2"/>
  <c r="AF9" i="2"/>
  <c r="AG9" i="2"/>
  <c r="O10" i="2"/>
  <c r="P10" i="2"/>
  <c r="Q10" i="2"/>
  <c r="R10" i="2"/>
  <c r="S10" i="2"/>
  <c r="T10" i="2"/>
  <c r="U10" i="2"/>
  <c r="V10" i="2"/>
  <c r="AA10" i="2"/>
  <c r="AB10" i="2"/>
  <c r="AC10" i="2"/>
  <c r="AD10" i="2"/>
  <c r="AE10" i="2"/>
  <c r="AF10" i="2"/>
  <c r="AG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AG26" i="2"/>
  <c r="AF26" i="2"/>
  <c r="AG12" i="2"/>
  <c r="Y8" i="3"/>
  <c r="Y107" i="3" s="1"/>
  <c r="V13" i="2"/>
  <c r="N8" i="3"/>
  <c r="N107" i="3" s="1"/>
  <c r="B185" i="1"/>
  <c r="D185" i="1"/>
  <c r="D6" i="3" s="1"/>
  <c r="D103" i="3" s="1"/>
  <c r="E185" i="1"/>
  <c r="E6" i="3" s="1"/>
  <c r="E103" i="3" s="1"/>
  <c r="F185" i="1"/>
  <c r="F6" i="3" s="1"/>
  <c r="F103" i="3" s="1"/>
  <c r="G185" i="1"/>
  <c r="G6" i="3" s="1"/>
  <c r="G103" i="3" s="1"/>
  <c r="H185" i="1"/>
  <c r="H6" i="3" s="1"/>
  <c r="H103" i="3" s="1"/>
  <c r="I185" i="1"/>
  <c r="I6" i="3" s="1"/>
  <c r="I103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7" i="3" s="1"/>
  <c r="D187" i="1"/>
  <c r="D8" i="3" s="1"/>
  <c r="D107" i="3" s="1"/>
  <c r="E187" i="1"/>
  <c r="E8" i="3" s="1"/>
  <c r="E107" i="3" s="1"/>
  <c r="F187" i="1"/>
  <c r="F8" i="3" s="1"/>
  <c r="F107" i="3" s="1"/>
  <c r="G187" i="1"/>
  <c r="G8" i="3" s="1"/>
  <c r="G107" i="3" s="1"/>
  <c r="H187" i="1"/>
  <c r="H8" i="3" s="1"/>
  <c r="H107" i="3" s="1"/>
  <c r="I187" i="1"/>
  <c r="I8" i="3" s="1"/>
  <c r="I107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9" i="3" s="1"/>
  <c r="C191" i="1"/>
  <c r="C12" i="3" s="1"/>
  <c r="C119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E195" i="1"/>
  <c r="E16" i="3" s="1"/>
  <c r="E111" i="3" s="1"/>
  <c r="F195" i="1"/>
  <c r="F16" i="3" s="1"/>
  <c r="F111" i="3" s="1"/>
  <c r="G195" i="1"/>
  <c r="G16" i="3" s="1"/>
  <c r="G111" i="3" s="1"/>
  <c r="H195" i="1"/>
  <c r="H16" i="3" s="1"/>
  <c r="H111" i="3" s="1"/>
  <c r="I195" i="1"/>
  <c r="I16" i="3" s="1"/>
  <c r="I111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H198" i="1"/>
  <c r="H199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6" i="3" s="1"/>
  <c r="E206" i="1"/>
  <c r="E27" i="3" s="1"/>
  <c r="E146" i="3" s="1"/>
  <c r="F206" i="1"/>
  <c r="F27" i="3" s="1"/>
  <c r="F146" i="3" s="1"/>
  <c r="G206" i="1"/>
  <c r="G27" i="3" s="1"/>
  <c r="G146" i="3" s="1"/>
  <c r="H206" i="1"/>
  <c r="H27" i="3" s="1"/>
  <c r="H146" i="3" s="1"/>
  <c r="I206" i="1"/>
  <c r="I27" i="3" s="1"/>
  <c r="I146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224" i="1"/>
  <c r="D45" i="3" s="1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4" i="3" s="1"/>
  <c r="H228" i="1"/>
  <c r="H49" i="3" s="1"/>
  <c r="I228" i="1"/>
  <c r="I49" i="3" s="1"/>
  <c r="E230" i="1"/>
  <c r="F230" i="1"/>
  <c r="G230" i="1"/>
  <c r="H230" i="1"/>
  <c r="H51" i="3" s="1"/>
  <c r="I230" i="1"/>
  <c r="I51" i="3" s="1"/>
  <c r="E231" i="1"/>
  <c r="E52" i="3" s="1"/>
  <c r="F231" i="1"/>
  <c r="F52" i="3" s="1"/>
  <c r="G231" i="1"/>
  <c r="G52" i="3" s="1"/>
  <c r="H231" i="1"/>
  <c r="H52" i="3" s="1"/>
  <c r="I231" i="1"/>
  <c r="I52" i="3" s="1"/>
  <c r="E237" i="1"/>
  <c r="F55" i="3"/>
  <c r="G235" i="1"/>
  <c r="H235" i="1"/>
  <c r="I235" i="1"/>
  <c r="I61" i="3"/>
  <c r="I113" i="3" s="1"/>
  <c r="I62" i="3"/>
  <c r="I140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231" i="1"/>
  <c r="D52" i="3" s="1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Z16" i="3" l="1"/>
  <c r="Z111" i="3" s="1"/>
  <c r="Z114" i="3" s="1"/>
  <c r="S211" i="1"/>
  <c r="S15" i="3"/>
  <c r="AC211" i="1"/>
  <c r="AC32" i="3" s="1"/>
  <c r="AC15" i="3"/>
  <c r="Q213" i="1"/>
  <c r="Q34" i="3" s="1"/>
  <c r="Q20" i="3"/>
  <c r="H213" i="1"/>
  <c r="H34" i="3" s="1"/>
  <c r="H20" i="3"/>
  <c r="G213" i="1"/>
  <c r="G20" i="3"/>
  <c r="C170" i="3" a="1"/>
  <c r="J170" i="3" a="1"/>
  <c r="AG90" i="3"/>
  <c r="AG104" i="3"/>
  <c r="AF90" i="3"/>
  <c r="AF104" i="3"/>
  <c r="AH90" i="3"/>
  <c r="AH104" i="3"/>
  <c r="AI90" i="3"/>
  <c r="AI104" i="3"/>
  <c r="AE90" i="3"/>
  <c r="AE104" i="3"/>
  <c r="I114" i="3"/>
  <c r="I122" i="3"/>
  <c r="Z115" i="3"/>
  <c r="Z98" i="3"/>
  <c r="Z99" i="3" s="1"/>
  <c r="Z100" i="3" s="1"/>
  <c r="Z107" i="3"/>
  <c r="H122" i="3"/>
  <c r="I142" i="3"/>
  <c r="G122" i="3"/>
  <c r="AD98" i="3"/>
  <c r="AD99" i="3" s="1"/>
  <c r="AD100" i="3" s="1"/>
  <c r="AD107" i="3"/>
  <c r="I115" i="3"/>
  <c r="F122" i="3"/>
  <c r="O150" i="3"/>
  <c r="AD122" i="3"/>
  <c r="AD114" i="3"/>
  <c r="AC98" i="3"/>
  <c r="AC99" i="3" s="1"/>
  <c r="AC100" i="3" s="1"/>
  <c r="AC107" i="3"/>
  <c r="E122" i="3"/>
  <c r="AD115" i="3"/>
  <c r="AB98" i="3"/>
  <c r="AB99" i="3" s="1"/>
  <c r="AB100" i="3" s="1"/>
  <c r="AB107" i="3"/>
  <c r="AA98" i="3"/>
  <c r="AA99" i="3" s="1"/>
  <c r="AA100" i="3" s="1"/>
  <c r="AA107" i="3"/>
  <c r="G205" i="1"/>
  <c r="F205" i="1"/>
  <c r="AD205" i="1"/>
  <c r="E205" i="1"/>
  <c r="AC205" i="1"/>
  <c r="Q205" i="1"/>
  <c r="Z205" i="1"/>
  <c r="I205" i="1"/>
  <c r="H205" i="1"/>
  <c r="AA19" i="3"/>
  <c r="AA199" i="1"/>
  <c r="S205" i="1"/>
  <c r="Z19" i="3"/>
  <c r="Z199" i="1"/>
  <c r="AD14" i="3"/>
  <c r="AD194" i="1"/>
  <c r="R205" i="1"/>
  <c r="S19" i="3"/>
  <c r="S199" i="1"/>
  <c r="AB205" i="1"/>
  <c r="R19" i="3"/>
  <c r="R199" i="1"/>
  <c r="R14" i="3"/>
  <c r="R194" i="1"/>
  <c r="AA205" i="1"/>
  <c r="AB14" i="3"/>
  <c r="AB194" i="1"/>
  <c r="AB19" i="3"/>
  <c r="AB199" i="1"/>
  <c r="P205" i="1"/>
  <c r="Q14" i="3"/>
  <c r="Q194" i="1"/>
  <c r="AA14" i="3"/>
  <c r="AA194" i="1"/>
  <c r="P19" i="3"/>
  <c r="P199" i="1"/>
  <c r="P14" i="3"/>
  <c r="P194" i="1"/>
  <c r="AD19" i="3"/>
  <c r="AD199" i="1"/>
  <c r="Z14" i="3"/>
  <c r="Z194" i="1"/>
  <c r="AC19" i="3"/>
  <c r="AC199" i="1"/>
  <c r="Z84" i="3"/>
  <c r="C5" i="11" a="1"/>
  <c r="AC84" i="3"/>
  <c r="AB84" i="3"/>
  <c r="I19" i="3"/>
  <c r="I92" i="3" s="1"/>
  <c r="I199" i="1"/>
  <c r="I14" i="3"/>
  <c r="I194" i="1"/>
  <c r="G34" i="3"/>
  <c r="P214" i="1"/>
  <c r="P35" i="3" s="1"/>
  <c r="G14" i="3"/>
  <c r="G194" i="1"/>
  <c r="H14" i="3"/>
  <c r="H194" i="1"/>
  <c r="F19" i="3"/>
  <c r="F92" i="3" s="1"/>
  <c r="F199" i="1"/>
  <c r="F14" i="3"/>
  <c r="F194" i="1"/>
  <c r="E19" i="3"/>
  <c r="E92" i="3" s="1"/>
  <c r="E199" i="1"/>
  <c r="E20" i="3" s="1"/>
  <c r="E14" i="3"/>
  <c r="E194" i="1"/>
  <c r="G90" i="3"/>
  <c r="D19" i="3"/>
  <c r="D92" i="3" s="1"/>
  <c r="D199" i="1"/>
  <c r="D20" i="3" s="1"/>
  <c r="D14" i="3"/>
  <c r="D194" i="1"/>
  <c r="D15" i="3" s="1"/>
  <c r="AH54" i="3"/>
  <c r="AK19" i="2"/>
  <c r="AE54" i="3"/>
  <c r="AH19" i="2"/>
  <c r="AF54" i="3"/>
  <c r="AI19" i="2"/>
  <c r="O92" i="3"/>
  <c r="O94" i="3" s="1"/>
  <c r="S92" i="3"/>
  <c r="S94" i="3" s="1"/>
  <c r="Q92" i="3"/>
  <c r="Q94" i="3" s="1"/>
  <c r="P92" i="3"/>
  <c r="P94" i="3" s="1"/>
  <c r="R92" i="3"/>
  <c r="R94" i="3" s="1"/>
  <c r="AI54" i="3"/>
  <c r="AL19" i="2"/>
  <c r="AG54" i="3"/>
  <c r="AJ19" i="2"/>
  <c r="AE238" i="1"/>
  <c r="AE59" i="3" s="1"/>
  <c r="AE58" i="3"/>
  <c r="E61" i="3"/>
  <c r="E113" i="3" s="1"/>
  <c r="E115" i="3" s="1"/>
  <c r="E62" i="3"/>
  <c r="E140" i="3" s="1"/>
  <c r="E142" i="3" s="1"/>
  <c r="T21" i="2"/>
  <c r="R61" i="3"/>
  <c r="R113" i="3" s="1"/>
  <c r="AI236" i="1"/>
  <c r="AI56" i="3"/>
  <c r="AE236" i="1"/>
  <c r="AE56" i="3"/>
  <c r="AG56" i="3"/>
  <c r="AG236" i="1"/>
  <c r="H25" i="3"/>
  <c r="P62" i="3"/>
  <c r="P140" i="3" s="1"/>
  <c r="P142" i="3" s="1"/>
  <c r="P61" i="3"/>
  <c r="P113" i="3" s="1"/>
  <c r="AF56" i="3"/>
  <c r="AF236" i="1"/>
  <c r="AG238" i="1"/>
  <c r="AG59" i="3" s="1"/>
  <c r="AG58" i="3"/>
  <c r="G25" i="3"/>
  <c r="AG49" i="3"/>
  <c r="AG229" i="1"/>
  <c r="AG50" i="3" s="1"/>
  <c r="AF49" i="3"/>
  <c r="AF229" i="1"/>
  <c r="AF50" i="3" s="1"/>
  <c r="AH58" i="3"/>
  <c r="AH238" i="1"/>
  <c r="AH59" i="3" s="1"/>
  <c r="AE49" i="3"/>
  <c r="AE229" i="1"/>
  <c r="AE50" i="3" s="1"/>
  <c r="F25" i="3"/>
  <c r="AF238" i="1"/>
  <c r="AF59" i="3" s="1"/>
  <c r="AF58" i="3"/>
  <c r="Q61" i="3"/>
  <c r="Q113" i="3" s="1"/>
  <c r="Q62" i="3"/>
  <c r="Q140" i="3" s="1"/>
  <c r="E25" i="3"/>
  <c r="H61" i="3"/>
  <c r="H113" i="3" s="1"/>
  <c r="H115" i="3" s="1"/>
  <c r="H62" i="3"/>
  <c r="H140" i="3" s="1"/>
  <c r="H142" i="3" s="1"/>
  <c r="AF12" i="2"/>
  <c r="AI229" i="1"/>
  <c r="AI50" i="3" s="1"/>
  <c r="AI49" i="3"/>
  <c r="AH56" i="3"/>
  <c r="AH236" i="1"/>
  <c r="D25" i="3"/>
  <c r="D65" i="3"/>
  <c r="G62" i="3"/>
  <c r="G140" i="3" s="1"/>
  <c r="G142" i="3" s="1"/>
  <c r="G61" i="3"/>
  <c r="G113" i="3" s="1"/>
  <c r="G115" i="3" s="1"/>
  <c r="AI58" i="3"/>
  <c r="AI238" i="1"/>
  <c r="AI59" i="3" s="1"/>
  <c r="D62" i="3"/>
  <c r="D140" i="3" s="1"/>
  <c r="D61" i="3"/>
  <c r="D113" i="3" s="1"/>
  <c r="D115" i="3" s="1"/>
  <c r="F61" i="3"/>
  <c r="F113" i="3" s="1"/>
  <c r="F62" i="3"/>
  <c r="F140" i="3" s="1"/>
  <c r="U20" i="2"/>
  <c r="S62" i="3"/>
  <c r="S140" i="3" s="1"/>
  <c r="AH49" i="3"/>
  <c r="AH229" i="1"/>
  <c r="AH50" i="3" s="1"/>
  <c r="AD25" i="3"/>
  <c r="AC25" i="3"/>
  <c r="I84" i="3"/>
  <c r="B6" i="3"/>
  <c r="B103" i="3" s="1"/>
  <c r="M185" i="1"/>
  <c r="M6" i="3" s="1"/>
  <c r="M103" i="3" s="1"/>
  <c r="X185" i="1"/>
  <c r="X6" i="3" s="1"/>
  <c r="X103" i="3" s="1"/>
  <c r="B8" i="3"/>
  <c r="B107" i="3" s="1"/>
  <c r="X187" i="1"/>
  <c r="X8" i="3" s="1"/>
  <c r="X107" i="3" s="1"/>
  <c r="M187" i="1"/>
  <c r="M8" i="3" s="1"/>
  <c r="M107" i="3" s="1"/>
  <c r="B7" i="3"/>
  <c r="X186" i="1"/>
  <c r="X7" i="3" s="1"/>
  <c r="M186" i="1"/>
  <c r="M7" i="3" s="1"/>
  <c r="AG20" i="2"/>
  <c r="AD24" i="3"/>
  <c r="AB17" i="3"/>
  <c r="F218" i="1"/>
  <c r="H25" i="2" s="1"/>
  <c r="AD86" i="3"/>
  <c r="F25" i="2"/>
  <c r="D39" i="3"/>
  <c r="D124" i="3" s="1"/>
  <c r="O37" i="3"/>
  <c r="R27" i="3"/>
  <c r="R146" i="3" s="1"/>
  <c r="R169" i="3" s="1"/>
  <c r="AA38" i="3"/>
  <c r="AD37" i="3"/>
  <c r="H218" i="1"/>
  <c r="H39" i="3" s="1"/>
  <c r="H124" i="3" s="1"/>
  <c r="Q25" i="3"/>
  <c r="R37" i="3"/>
  <c r="V26" i="2"/>
  <c r="Q16" i="3"/>
  <c r="Q111" i="3" s="1"/>
  <c r="Q29" i="3"/>
  <c r="Q18" i="3"/>
  <c r="AF11" i="2"/>
  <c r="S25" i="3"/>
  <c r="Z222" i="1"/>
  <c r="Z43" i="3" s="1"/>
  <c r="U12" i="2"/>
  <c r="P37" i="3"/>
  <c r="AD17" i="3"/>
  <c r="AB16" i="3"/>
  <c r="AB111" i="3" s="1"/>
  <c r="R21" i="2"/>
  <c r="AA16" i="3"/>
  <c r="AA111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6" i="3" s="1"/>
  <c r="S169" i="3" s="1"/>
  <c r="S32" i="3"/>
  <c r="R11" i="2"/>
  <c r="P18" i="3"/>
  <c r="S13" i="2"/>
  <c r="R16" i="3"/>
  <c r="R111" i="3" s="1"/>
  <c r="R25" i="3"/>
  <c r="T8" i="2"/>
  <c r="R33" i="3"/>
  <c r="R27" i="2"/>
  <c r="P67" i="3"/>
  <c r="AC13" i="2"/>
  <c r="AD222" i="1"/>
  <c r="AD43" i="3" s="1"/>
  <c r="Q12" i="2"/>
  <c r="Z27" i="3"/>
  <c r="Z146" i="3" s="1"/>
  <c r="Z169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1" i="3" s="1"/>
  <c r="S122" i="3" s="1"/>
  <c r="V21" i="2"/>
  <c r="S44" i="3"/>
  <c r="R44" i="3"/>
  <c r="F36" i="3"/>
  <c r="O44" i="3"/>
  <c r="D38" i="3"/>
  <c r="O17" i="3"/>
  <c r="AB37" i="3"/>
  <c r="R39" i="3"/>
  <c r="R124" i="3" s="1"/>
  <c r="T25" i="2"/>
  <c r="O25" i="3"/>
  <c r="O16" i="3"/>
  <c r="O111" i="3" s="1"/>
  <c r="S222" i="1"/>
  <c r="S43" i="3" s="1"/>
  <c r="O62" i="3"/>
  <c r="Q222" i="1"/>
  <c r="Q43" i="3" s="1"/>
  <c r="E36" i="3"/>
  <c r="R13" i="2"/>
  <c r="S37" i="3"/>
  <c r="AB222" i="1"/>
  <c r="AB43" i="3" s="1"/>
  <c r="R222" i="1"/>
  <c r="R43" i="3" s="1"/>
  <c r="P38" i="3"/>
  <c r="E238" i="1"/>
  <c r="E59" i="3" s="1"/>
  <c r="AC21" i="2"/>
  <c r="AF25" i="2"/>
  <c r="AC39" i="3"/>
  <c r="AC124" i="3" s="1"/>
  <c r="Z249" i="1"/>
  <c r="Z71" i="3" s="1"/>
  <c r="Z72" i="3" s="1"/>
  <c r="Z33" i="3"/>
  <c r="AC8" i="2"/>
  <c r="AB67" i="3"/>
  <c r="AE27" i="2"/>
  <c r="F222" i="1"/>
  <c r="F43" i="3" s="1"/>
  <c r="R12" i="2"/>
  <c r="T11" i="2"/>
  <c r="AD20" i="2"/>
  <c r="S29" i="3"/>
  <c r="AE20" i="2"/>
  <c r="S22" i="3"/>
  <c r="R214" i="1"/>
  <c r="R35" i="3" s="1"/>
  <c r="AD62" i="3"/>
  <c r="R24" i="3"/>
  <c r="Q24" i="3"/>
  <c r="AA251" i="1"/>
  <c r="AA74" i="3" s="1"/>
  <c r="S8" i="2"/>
  <c r="Q33" i="3"/>
  <c r="AD67" i="3"/>
  <c r="AG27" i="2"/>
  <c r="Z39" i="3"/>
  <c r="Z124" i="3" s="1"/>
  <c r="Z126" i="3" s="1"/>
  <c r="AC25" i="2"/>
  <c r="P36" i="3"/>
  <c r="P132" i="3" s="1"/>
  <c r="P134" i="3" s="1"/>
  <c r="H246" i="1"/>
  <c r="H67" i="3" s="1"/>
  <c r="F233" i="1"/>
  <c r="I214" i="1"/>
  <c r="I35" i="3" s="1"/>
  <c r="S42" i="3"/>
  <c r="Q252" i="1"/>
  <c r="Q75" i="3" s="1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G38" i="3"/>
  <c r="E212" i="1"/>
  <c r="E33" i="3" s="1"/>
  <c r="Q38" i="3"/>
  <c r="AA222" i="1"/>
  <c r="AA43" i="3" s="1"/>
  <c r="V25" i="2"/>
  <c r="V8" i="2"/>
  <c r="R252" i="1"/>
  <c r="R75" i="3" s="1"/>
  <c r="R237" i="1"/>
  <c r="R58" i="3" s="1"/>
  <c r="H237" i="1"/>
  <c r="H238" i="1" s="1"/>
  <c r="H59" i="3" s="1"/>
  <c r="Q231" i="1"/>
  <c r="Q52" i="3" s="1"/>
  <c r="S27" i="2"/>
  <c r="R20" i="2"/>
  <c r="Z21" i="3"/>
  <c r="S17" i="2"/>
  <c r="Q36" i="3"/>
  <c r="Q132" i="3" s="1"/>
  <c r="AC246" i="1"/>
  <c r="AC67" i="3" s="1"/>
  <c r="Z56" i="3"/>
  <c r="E251" i="1"/>
  <c r="E74" i="3" s="1"/>
  <c r="S218" i="1"/>
  <c r="AD230" i="1"/>
  <c r="AD233" i="1" s="1"/>
  <c r="D214" i="1"/>
  <c r="D35" i="3" s="1"/>
  <c r="AB29" i="3"/>
  <c r="R38" i="3"/>
  <c r="AA48" i="3"/>
  <c r="H36" i="3"/>
  <c r="P25" i="3"/>
  <c r="P16" i="3"/>
  <c r="P111" i="3" s="1"/>
  <c r="Q19" i="3"/>
  <c r="S246" i="1"/>
  <c r="S67" i="3" s="1"/>
  <c r="P39" i="3"/>
  <c r="P124" i="3" s="1"/>
  <c r="P126" i="3" s="1"/>
  <c r="R25" i="2"/>
  <c r="Q25" i="2"/>
  <c r="O39" i="3"/>
  <c r="O124" i="3" s="1"/>
  <c r="O126" i="3" s="1"/>
  <c r="V27" i="2"/>
  <c r="P27" i="3"/>
  <c r="P146" i="3" s="1"/>
  <c r="P169" i="3" s="1"/>
  <c r="Q21" i="3"/>
  <c r="O34" i="3"/>
  <c r="O35" i="3"/>
  <c r="S18" i="2"/>
  <c r="P231" i="1"/>
  <c r="P52" i="3" s="1"/>
  <c r="R17" i="2"/>
  <c r="AC230" i="1"/>
  <c r="AF21" i="2"/>
  <c r="S61" i="3"/>
  <c r="S113" i="3" s="1"/>
  <c r="R42" i="3"/>
  <c r="W41" i="3"/>
  <c r="O52" i="3"/>
  <c r="R18" i="2"/>
  <c r="AB230" i="1"/>
  <c r="AA36" i="3"/>
  <c r="AA132" i="3" s="1"/>
  <c r="AA134" i="3" s="1"/>
  <c r="AC37" i="3"/>
  <c r="S18" i="3"/>
  <c r="P17" i="3"/>
  <c r="O38" i="3"/>
  <c r="Q18" i="2"/>
  <c r="S230" i="1"/>
  <c r="AD231" i="1"/>
  <c r="AD52" i="3" s="1"/>
  <c r="AA230" i="1"/>
  <c r="AA51" i="3" s="1"/>
  <c r="F235" i="1"/>
  <c r="F56" i="3" s="1"/>
  <c r="I251" i="1"/>
  <c r="I74" i="3" s="1"/>
  <c r="O29" i="3"/>
  <c r="O43" i="3"/>
  <c r="R230" i="1"/>
  <c r="AD55" i="3"/>
  <c r="AC231" i="1"/>
  <c r="AC52" i="3" s="1"/>
  <c r="Z230" i="1"/>
  <c r="Z233" i="1" s="1"/>
  <c r="Z232" i="1" s="1"/>
  <c r="Z53" i="3" s="1"/>
  <c r="AC38" i="3"/>
  <c r="AC36" i="3"/>
  <c r="AC20" i="2"/>
  <c r="H251" i="1"/>
  <c r="H74" i="3" s="1"/>
  <c r="O32" i="3"/>
  <c r="Q230" i="1"/>
  <c r="V17" i="2"/>
  <c r="AC235" i="1"/>
  <c r="AB231" i="1"/>
  <c r="AB52" i="3" s="1"/>
  <c r="S12" i="2"/>
  <c r="G251" i="1"/>
  <c r="G74" i="3" s="1"/>
  <c r="V18" i="2"/>
  <c r="S231" i="1"/>
  <c r="S52" i="3" s="1"/>
  <c r="P230" i="1"/>
  <c r="S228" i="1"/>
  <c r="S49" i="3" s="1"/>
  <c r="AA231" i="1"/>
  <c r="AA52" i="3" s="1"/>
  <c r="AC48" i="3"/>
  <c r="F251" i="1"/>
  <c r="F74" i="3" s="1"/>
  <c r="Q74" i="3"/>
  <c r="AC16" i="3"/>
  <c r="AC111" i="3" s="1"/>
  <c r="W47" i="3"/>
  <c r="Q17" i="2"/>
  <c r="U18" i="2"/>
  <c r="R231" i="1"/>
  <c r="R52" i="3" s="1"/>
  <c r="AD18" i="2"/>
  <c r="Z231" i="1"/>
  <c r="Z52" i="3" s="1"/>
  <c r="AB48" i="3"/>
  <c r="AD36" i="3"/>
  <c r="AD132" i="3" s="1"/>
  <c r="AD134" i="3" s="1"/>
  <c r="R67" i="3"/>
  <c r="M41" i="3"/>
  <c r="M5" i="3"/>
  <c r="X47" i="3"/>
  <c r="L64" i="3"/>
  <c r="M31" i="3"/>
  <c r="M64" i="3"/>
  <c r="Z252" i="1"/>
  <c r="Z75" i="3" s="1"/>
  <c r="AD38" i="3"/>
  <c r="AD27" i="2"/>
  <c r="AA67" i="3"/>
  <c r="Z36" i="3"/>
  <c r="Z132" i="3" s="1"/>
  <c r="Z134" i="3" s="1"/>
  <c r="AC249" i="1"/>
  <c r="AC71" i="3" s="1"/>
  <c r="AC72" i="3" s="1"/>
  <c r="AF8" i="2"/>
  <c r="AC33" i="3"/>
  <c r="AC252" i="1"/>
  <c r="AC253" i="1" s="1"/>
  <c r="AC76" i="3" s="1"/>
  <c r="Z67" i="3"/>
  <c r="AC27" i="2"/>
  <c r="AA214" i="1"/>
  <c r="AA35" i="3" s="1"/>
  <c r="AA29" i="3"/>
  <c r="Z251" i="1"/>
  <c r="AB38" i="3"/>
  <c r="AF13" i="2"/>
  <c r="AB74" i="3"/>
  <c r="AD42" i="3"/>
  <c r="AB252" i="1"/>
  <c r="AB254" i="1" s="1"/>
  <c r="AB77" i="3" s="1"/>
  <c r="AG13" i="2"/>
  <c r="AC42" i="3"/>
  <c r="AB18" i="3"/>
  <c r="AA252" i="1"/>
  <c r="AA75" i="3" s="1"/>
  <c r="AC12" i="2"/>
  <c r="AA33" i="3"/>
  <c r="AA24" i="3"/>
  <c r="AB249" i="1"/>
  <c r="AB71" i="3" s="1"/>
  <c r="AB72" i="3" s="1"/>
  <c r="Z24" i="3"/>
  <c r="AD212" i="1"/>
  <c r="AB39" i="3"/>
  <c r="AB124" i="3" s="1"/>
  <c r="AE25" i="2"/>
  <c r="AD25" i="2"/>
  <c r="AA39" i="3"/>
  <c r="AA124" i="3" s="1"/>
  <c r="AD29" i="3"/>
  <c r="Z23" i="3"/>
  <c r="Z92" i="3" s="1"/>
  <c r="Z94" i="3" s="1"/>
  <c r="AD18" i="3"/>
  <c r="AA27" i="3"/>
  <c r="AA146" i="3" s="1"/>
  <c r="AA169" i="3" s="1"/>
  <c r="AA17" i="3"/>
  <c r="AE21" i="2"/>
  <c r="AC14" i="3"/>
  <c r="AG25" i="2"/>
  <c r="AA249" i="1"/>
  <c r="AA71" i="3" s="1"/>
  <c r="AA72" i="3" s="1"/>
  <c r="AE12" i="2"/>
  <c r="S25" i="2"/>
  <c r="Q39" i="3"/>
  <c r="Q124" i="3" s="1"/>
  <c r="Q126" i="3" s="1"/>
  <c r="S249" i="1"/>
  <c r="S71" i="3" s="1"/>
  <c r="S72" i="3" s="1"/>
  <c r="S252" i="1"/>
  <c r="S33" i="3"/>
  <c r="P249" i="1"/>
  <c r="P71" i="3" s="1"/>
  <c r="P72" i="3" s="1"/>
  <c r="R8" i="2"/>
  <c r="P252" i="1"/>
  <c r="P33" i="3"/>
  <c r="R9" i="3"/>
  <c r="Q17" i="3"/>
  <c r="R249" i="1"/>
  <c r="R71" i="3" s="1"/>
  <c r="R72" i="3" s="1"/>
  <c r="P222" i="1"/>
  <c r="P43" i="3" s="1"/>
  <c r="S26" i="2"/>
  <c r="Q249" i="1"/>
  <c r="Q71" i="3" s="1"/>
  <c r="Q72" i="3" s="1"/>
  <c r="S14" i="3"/>
  <c r="O74" i="3"/>
  <c r="O67" i="3"/>
  <c r="Q27" i="2"/>
  <c r="O75" i="3"/>
  <c r="O33" i="3"/>
  <c r="O71" i="3"/>
  <c r="O72" i="3" s="1"/>
  <c r="O65" i="3"/>
  <c r="Q28" i="2"/>
  <c r="Z42" i="3"/>
  <c r="U8" i="2"/>
  <c r="AE8" i="2"/>
  <c r="Q8" i="2"/>
  <c r="I218" i="1"/>
  <c r="E222" i="1"/>
  <c r="E43" i="3" s="1"/>
  <c r="D43" i="3"/>
  <c r="H212" i="1"/>
  <c r="F246" i="1"/>
  <c r="F67" i="3" s="1"/>
  <c r="G212" i="1"/>
  <c r="E246" i="1"/>
  <c r="E67" i="3" s="1"/>
  <c r="E233" i="1"/>
  <c r="H38" i="3"/>
  <c r="D251" i="1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I36" i="3"/>
  <c r="H56" i="3"/>
  <c r="G56" i="3"/>
  <c r="D252" i="1"/>
  <c r="D33" i="3"/>
  <c r="G24" i="3"/>
  <c r="G19" i="3"/>
  <c r="G92" i="3" s="1"/>
  <c r="E18" i="3"/>
  <c r="I55" i="3"/>
  <c r="G228" i="1"/>
  <c r="I212" i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F39" i="3"/>
  <c r="F124" i="3" s="1"/>
  <c r="D16" i="3"/>
  <c r="D111" i="3" s="1"/>
  <c r="H48" i="3"/>
  <c r="H42" i="3"/>
  <c r="H19" i="3"/>
  <c r="H92" i="3" s="1"/>
  <c r="AG23" i="2"/>
  <c r="F49" i="3"/>
  <c r="E42" i="3"/>
  <c r="E39" i="3"/>
  <c r="E124" i="3" s="1"/>
  <c r="G36" i="3"/>
  <c r="G132" i="3" s="1"/>
  <c r="E17" i="3"/>
  <c r="I56" i="3"/>
  <c r="D230" i="1"/>
  <c r="D249" i="1"/>
  <c r="D71" i="3" s="1"/>
  <c r="D72" i="3" s="1"/>
  <c r="Q23" i="2"/>
  <c r="I38" i="3"/>
  <c r="G222" i="1"/>
  <c r="G43" i="3" s="1"/>
  <c r="E49" i="3"/>
  <c r="F23" i="3"/>
  <c r="D17" i="3"/>
  <c r="AF23" i="2"/>
  <c r="AE26" i="2"/>
  <c r="AE23" i="2"/>
  <c r="AD23" i="2"/>
  <c r="AC23" i="2"/>
  <c r="R23" i="2"/>
  <c r="V23" i="2"/>
  <c r="U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9" i="2"/>
  <c r="H9" i="2"/>
  <c r="I9" i="2"/>
  <c r="J9" i="2"/>
  <c r="K9" i="2"/>
  <c r="G10" i="2"/>
  <c r="H10" i="2"/>
  <c r="I10" i="2"/>
  <c r="J10" i="2"/>
  <c r="K10" i="2"/>
  <c r="F10" i="2"/>
  <c r="F9" i="2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Z122" i="3" l="1"/>
  <c r="R26" i="3"/>
  <c r="R244" i="1"/>
  <c r="AD213" i="1"/>
  <c r="AD34" i="3" s="1"/>
  <c r="AD20" i="3"/>
  <c r="Q211" i="1"/>
  <c r="Q32" i="3" s="1"/>
  <c r="Q15" i="3"/>
  <c r="R211" i="1"/>
  <c r="R32" i="3" s="1"/>
  <c r="R15" i="3"/>
  <c r="AD211" i="1"/>
  <c r="AD32" i="3" s="1"/>
  <c r="AD15" i="3"/>
  <c r="Z26" i="3"/>
  <c r="Z244" i="1"/>
  <c r="Z65" i="3" s="1"/>
  <c r="P211" i="1"/>
  <c r="P32" i="3" s="1"/>
  <c r="P15" i="3"/>
  <c r="P26" i="3"/>
  <c r="P244" i="1"/>
  <c r="P245" i="1" s="1"/>
  <c r="P66" i="3" s="1"/>
  <c r="R213" i="1"/>
  <c r="R34" i="3" s="1"/>
  <c r="R20" i="3"/>
  <c r="Z213" i="1"/>
  <c r="Z34" i="3" s="1"/>
  <c r="Z20" i="3"/>
  <c r="Q26" i="3"/>
  <c r="Q244" i="1"/>
  <c r="AB213" i="1"/>
  <c r="AB34" i="3" s="1"/>
  <c r="AB20" i="3"/>
  <c r="AC26" i="3"/>
  <c r="AC244" i="1"/>
  <c r="AA26" i="3"/>
  <c r="AA244" i="1"/>
  <c r="AC213" i="1"/>
  <c r="AC34" i="3" s="1"/>
  <c r="AC20" i="3"/>
  <c r="P213" i="1"/>
  <c r="P34" i="3" s="1"/>
  <c r="P20" i="3"/>
  <c r="AB26" i="3"/>
  <c r="AB244" i="1"/>
  <c r="S26" i="3"/>
  <c r="S244" i="1"/>
  <c r="I116" i="3"/>
  <c r="AB211" i="1"/>
  <c r="AB32" i="3" s="1"/>
  <c r="AB15" i="3"/>
  <c r="S213" i="1"/>
  <c r="S34" i="3" s="1"/>
  <c r="S20" i="3"/>
  <c r="AA213" i="1"/>
  <c r="AA34" i="3" s="1"/>
  <c r="AA20" i="3"/>
  <c r="AD26" i="3"/>
  <c r="AD244" i="1"/>
  <c r="Z211" i="1"/>
  <c r="Z32" i="3" s="1"/>
  <c r="Z15" i="3"/>
  <c r="AA211" i="1"/>
  <c r="AA32" i="3" s="1"/>
  <c r="AA15" i="3"/>
  <c r="E26" i="3"/>
  <c r="E244" i="1"/>
  <c r="E65" i="3" s="1"/>
  <c r="F211" i="1"/>
  <c r="F32" i="3" s="1"/>
  <c r="F15" i="3"/>
  <c r="I211" i="1"/>
  <c r="I32" i="3" s="1"/>
  <c r="I15" i="3"/>
  <c r="E211" i="1"/>
  <c r="E32" i="3" s="1"/>
  <c r="E15" i="3"/>
  <c r="H211" i="1"/>
  <c r="H32" i="3" s="1"/>
  <c r="H15" i="3"/>
  <c r="I213" i="1"/>
  <c r="I34" i="3" s="1"/>
  <c r="I20" i="3"/>
  <c r="F26" i="3"/>
  <c r="F244" i="1"/>
  <c r="F65" i="3" s="1"/>
  <c r="F213" i="1"/>
  <c r="F34" i="3" s="1"/>
  <c r="F69" i="3" s="1"/>
  <c r="F86" i="3" s="1"/>
  <c r="F20" i="3"/>
  <c r="H26" i="3"/>
  <c r="H244" i="1"/>
  <c r="H65" i="3" s="1"/>
  <c r="G26" i="3"/>
  <c r="G244" i="1"/>
  <c r="G65" i="3" s="1"/>
  <c r="G211" i="1"/>
  <c r="G32" i="3" s="1"/>
  <c r="G15" i="3"/>
  <c r="I26" i="3"/>
  <c r="I244" i="1"/>
  <c r="J170" i="3"/>
  <c r="J172" i="3"/>
  <c r="J175" i="3"/>
  <c r="J174" i="3"/>
  <c r="J173" i="3"/>
  <c r="J171" i="3"/>
  <c r="Z116" i="3"/>
  <c r="Z157" i="3" s="1"/>
  <c r="C171" i="3"/>
  <c r="C175" i="3"/>
  <c r="C170" i="3"/>
  <c r="C174" i="3"/>
  <c r="C172" i="3"/>
  <c r="C173" i="3"/>
  <c r="AD116" i="3"/>
  <c r="AD157" i="3" s="1"/>
  <c r="I90" i="3"/>
  <c r="I104" i="3"/>
  <c r="AB90" i="3"/>
  <c r="AB104" i="3"/>
  <c r="H90" i="3"/>
  <c r="H104" i="3"/>
  <c r="F90" i="3"/>
  <c r="F104" i="3"/>
  <c r="AA90" i="3"/>
  <c r="AA104" i="3"/>
  <c r="AC90" i="3"/>
  <c r="AC104" i="3"/>
  <c r="E90" i="3"/>
  <c r="E104" i="3"/>
  <c r="P114" i="3"/>
  <c r="P122" i="3"/>
  <c r="Q134" i="3"/>
  <c r="S130" i="3"/>
  <c r="F115" i="3"/>
  <c r="F150" i="3"/>
  <c r="P150" i="3"/>
  <c r="AD130" i="3"/>
  <c r="AD125" i="3"/>
  <c r="AD127" i="3" s="1"/>
  <c r="AD166" i="3" s="1"/>
  <c r="O84" i="3"/>
  <c r="O140" i="3"/>
  <c r="O142" i="3" s="1"/>
  <c r="R122" i="3"/>
  <c r="R114" i="3"/>
  <c r="R115" i="3"/>
  <c r="G130" i="3"/>
  <c r="AB126" i="3"/>
  <c r="S150" i="3"/>
  <c r="AC122" i="3"/>
  <c r="AC114" i="3"/>
  <c r="AC116" i="3" s="1"/>
  <c r="AC157" i="3" s="1"/>
  <c r="H82" i="3"/>
  <c r="H132" i="3"/>
  <c r="H126" i="3"/>
  <c r="Q142" i="3"/>
  <c r="I150" i="3"/>
  <c r="G114" i="3"/>
  <c r="G116" i="3" s="1"/>
  <c r="E82" i="3"/>
  <c r="E132" i="3"/>
  <c r="D126" i="3"/>
  <c r="F142" i="3"/>
  <c r="O114" i="3"/>
  <c r="O116" i="3" s="1"/>
  <c r="O157" i="3" s="1"/>
  <c r="O122" i="3"/>
  <c r="F82" i="3"/>
  <c r="F132" i="3"/>
  <c r="AA122" i="3"/>
  <c r="AA114" i="3"/>
  <c r="AA116" i="3" s="1"/>
  <c r="AA157" i="3" s="1"/>
  <c r="D142" i="3"/>
  <c r="Q115" i="3"/>
  <c r="AB150" i="3"/>
  <c r="E130" i="3"/>
  <c r="E125" i="3"/>
  <c r="F130" i="3"/>
  <c r="F125" i="3"/>
  <c r="AA126" i="3"/>
  <c r="E150" i="3"/>
  <c r="H150" i="3"/>
  <c r="Z150" i="3"/>
  <c r="AA150" i="3"/>
  <c r="E114" i="3"/>
  <c r="E116" i="3" s="1"/>
  <c r="F114" i="3"/>
  <c r="Z130" i="3"/>
  <c r="Z125" i="3"/>
  <c r="Z127" i="3" s="1"/>
  <c r="Z166" i="3" s="1"/>
  <c r="AA84" i="3"/>
  <c r="AA140" i="3"/>
  <c r="AA142" i="3" s="1"/>
  <c r="P115" i="3"/>
  <c r="D150" i="3"/>
  <c r="G134" i="3"/>
  <c r="D122" i="3"/>
  <c r="D114" i="3"/>
  <c r="D116" i="3" s="1"/>
  <c r="AC150" i="3"/>
  <c r="AC82" i="3"/>
  <c r="AC132" i="3"/>
  <c r="AC134" i="3" s="1"/>
  <c r="AB122" i="3"/>
  <c r="AB114" i="3"/>
  <c r="AB116" i="3" s="1"/>
  <c r="AB157" i="3" s="1"/>
  <c r="S142" i="3"/>
  <c r="H125" i="3"/>
  <c r="H130" i="3"/>
  <c r="I130" i="3"/>
  <c r="I82" i="3"/>
  <c r="I132" i="3"/>
  <c r="E126" i="3"/>
  <c r="F126" i="3"/>
  <c r="F127" i="3" s="1"/>
  <c r="S114" i="3"/>
  <c r="S115" i="3"/>
  <c r="AD84" i="3"/>
  <c r="AD140" i="3"/>
  <c r="AC126" i="3"/>
  <c r="R126" i="3"/>
  <c r="Q114" i="3"/>
  <c r="Q122" i="3"/>
  <c r="G150" i="3"/>
  <c r="Q150" i="3"/>
  <c r="R150" i="3"/>
  <c r="AD150" i="3"/>
  <c r="H114" i="3"/>
  <c r="H116" i="3" s="1"/>
  <c r="AD54" i="3"/>
  <c r="AD232" i="1"/>
  <c r="AD53" i="3" s="1"/>
  <c r="I54" i="3"/>
  <c r="I232" i="1"/>
  <c r="I53" i="3" s="1"/>
  <c r="T20" i="2"/>
  <c r="E213" i="1"/>
  <c r="E34" i="3" s="1"/>
  <c r="E69" i="3" s="1"/>
  <c r="E86" i="3" s="1"/>
  <c r="E54" i="3"/>
  <c r="E232" i="1"/>
  <c r="E53" i="3" s="1"/>
  <c r="G54" i="3"/>
  <c r="G232" i="1"/>
  <c r="G53" i="3" s="1"/>
  <c r="D211" i="1"/>
  <c r="D32" i="3" s="1"/>
  <c r="H54" i="3"/>
  <c r="H232" i="1"/>
  <c r="H53" i="3" s="1"/>
  <c r="F54" i="3"/>
  <c r="F232" i="1"/>
  <c r="F53" i="3" s="1"/>
  <c r="D213" i="1"/>
  <c r="D34" i="3" s="1"/>
  <c r="D69" i="3" s="1"/>
  <c r="D86" i="3" s="1"/>
  <c r="E5" i="11" a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4" i="3"/>
  <c r="H84" i="3"/>
  <c r="P84" i="3"/>
  <c r="Q84" i="3"/>
  <c r="AB1" i="2"/>
  <c r="P1" i="2"/>
  <c r="O1" i="2"/>
  <c r="AA1" i="2"/>
  <c r="D84" i="3"/>
  <c r="Z51" i="3"/>
  <c r="AC19" i="2"/>
  <c r="S84" i="3"/>
  <c r="Z245" i="1"/>
  <c r="Z66" i="3" s="1"/>
  <c r="U21" i="2"/>
  <c r="F84" i="3"/>
  <c r="AC28" i="2"/>
  <c r="G84" i="3"/>
  <c r="AG57" i="3"/>
  <c r="AG108" i="3" s="1"/>
  <c r="AG239" i="1"/>
  <c r="AG60" i="3" s="1"/>
  <c r="AH239" i="1"/>
  <c r="AH60" i="3" s="1"/>
  <c r="AH57" i="3"/>
  <c r="AH108" i="3" s="1"/>
  <c r="AF239" i="1"/>
  <c r="AF60" i="3" s="1"/>
  <c r="AF57" i="3"/>
  <c r="AF108" i="3" s="1"/>
  <c r="AE57" i="3"/>
  <c r="AE108" i="3" s="1"/>
  <c r="AE239" i="1"/>
  <c r="AE60" i="3" s="1"/>
  <c r="R62" i="3"/>
  <c r="AI57" i="3"/>
  <c r="AI108" i="3" s="1"/>
  <c r="AI239" i="1"/>
  <c r="AI60" i="3" s="1"/>
  <c r="D235" i="1"/>
  <c r="D56" i="3" s="1"/>
  <c r="Q253" i="1"/>
  <c r="Q76" i="3" s="1"/>
  <c r="AD24" i="2"/>
  <c r="D36" i="3"/>
  <c r="D66" i="3"/>
  <c r="I69" i="3"/>
  <c r="G69" i="3"/>
  <c r="H69" i="3"/>
  <c r="H86" i="3" s="1"/>
  <c r="AA83" i="3"/>
  <c r="O86" i="3"/>
  <c r="Z86" i="3"/>
  <c r="AC86" i="3"/>
  <c r="AA86" i="3"/>
  <c r="P86" i="3"/>
  <c r="R86" i="3"/>
  <c r="Q86" i="3"/>
  <c r="AB86" i="3"/>
  <c r="P82" i="3"/>
  <c r="U7" i="2"/>
  <c r="Z82" i="3"/>
  <c r="G81" i="3"/>
  <c r="G83" i="3"/>
  <c r="Q81" i="3"/>
  <c r="Q83" i="3"/>
  <c r="Z81" i="3"/>
  <c r="Z83" i="3"/>
  <c r="AD83" i="3"/>
  <c r="P81" i="3"/>
  <c r="P83" i="3"/>
  <c r="Q82" i="3"/>
  <c r="I81" i="3"/>
  <c r="I83" i="3"/>
  <c r="AA82" i="3"/>
  <c r="E81" i="3"/>
  <c r="E83" i="3"/>
  <c r="F81" i="3"/>
  <c r="F83" i="3"/>
  <c r="AD82" i="3"/>
  <c r="AC81" i="3"/>
  <c r="AC83" i="3"/>
  <c r="H81" i="3"/>
  <c r="H83" i="3"/>
  <c r="G82" i="3"/>
  <c r="AA81" i="3"/>
  <c r="J25" i="2"/>
  <c r="S36" i="3"/>
  <c r="AD17" i="2"/>
  <c r="V22" i="2"/>
  <c r="O36" i="3"/>
  <c r="O132" i="3" s="1"/>
  <c r="O134" i="3" s="1"/>
  <c r="AE24" i="2"/>
  <c r="AG19" i="2"/>
  <c r="V19" i="2"/>
  <c r="R253" i="1"/>
  <c r="R76" i="3" s="1"/>
  <c r="G245" i="1"/>
  <c r="G66" i="3" s="1"/>
  <c r="S48" i="3"/>
  <c r="Q24" i="2"/>
  <c r="G58" i="3"/>
  <c r="T24" i="2"/>
  <c r="T18" i="2"/>
  <c r="R55" i="3"/>
  <c r="AD237" i="1"/>
  <c r="AD238" i="1" s="1"/>
  <c r="AD59" i="3" s="1"/>
  <c r="U24" i="2"/>
  <c r="R254" i="1"/>
  <c r="R77" i="3" s="1"/>
  <c r="Z55" i="3"/>
  <c r="Z59" i="3"/>
  <c r="AC18" i="2"/>
  <c r="AA233" i="1"/>
  <c r="U17" i="2"/>
  <c r="G39" i="3"/>
  <c r="G124" i="3" s="1"/>
  <c r="AF27" i="2"/>
  <c r="E245" i="1"/>
  <c r="E66" i="3" s="1"/>
  <c r="R24" i="2"/>
  <c r="R22" i="2"/>
  <c r="S24" i="2"/>
  <c r="Q254" i="1"/>
  <c r="Q77" i="3" s="1"/>
  <c r="AC24" i="2"/>
  <c r="AG24" i="2"/>
  <c r="AC245" i="1"/>
  <c r="AC247" i="1" s="1"/>
  <c r="AC68" i="3" s="1"/>
  <c r="AF18" i="2"/>
  <c r="U27" i="2"/>
  <c r="AD235" i="1"/>
  <c r="AD56" i="3" s="1"/>
  <c r="AF17" i="2"/>
  <c r="AG18" i="2"/>
  <c r="E252" i="1"/>
  <c r="AD81" i="3"/>
  <c r="E249" i="1"/>
  <c r="E71" i="3" s="1"/>
  <c r="E72" i="3" s="1"/>
  <c r="Q245" i="1"/>
  <c r="Q247" i="1" s="1"/>
  <c r="Q68" i="3" s="1"/>
  <c r="Q87" i="3" s="1"/>
  <c r="R238" i="1"/>
  <c r="R59" i="3" s="1"/>
  <c r="AE17" i="2"/>
  <c r="AF24" i="2"/>
  <c r="V24" i="2"/>
  <c r="AG7" i="2"/>
  <c r="AA228" i="1"/>
  <c r="AA49" i="3" s="1"/>
  <c r="H58" i="3"/>
  <c r="S39" i="3"/>
  <c r="S124" i="3" s="1"/>
  <c r="S125" i="3" s="1"/>
  <c r="U25" i="2"/>
  <c r="H245" i="1"/>
  <c r="H247" i="1" s="1"/>
  <c r="H68" i="3" s="1"/>
  <c r="AD51" i="3"/>
  <c r="Q228" i="1"/>
  <c r="Q49" i="3" s="1"/>
  <c r="Q48" i="3"/>
  <c r="R7" i="2"/>
  <c r="AF22" i="2"/>
  <c r="AC228" i="1"/>
  <c r="AC49" i="3" s="1"/>
  <c r="R235" i="1"/>
  <c r="R56" i="3" s="1"/>
  <c r="AG28" i="2"/>
  <c r="AD65" i="3"/>
  <c r="AB233" i="1"/>
  <c r="AB232" i="1" s="1"/>
  <c r="AB53" i="3" s="1"/>
  <c r="AB51" i="3"/>
  <c r="AA245" i="1"/>
  <c r="AA66" i="3" s="1"/>
  <c r="P233" i="1"/>
  <c r="P51" i="3"/>
  <c r="O55" i="3"/>
  <c r="O51" i="3"/>
  <c r="AD245" i="1"/>
  <c r="AA237" i="1"/>
  <c r="AA235" i="1"/>
  <c r="AA55" i="3"/>
  <c r="AD228" i="1"/>
  <c r="AG17" i="2"/>
  <c r="AD48" i="3"/>
  <c r="Q235" i="1"/>
  <c r="Q237" i="1"/>
  <c r="Q55" i="3"/>
  <c r="AB228" i="1"/>
  <c r="AB49" i="3" s="1"/>
  <c r="R48" i="3"/>
  <c r="R228" i="1"/>
  <c r="T17" i="2"/>
  <c r="P237" i="1"/>
  <c r="P235" i="1"/>
  <c r="P55" i="3"/>
  <c r="Z228" i="1"/>
  <c r="Z48" i="3"/>
  <c r="AC17" i="2"/>
  <c r="AB235" i="1"/>
  <c r="AB55" i="3"/>
  <c r="AB237" i="1"/>
  <c r="AC237" i="1"/>
  <c r="AC55" i="3"/>
  <c r="AC233" i="1"/>
  <c r="AC232" i="1" s="1"/>
  <c r="AC53" i="3" s="1"/>
  <c r="AC51" i="3"/>
  <c r="AE18" i="2"/>
  <c r="S237" i="1"/>
  <c r="S55" i="3"/>
  <c r="S235" i="1"/>
  <c r="P228" i="1"/>
  <c r="P48" i="3"/>
  <c r="S51" i="3"/>
  <c r="S233" i="1"/>
  <c r="O48" i="3"/>
  <c r="Q233" i="1"/>
  <c r="Q51" i="3"/>
  <c r="R51" i="3"/>
  <c r="R233" i="1"/>
  <c r="I252" i="1"/>
  <c r="I75" i="3" s="1"/>
  <c r="I249" i="1"/>
  <c r="I71" i="3" s="1"/>
  <c r="I72" i="3" s="1"/>
  <c r="F249" i="1"/>
  <c r="F71" i="3" s="1"/>
  <c r="F72" i="3" s="1"/>
  <c r="F252" i="1"/>
  <c r="H33" i="3"/>
  <c r="H249" i="1"/>
  <c r="H71" i="3" s="1"/>
  <c r="H72" i="3" s="1"/>
  <c r="H252" i="1"/>
  <c r="G252" i="1"/>
  <c r="G249" i="1"/>
  <c r="G71" i="3" s="1"/>
  <c r="G72" i="3" s="1"/>
  <c r="AA254" i="1"/>
  <c r="AA77" i="3" s="1"/>
  <c r="AC56" i="3"/>
  <c r="AC254" i="1"/>
  <c r="AC77" i="3" s="1"/>
  <c r="AC75" i="3"/>
  <c r="AD252" i="1"/>
  <c r="AG8" i="2"/>
  <c r="AD249" i="1"/>
  <c r="AD71" i="3" s="1"/>
  <c r="AD72" i="3" s="1"/>
  <c r="AD33" i="3"/>
  <c r="AB75" i="3"/>
  <c r="AB253" i="1"/>
  <c r="AB76" i="3" s="1"/>
  <c r="Z253" i="1"/>
  <c r="Z76" i="3" s="1"/>
  <c r="Z74" i="3"/>
  <c r="Z254" i="1"/>
  <c r="Z77" i="3" s="1"/>
  <c r="AA253" i="1"/>
  <c r="AA76" i="3" s="1"/>
  <c r="AF28" i="2"/>
  <c r="AC65" i="3"/>
  <c r="AB245" i="1"/>
  <c r="AB36" i="3"/>
  <c r="AB132" i="3" s="1"/>
  <c r="AB134" i="3" s="1"/>
  <c r="S254" i="1"/>
  <c r="S77" i="3" s="1"/>
  <c r="S75" i="3"/>
  <c r="R245" i="1"/>
  <c r="R36" i="3"/>
  <c r="R132" i="3" s="1"/>
  <c r="P75" i="3"/>
  <c r="P253" i="1"/>
  <c r="P76" i="3" s="1"/>
  <c r="P254" i="1"/>
  <c r="P77" i="3" s="1"/>
  <c r="S253" i="1"/>
  <c r="S76" i="3" s="1"/>
  <c r="O76" i="3"/>
  <c r="O77" i="3"/>
  <c r="O66" i="3"/>
  <c r="O68" i="3"/>
  <c r="O87" i="3" s="1"/>
  <c r="I39" i="3"/>
  <c r="I124" i="3" s="1"/>
  <c r="I125" i="3" s="1"/>
  <c r="K25" i="2"/>
  <c r="G33" i="3"/>
  <c r="D254" i="1"/>
  <c r="D77" i="3" s="1"/>
  <c r="D74" i="3"/>
  <c r="F238" i="1"/>
  <c r="F59" i="3" s="1"/>
  <c r="F33" i="3"/>
  <c r="G49" i="3"/>
  <c r="D253" i="1"/>
  <c r="D76" i="3" s="1"/>
  <c r="D75" i="3"/>
  <c r="D48" i="3"/>
  <c r="D55" i="3"/>
  <c r="I33" i="3"/>
  <c r="E56" i="3"/>
  <c r="I238" i="1"/>
  <c r="I59" i="3" s="1"/>
  <c r="I58" i="3"/>
  <c r="D51" i="3"/>
  <c r="D233" i="1"/>
  <c r="AC22" i="2"/>
  <c r="AD22" i="2"/>
  <c r="AG22" i="2"/>
  <c r="AF7" i="2"/>
  <c r="AE22" i="2"/>
  <c r="AE7" i="2"/>
  <c r="S7" i="2"/>
  <c r="S22" i="2"/>
  <c r="Q7" i="2"/>
  <c r="T22" i="2"/>
  <c r="V7" i="2"/>
  <c r="Q22" i="2"/>
  <c r="U22" i="2"/>
  <c r="G24" i="2"/>
  <c r="Z247" i="1" l="1"/>
  <c r="Z68" i="3" s="1"/>
  <c r="AC7" i="2"/>
  <c r="F245" i="1"/>
  <c r="F66" i="3" s="1"/>
  <c r="T7" i="2"/>
  <c r="AD7" i="2"/>
  <c r="S28" i="2"/>
  <c r="Q65" i="3"/>
  <c r="S245" i="1"/>
  <c r="U28" i="2"/>
  <c r="S65" i="3"/>
  <c r="AA65" i="3"/>
  <c r="AD28" i="2"/>
  <c r="AE28" i="2"/>
  <c r="AB65" i="3"/>
  <c r="R65" i="3"/>
  <c r="T28" i="2"/>
  <c r="R28" i="2"/>
  <c r="P65" i="3"/>
  <c r="I65" i="3"/>
  <c r="I245" i="1"/>
  <c r="E127" i="3"/>
  <c r="F116" i="3"/>
  <c r="E170" i="3" s="1" a="1"/>
  <c r="P116" i="3"/>
  <c r="P157" i="3" s="1"/>
  <c r="R116" i="3"/>
  <c r="R157" i="3" s="1"/>
  <c r="AD90" i="3"/>
  <c r="AD104" i="3"/>
  <c r="H127" i="3"/>
  <c r="O90" i="3"/>
  <c r="O104" i="3"/>
  <c r="R90" i="3"/>
  <c r="R104" i="3"/>
  <c r="Q116" i="3"/>
  <c r="Q157" i="3" s="1"/>
  <c r="P90" i="3"/>
  <c r="P104" i="3"/>
  <c r="D90" i="3"/>
  <c r="D104" i="3"/>
  <c r="I170" i="3" s="1" a="1"/>
  <c r="Z90" i="3"/>
  <c r="Z104" i="3"/>
  <c r="Q90" i="3"/>
  <c r="Q104" i="3"/>
  <c r="S90" i="3"/>
  <c r="S104" i="3"/>
  <c r="Q125" i="3"/>
  <c r="Q127" i="3" s="1"/>
  <c r="Q166" i="3" s="1"/>
  <c r="Q130" i="3"/>
  <c r="I133" i="3"/>
  <c r="I138" i="3"/>
  <c r="I141" i="3" s="1"/>
  <c r="I143" i="3" s="1"/>
  <c r="Z138" i="3"/>
  <c r="Z141" i="3" s="1"/>
  <c r="Z143" i="3" s="1"/>
  <c r="Z160" i="3" s="1"/>
  <c r="Z133" i="3"/>
  <c r="Z135" i="3" s="1"/>
  <c r="AD138" i="3"/>
  <c r="AD141" i="3" s="1"/>
  <c r="AD133" i="3"/>
  <c r="AD135" i="3" s="1"/>
  <c r="G138" i="3"/>
  <c r="G141" i="3" s="1"/>
  <c r="G143" i="3" s="1"/>
  <c r="G133" i="3"/>
  <c r="G135" i="3" s="1"/>
  <c r="G147" i="3" s="1"/>
  <c r="G151" i="3" s="1"/>
  <c r="S116" i="3"/>
  <c r="S157" i="3" s="1"/>
  <c r="E138" i="3"/>
  <c r="E141" i="3" s="1"/>
  <c r="E143" i="3" s="1"/>
  <c r="E133" i="3"/>
  <c r="AA125" i="3"/>
  <c r="AA127" i="3" s="1"/>
  <c r="AA166" i="3" s="1"/>
  <c r="AA130" i="3"/>
  <c r="AC125" i="3"/>
  <c r="AC127" i="3" s="1"/>
  <c r="AC166" i="3" s="1"/>
  <c r="AC130" i="3"/>
  <c r="S138" i="3"/>
  <c r="S141" i="3" s="1"/>
  <c r="S143" i="3" s="1"/>
  <c r="S160" i="3" s="1"/>
  <c r="AB125" i="3"/>
  <c r="AB127" i="3" s="1"/>
  <c r="AB166" i="3" s="1"/>
  <c r="AB130" i="3"/>
  <c r="H133" i="3"/>
  <c r="H138" i="3"/>
  <c r="H141" i="3" s="1"/>
  <c r="H143" i="3" s="1"/>
  <c r="F134" i="3"/>
  <c r="E134" i="3"/>
  <c r="D82" i="3"/>
  <c r="D132" i="3"/>
  <c r="F138" i="3"/>
  <c r="F141" i="3" s="1"/>
  <c r="F143" i="3" s="1"/>
  <c r="F133" i="3"/>
  <c r="G126" i="3"/>
  <c r="S82" i="3"/>
  <c r="S132" i="3"/>
  <c r="R130" i="3"/>
  <c r="R125" i="3"/>
  <c r="R127" i="3" s="1"/>
  <c r="R166" i="3" s="1"/>
  <c r="I126" i="3"/>
  <c r="I127" i="3" s="1"/>
  <c r="O125" i="3"/>
  <c r="O127" i="3" s="1"/>
  <c r="O166" i="3" s="1"/>
  <c r="O130" i="3"/>
  <c r="P125" i="3"/>
  <c r="P127" i="3" s="1"/>
  <c r="P166" i="3" s="1"/>
  <c r="P130" i="3"/>
  <c r="S126" i="3"/>
  <c r="S127" i="3" s="1"/>
  <c r="S166" i="3" s="1"/>
  <c r="R134" i="3"/>
  <c r="R84" i="3"/>
  <c r="R140" i="3"/>
  <c r="H134" i="3"/>
  <c r="AD142" i="3"/>
  <c r="I134" i="3"/>
  <c r="D125" i="3"/>
  <c r="D127" i="3" s="1"/>
  <c r="D130" i="3"/>
  <c r="G125" i="3"/>
  <c r="G127" i="3" s="1"/>
  <c r="AA54" i="3"/>
  <c r="AA232" i="1"/>
  <c r="AA53" i="3" s="1"/>
  <c r="D54" i="3"/>
  <c r="D232" i="1"/>
  <c r="D53" i="3" s="1"/>
  <c r="C19" i="11"/>
  <c r="C11" i="11"/>
  <c r="C20" i="11" s="1"/>
  <c r="E5" i="11"/>
  <c r="E10" i="11"/>
  <c r="E7" i="11"/>
  <c r="E9" i="11"/>
  <c r="E8" i="11"/>
  <c r="E6" i="11"/>
  <c r="I86" i="3"/>
  <c r="AC85" i="3"/>
  <c r="AC88" i="3"/>
  <c r="AC87" i="3"/>
  <c r="O85" i="3"/>
  <c r="O88" i="3"/>
  <c r="O89" i="3" s="1"/>
  <c r="Z85" i="3"/>
  <c r="Z88" i="3"/>
  <c r="Q85" i="3"/>
  <c r="Q88" i="3"/>
  <c r="Q89" i="3" s="1"/>
  <c r="Z87" i="3"/>
  <c r="D83" i="3"/>
  <c r="H87" i="3"/>
  <c r="H88" i="3"/>
  <c r="D81" i="3"/>
  <c r="H85" i="3"/>
  <c r="S86" i="3"/>
  <c r="G86" i="3"/>
  <c r="R81" i="3"/>
  <c r="R83" i="3"/>
  <c r="O81" i="3"/>
  <c r="O83" i="3"/>
  <c r="O82" i="3"/>
  <c r="AB81" i="3"/>
  <c r="AB83" i="3"/>
  <c r="AB82" i="3"/>
  <c r="S81" i="3"/>
  <c r="S83" i="3"/>
  <c r="R82" i="3"/>
  <c r="D247" i="1"/>
  <c r="D68" i="3" s="1"/>
  <c r="AD58" i="3"/>
  <c r="G247" i="1"/>
  <c r="G68" i="3" s="1"/>
  <c r="E247" i="1"/>
  <c r="E68" i="3" s="1"/>
  <c r="Z58" i="3"/>
  <c r="AC66" i="3"/>
  <c r="AD19" i="2"/>
  <c r="P247" i="1"/>
  <c r="P68" i="3" s="1"/>
  <c r="Q66" i="3"/>
  <c r="E254" i="1"/>
  <c r="E77" i="3" s="1"/>
  <c r="E75" i="3"/>
  <c r="E253" i="1"/>
  <c r="E76" i="3" s="1"/>
  <c r="Z54" i="3"/>
  <c r="AA247" i="1"/>
  <c r="AA68" i="3" s="1"/>
  <c r="H66" i="3"/>
  <c r="S238" i="1"/>
  <c r="S59" i="3" s="1"/>
  <c r="S58" i="3"/>
  <c r="AB56" i="3"/>
  <c r="Q56" i="3"/>
  <c r="R54" i="3"/>
  <c r="T19" i="2"/>
  <c r="P54" i="3"/>
  <c r="R19" i="2"/>
  <c r="P49" i="3"/>
  <c r="AC54" i="3"/>
  <c r="AF19" i="2"/>
  <c r="Z49" i="3"/>
  <c r="R49" i="3"/>
  <c r="AD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U19" i="2"/>
  <c r="S56" i="3"/>
  <c r="AB238" i="1"/>
  <c r="AB59" i="3" s="1"/>
  <c r="AB58" i="3"/>
  <c r="P238" i="1"/>
  <c r="P59" i="3" s="1"/>
  <c r="P58" i="3"/>
  <c r="AA238" i="1"/>
  <c r="AA59" i="3" s="1"/>
  <c r="AA58" i="3"/>
  <c r="O56" i="3"/>
  <c r="O49" i="3"/>
  <c r="Q238" i="1"/>
  <c r="Q59" i="3" s="1"/>
  <c r="Q58" i="3"/>
  <c r="AD66" i="3"/>
  <c r="AD247" i="1"/>
  <c r="AD68" i="3" s="1"/>
  <c r="AD87" i="3" s="1"/>
  <c r="O59" i="3"/>
  <c r="O58" i="3"/>
  <c r="H253" i="1"/>
  <c r="H76" i="3" s="1"/>
  <c r="H254" i="1"/>
  <c r="H77" i="3" s="1"/>
  <c r="G253" i="1"/>
  <c r="G76" i="3" s="1"/>
  <c r="G254" i="1"/>
  <c r="G77" i="3" s="1"/>
  <c r="F253" i="1"/>
  <c r="F76" i="3" s="1"/>
  <c r="F254" i="1"/>
  <c r="F77" i="3" s="1"/>
  <c r="I253" i="1"/>
  <c r="I76" i="3" s="1"/>
  <c r="I254" i="1"/>
  <c r="I77" i="3" s="1"/>
  <c r="AD254" i="1"/>
  <c r="AD77" i="3" s="1"/>
  <c r="AD75" i="3"/>
  <c r="AD253" i="1"/>
  <c r="AD76" i="3" s="1"/>
  <c r="AB247" i="1"/>
  <c r="AB68" i="3" s="1"/>
  <c r="AB66" i="3"/>
  <c r="R247" i="1"/>
  <c r="R68" i="3" s="1"/>
  <c r="R66" i="3"/>
  <c r="G75" i="3"/>
  <c r="H75" i="3"/>
  <c r="F75" i="3"/>
  <c r="D238" i="1"/>
  <c r="D59" i="3" s="1"/>
  <c r="D58" i="3"/>
  <c r="D49" i="3"/>
  <c r="F20" i="2"/>
  <c r="F18" i="2"/>
  <c r="F247" i="1" l="1"/>
  <c r="F68" i="3" s="1"/>
  <c r="F85" i="3" s="1"/>
  <c r="S66" i="3"/>
  <c r="S247" i="1"/>
  <c r="S68" i="3" s="1"/>
  <c r="F135" i="3"/>
  <c r="F147" i="3" s="1"/>
  <c r="F151" i="3" s="1"/>
  <c r="I66" i="3"/>
  <c r="I247" i="1"/>
  <c r="I68" i="3" s="1"/>
  <c r="E170" i="3"/>
  <c r="E175" i="3"/>
  <c r="E174" i="3"/>
  <c r="E173" i="3"/>
  <c r="E172" i="3"/>
  <c r="E171" i="3"/>
  <c r="I170" i="3"/>
  <c r="I175" i="3"/>
  <c r="I173" i="3"/>
  <c r="I174" i="3"/>
  <c r="I172" i="3"/>
  <c r="I171" i="3"/>
  <c r="AD147" i="3"/>
  <c r="AD151" i="3" s="1"/>
  <c r="AD163" i="3"/>
  <c r="F170" i="3" a="1"/>
  <c r="Z147" i="3"/>
  <c r="Z151" i="3" s="1"/>
  <c r="Z163" i="3"/>
  <c r="I135" i="3"/>
  <c r="I147" i="3" s="1"/>
  <c r="I151" i="3" s="1"/>
  <c r="E135" i="3"/>
  <c r="E147" i="3" s="1"/>
  <c r="E151" i="3" s="1"/>
  <c r="H135" i="3"/>
  <c r="H147" i="3" s="1"/>
  <c r="H151" i="3" s="1"/>
  <c r="AD143" i="3"/>
  <c r="AD160" i="3" s="1"/>
  <c r="AA138" i="3"/>
  <c r="AA141" i="3" s="1"/>
  <c r="AA143" i="3" s="1"/>
  <c r="AA160" i="3" s="1"/>
  <c r="AA133" i="3"/>
  <c r="AA135" i="3" s="1"/>
  <c r="D134" i="3"/>
  <c r="AB138" i="3"/>
  <c r="AB141" i="3" s="1"/>
  <c r="AB143" i="3" s="1"/>
  <c r="AB160" i="3" s="1"/>
  <c r="AB133" i="3"/>
  <c r="AB135" i="3" s="1"/>
  <c r="P133" i="3"/>
  <c r="P135" i="3" s="1"/>
  <c r="P138" i="3"/>
  <c r="P141" i="3" s="1"/>
  <c r="P143" i="3" s="1"/>
  <c r="P160" i="3" s="1"/>
  <c r="R138" i="3"/>
  <c r="R141" i="3" s="1"/>
  <c r="R133" i="3"/>
  <c r="R135" i="3" s="1"/>
  <c r="S134" i="3"/>
  <c r="S133" i="3"/>
  <c r="D138" i="3"/>
  <c r="D141" i="3" s="1"/>
  <c r="D143" i="3" s="1"/>
  <c r="H170" i="3" s="1" a="1"/>
  <c r="D133" i="3"/>
  <c r="R142" i="3"/>
  <c r="Q138" i="3"/>
  <c r="Q141" i="3" s="1"/>
  <c r="Q143" i="3" s="1"/>
  <c r="Q160" i="3" s="1"/>
  <c r="Q133" i="3"/>
  <c r="Q135" i="3" s="1"/>
  <c r="O133" i="3"/>
  <c r="O135" i="3" s="1"/>
  <c r="O138" i="3"/>
  <c r="O141" i="3" s="1"/>
  <c r="O143" i="3" s="1"/>
  <c r="O160" i="3" s="1"/>
  <c r="AC138" i="3"/>
  <c r="AC141" i="3" s="1"/>
  <c r="AC143" i="3" s="1"/>
  <c r="AC160" i="3" s="1"/>
  <c r="AC133" i="3"/>
  <c r="AC135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E4" i="11"/>
  <c r="D5" i="11"/>
  <c r="AC89" i="3"/>
  <c r="AA85" i="3"/>
  <c r="AA88" i="3"/>
  <c r="AA87" i="3"/>
  <c r="P85" i="3"/>
  <c r="P88" i="3"/>
  <c r="P87" i="3"/>
  <c r="R85" i="3"/>
  <c r="R88" i="3"/>
  <c r="R87" i="3"/>
  <c r="AD85" i="3"/>
  <c r="AD88" i="3"/>
  <c r="AD89" i="3" s="1"/>
  <c r="Z89" i="3"/>
  <c r="AB85" i="3"/>
  <c r="AB88" i="3"/>
  <c r="AB87" i="3"/>
  <c r="D88" i="3"/>
  <c r="D87" i="3"/>
  <c r="G85" i="3"/>
  <c r="G87" i="3"/>
  <c r="G88" i="3"/>
  <c r="E87" i="3"/>
  <c r="E88" i="3"/>
  <c r="H89" i="3"/>
  <c r="D85" i="3"/>
  <c r="E85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F87" i="3" l="1"/>
  <c r="F88" i="3"/>
  <c r="S88" i="3"/>
  <c r="S87" i="3"/>
  <c r="S85" i="3"/>
  <c r="I85" i="3"/>
  <c r="I88" i="3"/>
  <c r="I87" i="3"/>
  <c r="O147" i="3"/>
  <c r="O151" i="3" s="1"/>
  <c r="O163" i="3"/>
  <c r="R147" i="3"/>
  <c r="R151" i="3" s="1"/>
  <c r="R163" i="3"/>
  <c r="Q147" i="3"/>
  <c r="Q151" i="3" s="1"/>
  <c r="Q163" i="3"/>
  <c r="F173" i="3"/>
  <c r="F170" i="3"/>
  <c r="F174" i="3"/>
  <c r="F172" i="3"/>
  <c r="R167" i="3" s="1"/>
  <c r="R168" i="3" s="1"/>
  <c r="F171" i="3"/>
  <c r="F175" i="3"/>
  <c r="AA147" i="3"/>
  <c r="AA151" i="3" s="1"/>
  <c r="AA163" i="3"/>
  <c r="R143" i="3"/>
  <c r="R160" i="3" s="1"/>
  <c r="P147" i="3"/>
  <c r="P151" i="3" s="1"/>
  <c r="P163" i="3"/>
  <c r="D135" i="3"/>
  <c r="AB147" i="3"/>
  <c r="AB151" i="3" s="1"/>
  <c r="AB163" i="3"/>
  <c r="AB167" i="3"/>
  <c r="AB168" i="3" s="1"/>
  <c r="AB180" i="3" s="1"/>
  <c r="AC167" i="3"/>
  <c r="AC168" i="3" s="1"/>
  <c r="AC180" i="3" s="1"/>
  <c r="AC147" i="3"/>
  <c r="AC151" i="3" s="1"/>
  <c r="AC163" i="3"/>
  <c r="H170" i="3"/>
  <c r="H174" i="3"/>
  <c r="H173" i="3"/>
  <c r="H172" i="3"/>
  <c r="H171" i="3"/>
  <c r="H175" i="3"/>
  <c r="S135" i="3"/>
  <c r="D4" i="11"/>
  <c r="E13" i="11"/>
  <c r="D13" i="11" s="1"/>
  <c r="E20" i="11"/>
  <c r="D20" i="11" s="1"/>
  <c r="D11" i="11"/>
  <c r="AB89" i="3"/>
  <c r="AA89" i="3"/>
  <c r="R89" i="3"/>
  <c r="P89" i="3"/>
  <c r="E89" i="3"/>
  <c r="G89" i="3"/>
  <c r="F89" i="3"/>
  <c r="D89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Z161" i="3" l="1"/>
  <c r="Z162" i="3" s="1"/>
  <c r="Z178" i="3" s="1"/>
  <c r="I89" i="3"/>
  <c r="O161" i="3"/>
  <c r="O162" i="3" s="1"/>
  <c r="AB161" i="3"/>
  <c r="AB162" i="3" s="1"/>
  <c r="AB178" i="3" s="1"/>
  <c r="AD161" i="3"/>
  <c r="AD162" i="3" s="1"/>
  <c r="AD178" i="3" s="1"/>
  <c r="S89" i="3"/>
  <c r="S161" i="3"/>
  <c r="S162" i="3" s="1"/>
  <c r="AA161" i="3"/>
  <c r="AA162" i="3" s="1"/>
  <c r="AA178" i="3" s="1"/>
  <c r="AF161" i="3"/>
  <c r="AF162" i="3" s="1"/>
  <c r="AF178" i="3" s="1"/>
  <c r="Q161" i="3"/>
  <c r="Q162" i="3" s="1"/>
  <c r="AI161" i="3"/>
  <c r="AI162" i="3" s="1"/>
  <c r="AI178" i="3" s="1"/>
  <c r="AE161" i="3"/>
  <c r="AE162" i="3" s="1"/>
  <c r="AE178" i="3" s="1"/>
  <c r="AH167" i="3"/>
  <c r="AH168" i="3" s="1"/>
  <c r="AH180" i="3" s="1"/>
  <c r="D147" i="3"/>
  <c r="D151" i="3" s="1"/>
  <c r="G170" i="3" a="1"/>
  <c r="AG161" i="3"/>
  <c r="AG162" i="3" s="1"/>
  <c r="AG178" i="3" s="1"/>
  <c r="S167" i="3"/>
  <c r="S168" i="3" s="1"/>
  <c r="AD167" i="3"/>
  <c r="AD168" i="3" s="1"/>
  <c r="AD180" i="3" s="1"/>
  <c r="AF167" i="3"/>
  <c r="AF168" i="3" s="1"/>
  <c r="AF180" i="3" s="1"/>
  <c r="P161" i="3"/>
  <c r="P162" i="3" s="1"/>
  <c r="AC161" i="3"/>
  <c r="AC162" i="3" s="1"/>
  <c r="AC178" i="3" s="1"/>
  <c r="Q167" i="3"/>
  <c r="Q168" i="3" s="1"/>
  <c r="AE167" i="3"/>
  <c r="AE168" i="3" s="1"/>
  <c r="AE180" i="3" s="1"/>
  <c r="AH161" i="3"/>
  <c r="AH162" i="3" s="1"/>
  <c r="AH178" i="3" s="1"/>
  <c r="Z167" i="3"/>
  <c r="Z168" i="3" s="1"/>
  <c r="Z180" i="3" s="1"/>
  <c r="S147" i="3"/>
  <c r="S151" i="3" s="1"/>
  <c r="S163" i="3"/>
  <c r="AA167" i="3"/>
  <c r="AA168" i="3" s="1"/>
  <c r="AA180" i="3" s="1"/>
  <c r="AI167" i="3"/>
  <c r="AI168" i="3" s="1"/>
  <c r="AI180" i="3" s="1"/>
  <c r="AG167" i="3"/>
  <c r="AG168" i="3" s="1"/>
  <c r="AG180" i="3" s="1"/>
  <c r="P167" i="3"/>
  <c r="P168" i="3" s="1"/>
  <c r="R161" i="3"/>
  <c r="R162" i="3" s="1"/>
  <c r="O167" i="3"/>
  <c r="O168" i="3" s="1"/>
  <c r="S229" i="1"/>
  <c r="S50" i="3" s="1"/>
  <c r="Q229" i="1"/>
  <c r="Q50" i="3" s="1"/>
  <c r="AD236" i="1"/>
  <c r="AB229" i="1"/>
  <c r="AB50" i="3" s="1"/>
  <c r="AC229" i="1"/>
  <c r="AC50" i="3" s="1"/>
  <c r="R236" i="1"/>
  <c r="AC236" i="1"/>
  <c r="AA229" i="1"/>
  <c r="AA50" i="3" s="1"/>
  <c r="Z229" i="1"/>
  <c r="AA236" i="1"/>
  <c r="O50" i="3"/>
  <c r="AB236" i="1"/>
  <c r="R229" i="1"/>
  <c r="R50" i="3" s="1"/>
  <c r="P229" i="1"/>
  <c r="P50" i="3" s="1"/>
  <c r="Q236" i="1"/>
  <c r="AD229" i="1"/>
  <c r="AD50" i="3" s="1"/>
  <c r="S236" i="1"/>
  <c r="P236" i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G170" i="3" l="1"/>
  <c r="G171" i="3"/>
  <c r="G175" i="3"/>
  <c r="G174" i="3"/>
  <c r="G173" i="3"/>
  <c r="G172" i="3"/>
  <c r="D239" i="1"/>
  <c r="D60" i="3" s="1"/>
  <c r="Z50" i="3"/>
  <c r="Z239" i="1"/>
  <c r="Z60" i="3" s="1"/>
  <c r="R239" i="1"/>
  <c r="R60" i="3" s="1"/>
  <c r="R57" i="3"/>
  <c r="R108" i="3" s="1"/>
  <c r="S57" i="3"/>
  <c r="S108" i="3" s="1"/>
  <c r="S239" i="1"/>
  <c r="S60" i="3" s="1"/>
  <c r="AB57" i="3"/>
  <c r="AB108" i="3" s="1"/>
  <c r="AB239" i="1"/>
  <c r="AB60" i="3" s="1"/>
  <c r="Q239" i="1"/>
  <c r="Q60" i="3" s="1"/>
  <c r="Q57" i="3"/>
  <c r="Q108" i="3" s="1"/>
  <c r="AA57" i="3"/>
  <c r="AA108" i="3" s="1"/>
  <c r="AA239" i="1"/>
  <c r="AA60" i="3" s="1"/>
  <c r="AD57" i="3"/>
  <c r="AD108" i="3" s="1"/>
  <c r="AD239" i="1"/>
  <c r="AD60" i="3" s="1"/>
  <c r="O57" i="3"/>
  <c r="O108" i="3" s="1"/>
  <c r="O60" i="3"/>
  <c r="P239" i="1"/>
  <c r="P60" i="3" s="1"/>
  <c r="P57" i="3"/>
  <c r="P108" i="3" s="1"/>
  <c r="AC57" i="3"/>
  <c r="AC108" i="3" s="1"/>
  <c r="AC239" i="1"/>
  <c r="AC60" i="3" s="1"/>
  <c r="Z57" i="3"/>
  <c r="Z108" i="3" s="1"/>
  <c r="I57" i="3"/>
  <c r="I108" i="3" s="1"/>
  <c r="I239" i="1"/>
  <c r="I60" i="3" s="1"/>
  <c r="G239" i="1"/>
  <c r="G60" i="3" s="1"/>
  <c r="G57" i="3"/>
  <c r="G108" i="3" s="1"/>
  <c r="F239" i="1"/>
  <c r="F60" i="3" s="1"/>
  <c r="F57" i="3"/>
  <c r="F108" i="3" s="1"/>
  <c r="D57" i="3"/>
  <c r="D108" i="3" s="1"/>
  <c r="H239" i="1"/>
  <c r="H60" i="3" s="1"/>
  <c r="H57" i="3"/>
  <c r="H108" i="3" s="1"/>
  <c r="E239" i="1"/>
  <c r="E60" i="3" s="1"/>
  <c r="E57" i="3"/>
  <c r="E108" i="3" s="1"/>
  <c r="F8" i="2"/>
  <c r="F21" i="2"/>
  <c r="AI170" i="3" l="1"/>
  <c r="AI171" i="3" s="1"/>
  <c r="AI181" i="3" s="1"/>
  <c r="AH170" i="3"/>
  <c r="AH171" i="3" s="1"/>
  <c r="AH181" i="3" s="1"/>
  <c r="AG170" i="3"/>
  <c r="AG171" i="3" s="1"/>
  <c r="AG181" i="3" s="1"/>
  <c r="AE170" i="3"/>
  <c r="AE171" i="3" s="1"/>
  <c r="AE181" i="3" s="1"/>
  <c r="AF170" i="3"/>
  <c r="AF171" i="3" s="1"/>
  <c r="AF181" i="3" s="1"/>
  <c r="Z170" i="3"/>
  <c r="Z171" i="3" s="1"/>
  <c r="Z181" i="3" s="1"/>
  <c r="R164" i="3"/>
  <c r="R165" i="3" s="1"/>
  <c r="AD170" i="3"/>
  <c r="AD171" i="3" s="1"/>
  <c r="AD181" i="3" s="1"/>
  <c r="AH164" i="3"/>
  <c r="AH165" i="3" s="1"/>
  <c r="AH179" i="3" s="1"/>
  <c r="S164" i="3"/>
  <c r="S165" i="3" s="1"/>
  <c r="P170" i="3"/>
  <c r="P171" i="3" s="1"/>
  <c r="AB170" i="3"/>
  <c r="AB171" i="3" s="1"/>
  <c r="AB181" i="3" s="1"/>
  <c r="Z164" i="3"/>
  <c r="Z165" i="3" s="1"/>
  <c r="Z179" i="3" s="1"/>
  <c r="AC170" i="3"/>
  <c r="AC171" i="3" s="1"/>
  <c r="AC181" i="3" s="1"/>
  <c r="O170" i="3"/>
  <c r="O171" i="3" s="1"/>
  <c r="Q164" i="3"/>
  <c r="Q165" i="3" s="1"/>
  <c r="AG164" i="3"/>
  <c r="AG165" i="3" s="1"/>
  <c r="AG179" i="3" s="1"/>
  <c r="AI164" i="3"/>
  <c r="AI165" i="3" s="1"/>
  <c r="AI179" i="3" s="1"/>
  <c r="Q170" i="3"/>
  <c r="Q171" i="3" s="1"/>
  <c r="AA164" i="3"/>
  <c r="AA165" i="3" s="1"/>
  <c r="AA179" i="3" s="1"/>
  <c r="AA170" i="3"/>
  <c r="AA171" i="3" s="1"/>
  <c r="AA181" i="3" s="1"/>
  <c r="AF164" i="3"/>
  <c r="AF165" i="3" s="1"/>
  <c r="AF179" i="3" s="1"/>
  <c r="AB164" i="3"/>
  <c r="AB165" i="3" s="1"/>
  <c r="AB179" i="3" s="1"/>
  <c r="R170" i="3"/>
  <c r="R171" i="3" s="1"/>
  <c r="S170" i="3"/>
  <c r="S171" i="3" s="1"/>
  <c r="D170" i="3" a="1"/>
  <c r="AD164" i="3"/>
  <c r="AD165" i="3" s="1"/>
  <c r="AD179" i="3" s="1"/>
  <c r="AC164" i="3"/>
  <c r="AC165" i="3" s="1"/>
  <c r="AC179" i="3" s="1"/>
  <c r="P164" i="3"/>
  <c r="P165" i="3" s="1"/>
  <c r="O164" i="3"/>
  <c r="O165" i="3" s="1"/>
  <c r="AE164" i="3"/>
  <c r="AE165" i="3" s="1"/>
  <c r="AE179" i="3" s="1"/>
  <c r="F7" i="2"/>
  <c r="D171" i="3" l="1"/>
  <c r="D175" i="3"/>
  <c r="D174" i="3"/>
  <c r="D170" i="3"/>
  <c r="D173" i="3"/>
  <c r="D172" i="3"/>
  <c r="AE158" i="3" l="1"/>
  <c r="AE159" i="3" s="1"/>
  <c r="AE177" i="3" s="1"/>
  <c r="AH158" i="3"/>
  <c r="AH159" i="3" s="1"/>
  <c r="AH177" i="3" s="1"/>
  <c r="AI158" i="3"/>
  <c r="AI159" i="3" s="1"/>
  <c r="AI177" i="3" s="1"/>
  <c r="AG158" i="3"/>
  <c r="AG159" i="3" s="1"/>
  <c r="AG177" i="3" s="1"/>
  <c r="AF158" i="3"/>
  <c r="AF159" i="3" s="1"/>
  <c r="AF177" i="3" s="1"/>
  <c r="Q158" i="3"/>
  <c r="Q159" i="3" s="1"/>
  <c r="O158" i="3"/>
  <c r="O159" i="3" s="1"/>
  <c r="P158" i="3"/>
  <c r="P159" i="3" s="1"/>
  <c r="AB158" i="3"/>
  <c r="AB159" i="3" s="1"/>
  <c r="AB177" i="3" s="1"/>
  <c r="Z158" i="3"/>
  <c r="Z159" i="3" s="1"/>
  <c r="Z177" i="3" s="1"/>
  <c r="AC158" i="3"/>
  <c r="AC159" i="3" s="1"/>
  <c r="AC177" i="3" s="1"/>
  <c r="R158" i="3"/>
  <c r="R159" i="3" s="1"/>
  <c r="AD158" i="3"/>
  <c r="AD159" i="3" s="1"/>
  <c r="AD177" i="3" s="1"/>
  <c r="AA158" i="3"/>
  <c r="AA159" i="3" s="1"/>
  <c r="AA177" i="3" s="1"/>
  <c r="S158" i="3"/>
  <c r="S159" i="3" s="1"/>
</calcChain>
</file>

<file path=xl/sharedStrings.xml><?xml version="1.0" encoding="utf-8"?>
<sst xmlns="http://schemas.openxmlformats.org/spreadsheetml/2006/main" count="701" uniqueCount="266">
  <si>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</si>
  <si>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</si>
  <si>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</si>
  <si>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</si>
  <si>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</si>
  <si>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</si>
  <si>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</si>
  <si>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</si>
  <si>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</si>
  <si>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</si>
  <si>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</si>
  <si>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</si>
  <si>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</si>
  <si>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</si>
  <si>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</si>
  <si>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</si>
  <si>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</si>
  <si>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</si>
  <si>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</si>
  <si>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</si>
  <si>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</si>
  <si>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</si>
  <si>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</si>
  <si>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</si>
  <si>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</si>
  <si>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</si>
  <si>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</si>
  <si>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</si>
  <si>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</si>
  <si>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</si>
  <si>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</si>
  <si>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</si>
  <si>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</si>
  <si>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</si>
  <si>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</si>
  <si>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</si>
  <si>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</si>
  <si>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</si>
  <si>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</si>
  <si>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</si>
  <si>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</si>
  <si>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</si>
  <si>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</si>
  <si>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</si>
  <si>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</si>
  <si>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</si>
  <si>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</si>
  <si>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</si>
  <si>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</si>
  <si>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</si>
  <si>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</si>
  <si>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</si>
  <si>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</si>
  <si>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</si>
  <si>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</si>
  <si>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</si>
  <si>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</si>
  <si>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</si>
  <si>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</si>
  <si>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</si>
  <si>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</si>
  <si>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</si>
  <si>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</si>
  <si>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</si>
  <si>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</si>
  <si>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</si>
  <si>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</si>
  <si>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</si>
  <si>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</si>
  <si>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</si>
  <si>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</si>
  <si>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</si>
  <si>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</si>
  <si>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</si>
  <si>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</si>
  <si>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</si>
  <si>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Cooiling Water Temperature</t>
  </si>
  <si>
    <t>K</t>
  </si>
  <si>
    <t>Lubrication Oil Temperature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</si>
  <si>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</si>
  <si>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</si>
  <si>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</si>
  <si>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</si>
  <si>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</si>
  <si>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</si>
  <si>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</si>
  <si>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</si>
  <si>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</si>
  <si>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</si>
  <si>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</si>
  <si>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</si>
  <si>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</si>
  <si>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</si>
  <si>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</si>
  <si>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</si>
  <si>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</si>
  <si>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</si>
  <si>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</si>
  <si>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</si>
  <si>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</si>
  <si>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</si>
  <si>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</si>
  <si>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</si>
  <si>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</si>
  <si>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</si>
  <si>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</si>
  <si>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</si>
  <si>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</si>
  <si>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</si>
  <si>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</si>
  <si>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</si>
  <si>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</si>
  <si>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</si>
  <si>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</si>
  <si>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</si>
  <si>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</si>
  <si>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</si>
  <si>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</si>
  <si>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</si>
  <si>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</si>
  <si>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</si>
  <si>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</si>
  <si>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</si>
  <si>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</si>
  <si>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</si>
  <si>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</si>
  <si>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</si>
  <si>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</si>
  <si>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</si>
  <si>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</si>
  <si>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</si>
  <si>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</si>
  <si>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</si>
  <si>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</si>
  <si>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</si>
  <si>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</si>
  <si>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</si>
  <si>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</si>
  <si>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</si>
  <si>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</si>
  <si>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</si>
  <si>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</si>
  <si>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</si>
  <si>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</si>
  <si>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</si>
  <si>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</si>
  <si>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OUTPUT to Screen (Measured vs Calc)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</si>
  <si>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</si>
  <si>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</si>
  <si>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</si>
  <si>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</si>
  <si>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</si>
  <si>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</si>
  <si>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</si>
  <si>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</si>
  <si>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</si>
  <si>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</si>
  <si>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</si>
  <si>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</si>
  <si>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</si>
  <si>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</si>
  <si>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</si>
  <si>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</si>
  <si>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</si>
  <si>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</si>
  <si>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</si>
  <si>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</si>
  <si>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</si>
  <si>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</si>
  <si>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</si>
  <si>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</si>
  <si>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</si>
  <si>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</si>
  <si>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</si>
  <si>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</si>
  <si>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</si>
  <si>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</si>
  <si>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</si>
  <si>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</si>
  <si>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</si>
  <si>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</si>
  <si>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</si>
  <si>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</si>
  <si>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</si>
  <si>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</si>
  <si>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</si>
  <si>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</si>
  <si>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</si>
  <si>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</si>
  <si>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</si>
  <si>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</si>
  <si>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>leg. 1</t>
  </si>
  <si>
    <t>leg. 2</t>
  </si>
  <si>
    <t xml:space="preserve">Pmax - Pcomp </t>
  </si>
  <si>
    <t>Governor index</t>
  </si>
  <si>
    <t>Pmax control</t>
  </si>
  <si>
    <t>(bar)</t>
  </si>
  <si>
    <t>Piston Cooling Oil Inlet Temp.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</si>
  <si>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</si>
  <si>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</si>
  <si>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</si>
  <si>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</si>
  <si>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</si>
  <si>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</si>
  <si>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</si>
  <si>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</si>
  <si>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</si>
  <si>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</si>
  <si>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</si>
  <si>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</si>
  <si>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</si>
  <si>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</si>
  <si>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</si>
  <si>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</si>
  <si>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</si>
  <si>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</si>
  <si>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</si>
  <si>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</si>
  <si>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</si>
  <si>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</si>
  <si>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</si>
  <si>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</si>
  <si>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</si>
  <si>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</si>
  <si>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</si>
  <si>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</si>
  <si>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</si>
  <si>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 xml:space="preserve">Points per speed curve </t>
  </si>
  <si>
    <t xml:space="preserve">Minimum Revolutions 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</si>
  <si>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</si>
  <si>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</si>
  <si>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</si>
  <si>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</si>
  <si>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</si>
  <si>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</si>
  <si>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</si>
  <si>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</si>
  <si>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</si>
  <si>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</si>
  <si>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</si>
  <si>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</si>
  <si>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</si>
  <si>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</si>
  <si>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</si>
  <si>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</si>
  <si>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</si>
  <si>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</si>
  <si>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</si>
  <si>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</si>
  <si>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</si>
  <si>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</si>
  <si>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</si>
  <si>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</si>
  <si>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</si>
  <si>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</si>
  <si>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</si>
  <si>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</si>
  <si>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</si>
  <si>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</si>
  <si>
    <t>Suction volume/cylinder</t>
  </si>
  <si>
    <t>JAN</t>
  </si>
  <si>
    <t>OCT</t>
  </si>
  <si>
    <t>CAP PHILLIPE</t>
  </si>
  <si>
    <t>Hull No</t>
  </si>
  <si>
    <t xml:space="preserve">leg. 1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</si>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</sst>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</cellStyleXfs>
  <cellXfs count="97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5" fontId="0" fillId="4" borderId="0" xfId="0" applyNumberFormat="1" applyFill="1"/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0" fontId="9" fillId="10" borderId="0" xfId="3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0" applyNumberFormat="1" applyFont="1" applyBorder="1"/>
    <xf numFmtId="0" fontId="2" fillId="0" borderId="0" xfId="0" applyFont="1" applyAlignment="1">
      <alignment horizontal="right"/>
    </xf>
    <xf numFmtId="165" fontId="0" fillId="0" borderId="0" xfId="0" applyNumberFormat="1" applyFill="1"/>
    <xf numFmtId="165" fontId="9" fillId="10" borderId="0" xfId="3" applyNumberFormat="1"/>
    <xf numFmtId="0" fontId="0" fillId="5" borderId="2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8" xfId="0" applyFill="1" applyBorder="1" applyAlignment="1"/>
    <xf numFmtId="0" fontId="0" fillId="6" borderId="9" xfId="0" applyFill="1" applyBorder="1" applyAlignment="1"/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">
    <cellStyle name="Bad" xfId="3" builtinId="27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FF6600"/>
      <color rgb="FFFF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'Compressor MAP'!$B$1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'Compressor MAP'!$D$3:$D$202</c:f>
              <c:numCache>
                <c:formatCode>General</c:formatCode>
                <c:ptCount val="200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'Compressor MAP'!$C$3:$C$202</c:f>
              <c:numCache>
                <c:formatCode>General</c:formatCode>
                <c:ptCount val="200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82704"/>
        <c:axId val="-1777776720"/>
      </c:scatterChart>
      <c:valAx>
        <c:axId val="-1777782704"/>
        <c:scaling>
          <c:orientation val="minMax"/>
          <c:max val="21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6720"/>
        <c:crosses val="autoZero"/>
        <c:crossBetween val="midCat"/>
      </c:valAx>
      <c:valAx>
        <c:axId val="-177777672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270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'Exhaust Fixed Fluid'!$C$4:$C$11</c:f>
              <c:numCache>
                <c:formatCode>0.00</c:formatCode>
                <c:ptCount val="8"/>
                <c:pt idx="0">
                  <c:v>22.7</c:v>
                </c:pt>
                <c:pt idx="1">
                  <c:v>57.4</c:v>
                </c:pt>
                <c:pt idx="2">
                  <c:v>72.3</c:v>
                </c:pt>
                <c:pt idx="3">
                  <c:v>82.6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Fluid'!$D$4:$D$11</c:f>
              <c:numCache>
                <c:formatCode>0.000000000</c:formatCode>
                <c:ptCount val="8"/>
                <c:pt idx="0">
                  <c:v>0.95</c:v>
                </c:pt>
                <c:pt idx="1">
                  <c:v>0.95</c:v>
                </c:pt>
                <c:pt idx="2">
                  <c:v>0.95392265999999992</c:v>
                </c:pt>
                <c:pt idx="3">
                  <c:v>0.95784532</c:v>
                </c:pt>
                <c:pt idx="4">
                  <c:v>0.964709975</c:v>
                </c:pt>
                <c:pt idx="5">
                  <c:v>0.96569063999999993</c:v>
                </c:pt>
                <c:pt idx="6">
                  <c:v>0.97255529499999993</c:v>
                </c:pt>
                <c:pt idx="7">
                  <c:v>0.97255529499999993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'Exhaust Fixed Fluid'!$C$13:$C$20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57.4</c:v>
                </c:pt>
                <c:pt idx="2">
                  <c:v>72.3</c:v>
                </c:pt>
                <c:pt idx="3">
                  <c:v>82.6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Fluid'!$D$13:$D$20</c:f>
              <c:numCache>
                <c:formatCode>0.000000000</c:formatCode>
                <c:ptCount val="8"/>
                <c:pt idx="0">
                  <c:v>1.07</c:v>
                </c:pt>
                <c:pt idx="1">
                  <c:v>1.07</c:v>
                </c:pt>
                <c:pt idx="2">
                  <c:v>1.07392266</c:v>
                </c:pt>
                <c:pt idx="3">
                  <c:v>1.07784532</c:v>
                </c:pt>
                <c:pt idx="4">
                  <c:v>1.084709975</c:v>
                </c:pt>
                <c:pt idx="5">
                  <c:v>1.0856906400000002</c:v>
                </c:pt>
                <c:pt idx="6">
                  <c:v>1.0925552950000001</c:v>
                </c:pt>
                <c:pt idx="7">
                  <c:v>1.0925552950000001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80528"/>
        <c:axId val="-1777783792"/>
      </c:scatterChart>
      <c:valAx>
        <c:axId val="-177778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3792"/>
        <c:crosses val="autoZero"/>
        <c:crossBetween val="midCat"/>
      </c:valAx>
      <c:valAx>
        <c:axId val="-1777783792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8.0028639058128874</c:v>
                </c:pt>
                <c:pt idx="1">
                  <c:v>11.906037506383118</c:v>
                </c:pt>
                <c:pt idx="2">
                  <c:v>15.360213615536921</c:v>
                </c:pt>
                <c:pt idx="3">
                  <c:v>17.264341906886919</c:v>
                </c:pt>
                <c:pt idx="4">
                  <c:v>18.48612039340539</c:v>
                </c:pt>
                <c:pt idx="5">
                  <c:v>19.598454143927498</c:v>
                </c:pt>
              </c:numCache>
            </c:numRef>
          </c:xVal>
          <c:yVal>
            <c:numRef>
              <c:f>RESULTS!$D$107:$I$107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RESULTS!$Z$108:$AC$108</c:f>
              <c:numCache>
                <c:formatCode>0.00</c:formatCode>
                <c:ptCount val="4"/>
                <c:pt idx="0">
                  <c:v>14.334200395094275</c:v>
                </c:pt>
                <c:pt idx="1">
                  <c:v>13.655535939254911</c:v>
                </c:pt>
                <c:pt idx="2">
                  <c:v>13.805573218484579</c:v>
                </c:pt>
                <c:pt idx="3">
                  <c:v>12.052651101529158</c:v>
                </c:pt>
              </c:numCache>
            </c:numRef>
          </c:xVal>
          <c:yVal>
            <c:numRef>
              <c:f>RESULTS!$Z$107:$AI$107</c:f>
              <c:numCache>
                <c:formatCode>General</c:formatCode>
                <c:ptCount val="10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88144"/>
        <c:axId val="-1777779984"/>
      </c:scatterChart>
      <c:valAx>
        <c:axId val="-177778814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9984"/>
        <c:crosses val="autoZero"/>
        <c:crossBetween val="midCat"/>
      </c:valAx>
      <c:valAx>
        <c:axId val="-17777799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8.0028639058128874</c:v>
                </c:pt>
                <c:pt idx="1">
                  <c:v>11.906037506383118</c:v>
                </c:pt>
                <c:pt idx="2">
                  <c:v>15.360213615536921</c:v>
                </c:pt>
                <c:pt idx="3">
                  <c:v>17.264341906886919</c:v>
                </c:pt>
                <c:pt idx="4">
                  <c:v>18.48612039340539</c:v>
                </c:pt>
                <c:pt idx="5">
                  <c:v>19.598454143927498</c:v>
                </c:pt>
              </c:numCache>
            </c:numRef>
          </c:xVal>
          <c:yVal>
            <c:numRef>
              <c:f>RESULTS!$D$119:$I$119</c:f>
              <c:numCache>
                <c:formatCode>0.00</c:formatCode>
                <c:ptCount val="6"/>
                <c:pt idx="0">
                  <c:v>42</c:v>
                </c:pt>
                <c:pt idx="1">
                  <c:v>56</c:v>
                </c:pt>
                <c:pt idx="2">
                  <c:v>70</c:v>
                </c:pt>
                <c:pt idx="3">
                  <c:v>77</c:v>
                </c:pt>
                <c:pt idx="4">
                  <c:v>85</c:v>
                </c:pt>
                <c:pt idx="5">
                  <c:v>90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RESULTS!$Z$108:$AC$108</c:f>
              <c:numCache>
                <c:formatCode>0.00</c:formatCode>
                <c:ptCount val="4"/>
                <c:pt idx="0">
                  <c:v>14.334200395094275</c:v>
                </c:pt>
                <c:pt idx="1">
                  <c:v>13.655535939254911</c:v>
                </c:pt>
                <c:pt idx="2">
                  <c:v>13.805573218484579</c:v>
                </c:pt>
                <c:pt idx="3">
                  <c:v>12.052651101529158</c:v>
                </c:pt>
              </c:numCache>
            </c:numRef>
          </c:xVal>
          <c:yVal>
            <c:numRef>
              <c:f>RESULTS!$Z$119:$AI$119</c:f>
              <c:numCache>
                <c:formatCode>0.00</c:formatCode>
                <c:ptCount val="10"/>
                <c:pt idx="0">
                  <c:v>80.25</c:v>
                </c:pt>
                <c:pt idx="1">
                  <c:v>72.333333333333329</c:v>
                </c:pt>
                <c:pt idx="2">
                  <c:v>80.333333333333329</c:v>
                </c:pt>
                <c:pt idx="3">
                  <c:v>71</c:v>
                </c:pt>
                <c:pt idx="4">
                  <c:v>77</c:v>
                </c:pt>
                <c:pt idx="5">
                  <c:v>79</c:v>
                </c:pt>
                <c:pt idx="6">
                  <c:v>78.166666666666671</c:v>
                </c:pt>
                <c:pt idx="7">
                  <c:v>81.333333333333329</c:v>
                </c:pt>
                <c:pt idx="8">
                  <c:v>80.666666666666671</c:v>
                </c:pt>
                <c:pt idx="9">
                  <c:v>80.5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79440"/>
        <c:axId val="-1777787600"/>
      </c:scatterChart>
      <c:valAx>
        <c:axId val="-177777944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7600"/>
        <c:crosses val="autoZero"/>
        <c:crossBetween val="midCat"/>
      </c:valAx>
      <c:valAx>
        <c:axId val="-177778760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8.0028639058128874</c:v>
                </c:pt>
                <c:pt idx="1">
                  <c:v>11.906037506383118</c:v>
                </c:pt>
                <c:pt idx="2">
                  <c:v>15.360213615536921</c:v>
                </c:pt>
                <c:pt idx="3">
                  <c:v>17.264341906886919</c:v>
                </c:pt>
                <c:pt idx="4">
                  <c:v>18.48612039340539</c:v>
                </c:pt>
                <c:pt idx="5">
                  <c:v>19.598454143927498</c:v>
                </c:pt>
              </c:numCache>
            </c:numRef>
          </c:xVal>
          <c:yVal>
            <c:numRef>
              <c:f>RESULTS!$D$116:$I$116</c:f>
              <c:numCache>
                <c:formatCode>0.00</c:formatCode>
                <c:ptCount val="6"/>
                <c:pt idx="0">
                  <c:v>74.155934341940693</c:v>
                </c:pt>
                <c:pt idx="1">
                  <c:v>101.44123248074693</c:v>
                </c:pt>
                <c:pt idx="2">
                  <c:v>132.60062365229842</c:v>
                </c:pt>
                <c:pt idx="3">
                  <c:v>148.55709627948298</c:v>
                </c:pt>
                <c:pt idx="4">
                  <c:v>148.74926285763581</c:v>
                </c:pt>
                <c:pt idx="5">
                  <c:v>151.12354361853252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RESULTS!$Z$108:$AK$108</c:f>
              <c:numCache>
                <c:formatCode>0.00</c:formatCode>
                <c:ptCount val="12"/>
                <c:pt idx="0">
                  <c:v>14.334200395094275</c:v>
                </c:pt>
                <c:pt idx="1">
                  <c:v>13.655535939254911</c:v>
                </c:pt>
                <c:pt idx="2">
                  <c:v>13.805573218484579</c:v>
                </c:pt>
                <c:pt idx="3">
                  <c:v>12.052651101529158</c:v>
                </c:pt>
                <c:pt idx="4">
                  <c:v>13.645935380538589</c:v>
                </c:pt>
                <c:pt idx="5">
                  <c:v>13.89938993718167</c:v>
                </c:pt>
                <c:pt idx="6">
                  <c:v>13.638893115283697</c:v>
                </c:pt>
                <c:pt idx="7">
                  <c:v>14.177682438146514</c:v>
                </c:pt>
                <c:pt idx="8">
                  <c:v>14.092713594816127</c:v>
                </c:pt>
                <c:pt idx="9">
                  <c:v>14.027931773629634</c:v>
                </c:pt>
                <c:pt idx="10">
                  <c:v>14.247427826590917</c:v>
                </c:pt>
                <c:pt idx="11">
                  <c:v>14.800740793430814</c:v>
                </c:pt>
              </c:numCache>
            </c:numRef>
          </c:xVal>
          <c:yVal>
            <c:numRef>
              <c:f>RESULTS!$Z$116:$AK$116</c:f>
              <c:numCache>
                <c:formatCode>0.00</c:formatCode>
                <c:ptCount val="12"/>
                <c:pt idx="0">
                  <c:v>137.08394699999999</c:v>
                </c:pt>
                <c:pt idx="1">
                  <c:v>135.186182</c:v>
                </c:pt>
                <c:pt idx="2">
                  <c:v>134.44573333333332</c:v>
                </c:pt>
                <c:pt idx="3">
                  <c:v>118.83185533333334</c:v>
                </c:pt>
                <c:pt idx="4">
                  <c:v>131.05364700000001</c:v>
                </c:pt>
                <c:pt idx="5">
                  <c:v>134.80066133333335</c:v>
                </c:pt>
                <c:pt idx="6">
                  <c:v>127.39969350000001</c:v>
                </c:pt>
                <c:pt idx="7">
                  <c:v>131.34803333333335</c:v>
                </c:pt>
                <c:pt idx="8">
                  <c:v>135.96846000000002</c:v>
                </c:pt>
                <c:pt idx="9">
                  <c:v>135.54797466666668</c:v>
                </c:pt>
                <c:pt idx="10">
                  <c:v>136.94091733333332</c:v>
                </c:pt>
                <c:pt idx="11">
                  <c:v>139.75733666666667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78896"/>
        <c:axId val="-1777778352"/>
      </c:scatterChart>
      <c:valAx>
        <c:axId val="-177777889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8352"/>
        <c:crosses val="autoZero"/>
        <c:crossBetween val="midCat"/>
      </c:valAx>
      <c:valAx>
        <c:axId val="-177777835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5784</c:v>
                </c:pt>
                <c:pt idx="1">
                  <c:v>11365</c:v>
                </c:pt>
                <c:pt idx="2">
                  <c:v>17113</c:v>
                </c:pt>
                <c:pt idx="3">
                  <c:v>20620</c:v>
                </c:pt>
                <c:pt idx="4">
                  <c:v>22959</c:v>
                </c:pt>
                <c:pt idx="5">
                  <c:v>25120</c:v>
                </c:pt>
              </c:numCache>
            </c:numRef>
          </c:xVal>
          <c:yVal>
            <c:numRef>
              <c:f>RESULTS!$D$143:$I$143</c:f>
              <c:numCache>
                <c:formatCode>0.00</c:formatCode>
                <c:ptCount val="6"/>
                <c:pt idx="0">
                  <c:v>48.57629681239888</c:v>
                </c:pt>
                <c:pt idx="1">
                  <c:v>74.582310815336783</c:v>
                </c:pt>
                <c:pt idx="2">
                  <c:v>105.02071020327013</c:v>
                </c:pt>
                <c:pt idx="3">
                  <c:v>123.14806327734752</c:v>
                </c:pt>
                <c:pt idx="4">
                  <c:v>137.10773619289048</c:v>
                </c:pt>
                <c:pt idx="5">
                  <c:v>146.46227643971793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17401</c:v>
                </c:pt>
                <c:pt idx="1">
                  <c:v>15930</c:v>
                </c:pt>
                <c:pt idx="2">
                  <c:v>16507</c:v>
                </c:pt>
                <c:pt idx="3">
                  <c:v>13096</c:v>
                </c:pt>
                <c:pt idx="4">
                  <c:v>16300.999999999998</c:v>
                </c:pt>
                <c:pt idx="5">
                  <c:v>17192</c:v>
                </c:pt>
                <c:pt idx="6">
                  <c:v>16474</c:v>
                </c:pt>
                <c:pt idx="7">
                  <c:v>17253</c:v>
                </c:pt>
                <c:pt idx="8">
                  <c:v>17161</c:v>
                </c:pt>
                <c:pt idx="9">
                  <c:v>17075</c:v>
                </c:pt>
                <c:pt idx="10">
                  <c:v>17364</c:v>
                </c:pt>
                <c:pt idx="11">
                  <c:v>17709</c:v>
                </c:pt>
              </c:numCache>
            </c:numRef>
          </c:xVal>
          <c:yVal>
            <c:numRef>
              <c:f>RESULTS!$Z$143:$AK$143</c:f>
              <c:numCache>
                <c:formatCode>0.00</c:formatCode>
                <c:ptCount val="12"/>
                <c:pt idx="0">
                  <c:v>116.50406160000001</c:v>
                </c:pt>
                <c:pt idx="1">
                  <c:v>113.67033333333333</c:v>
                </c:pt>
                <c:pt idx="2">
                  <c:v>113.88158633333333</c:v>
                </c:pt>
                <c:pt idx="3">
                  <c:v>95.162636666666671</c:v>
                </c:pt>
                <c:pt idx="4">
                  <c:v>109.02047040000001</c:v>
                </c:pt>
                <c:pt idx="5">
                  <c:v>114.1768174</c:v>
                </c:pt>
                <c:pt idx="6">
                  <c:v>105.6676392</c:v>
                </c:pt>
                <c:pt idx="7">
                  <c:v>112.19546986666666</c:v>
                </c:pt>
                <c:pt idx="8">
                  <c:v>116.13637</c:v>
                </c:pt>
                <c:pt idx="9">
                  <c:v>114.231876</c:v>
                </c:pt>
                <c:pt idx="10">
                  <c:v>115.98172739999998</c:v>
                </c:pt>
                <c:pt idx="11">
                  <c:v>118.5073057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85424"/>
        <c:axId val="-1777774000"/>
      </c:scatterChart>
      <c:valAx>
        <c:axId val="-17777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4000"/>
        <c:crosses val="autoZero"/>
        <c:crossBetween val="midCat"/>
      </c:valAx>
      <c:valAx>
        <c:axId val="-177777400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5784</c:v>
                </c:pt>
                <c:pt idx="1">
                  <c:v>11365</c:v>
                </c:pt>
                <c:pt idx="2">
                  <c:v>17113</c:v>
                </c:pt>
                <c:pt idx="3">
                  <c:v>20620</c:v>
                </c:pt>
                <c:pt idx="4">
                  <c:v>22959</c:v>
                </c:pt>
                <c:pt idx="5">
                  <c:v>25120</c:v>
                </c:pt>
              </c:numCache>
            </c:numRef>
          </c:xVal>
          <c:yVal>
            <c:numRef>
              <c:f>RESULTS!$D$135:$I$135</c:f>
              <c:numCache>
                <c:formatCode>0.00000</c:formatCode>
                <c:ptCount val="6"/>
                <c:pt idx="0">
                  <c:v>1.3316729485359526</c:v>
                </c:pt>
                <c:pt idx="1">
                  <c:v>2.065962749072888</c:v>
                </c:pt>
                <c:pt idx="2">
                  <c:v>2.8588230062965967</c:v>
                </c:pt>
                <c:pt idx="3">
                  <c:v>3.3584002024113726</c:v>
                </c:pt>
                <c:pt idx="4">
                  <c:v>3.7099396023297069</c:v>
                </c:pt>
                <c:pt idx="5">
                  <c:v>3.9669288498435815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17401</c:v>
                </c:pt>
                <c:pt idx="1">
                  <c:v>15930</c:v>
                </c:pt>
                <c:pt idx="2">
                  <c:v>16507</c:v>
                </c:pt>
                <c:pt idx="3">
                  <c:v>13096</c:v>
                </c:pt>
                <c:pt idx="4">
                  <c:v>16300.999999999998</c:v>
                </c:pt>
                <c:pt idx="5">
                  <c:v>17192</c:v>
                </c:pt>
                <c:pt idx="6">
                  <c:v>16474</c:v>
                </c:pt>
                <c:pt idx="7">
                  <c:v>17253</c:v>
                </c:pt>
                <c:pt idx="8">
                  <c:v>17161</c:v>
                </c:pt>
                <c:pt idx="9">
                  <c:v>17075</c:v>
                </c:pt>
                <c:pt idx="10">
                  <c:v>17364</c:v>
                </c:pt>
                <c:pt idx="11">
                  <c:v>17709</c:v>
                </c:pt>
              </c:numCache>
            </c:numRef>
          </c:xVal>
          <c:yVal>
            <c:numRef>
              <c:f>RESULTS!$Z$135:$AK$135</c:f>
              <c:numCache>
                <c:formatCode>0.00000</c:formatCode>
                <c:ptCount val="12"/>
                <c:pt idx="0">
                  <c:v>2.3924455600000001</c:v>
                </c:pt>
                <c:pt idx="1">
                  <c:v>2.2635403999999997</c:v>
                </c:pt>
                <c:pt idx="2">
                  <c:v>2.2766779999999995</c:v>
                </c:pt>
                <c:pt idx="3">
                  <c:v>1.8481756</c:v>
                </c:pt>
                <c:pt idx="4">
                  <c:v>2.1630031999999999</c:v>
                </c:pt>
                <c:pt idx="5">
                  <c:v>2.2729225599999996</c:v>
                </c:pt>
                <c:pt idx="6">
                  <c:v>2.1996832000000004</c:v>
                </c:pt>
                <c:pt idx="7">
                  <c:v>2.2656166400000002</c:v>
                </c:pt>
                <c:pt idx="8">
                  <c:v>2.3499914</c:v>
                </c:pt>
                <c:pt idx="9">
                  <c:v>2.3408929599999997</c:v>
                </c:pt>
                <c:pt idx="10">
                  <c:v>2.3667602400000001</c:v>
                </c:pt>
                <c:pt idx="11">
                  <c:v>2.4068831999999998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89776"/>
        <c:axId val="-1777772912"/>
      </c:scatterChart>
      <c:valAx>
        <c:axId val="-177778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2912"/>
        <c:crosses val="autoZero"/>
        <c:crossBetween val="midCat"/>
      </c:valAx>
      <c:valAx>
        <c:axId val="-17777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8977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5784</c:v>
                </c:pt>
                <c:pt idx="1">
                  <c:v>11365</c:v>
                </c:pt>
                <c:pt idx="2">
                  <c:v>17113</c:v>
                </c:pt>
                <c:pt idx="3">
                  <c:v>20620</c:v>
                </c:pt>
                <c:pt idx="4">
                  <c:v>22959</c:v>
                </c:pt>
                <c:pt idx="5">
                  <c:v>25120</c:v>
                </c:pt>
              </c:numCache>
            </c:numRef>
          </c:xVal>
          <c:yVal>
            <c:numRef>
              <c:f>RESULTS!$D$127:$I$127</c:f>
              <c:numCache>
                <c:formatCode>General</c:formatCode>
                <c:ptCount val="6"/>
                <c:pt idx="0">
                  <c:v>276.07979805000002</c:v>
                </c:pt>
                <c:pt idx="1">
                  <c:v>327.72452959999998</c:v>
                </c:pt>
                <c:pt idx="2">
                  <c:v>347.80271679999998</c:v>
                </c:pt>
                <c:pt idx="3">
                  <c:v>362.95131635000001</c:v>
                </c:pt>
                <c:pt idx="4">
                  <c:v>386.2021704</c:v>
                </c:pt>
                <c:pt idx="5">
                  <c:v>404.35647559999995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17401</c:v>
                </c:pt>
                <c:pt idx="1">
                  <c:v>15930</c:v>
                </c:pt>
                <c:pt idx="2">
                  <c:v>16507</c:v>
                </c:pt>
                <c:pt idx="3">
                  <c:v>13096</c:v>
                </c:pt>
                <c:pt idx="4">
                  <c:v>16300.999999999998</c:v>
                </c:pt>
                <c:pt idx="5">
                  <c:v>17192</c:v>
                </c:pt>
                <c:pt idx="6">
                  <c:v>16474</c:v>
                </c:pt>
                <c:pt idx="7">
                  <c:v>17253</c:v>
                </c:pt>
                <c:pt idx="8">
                  <c:v>17161</c:v>
                </c:pt>
                <c:pt idx="9">
                  <c:v>17075</c:v>
                </c:pt>
                <c:pt idx="10">
                  <c:v>17364</c:v>
                </c:pt>
                <c:pt idx="11">
                  <c:v>17709</c:v>
                </c:pt>
              </c:numCache>
            </c:numRef>
          </c:xVal>
          <c:yVal>
            <c:numRef>
              <c:f>RESULTS!$Z$127:$AK$127</c:f>
              <c:numCache>
                <c:formatCode>General</c:formatCode>
                <c:ptCount val="12"/>
                <c:pt idx="0">
                  <c:v>363.731517</c:v>
                </c:pt>
                <c:pt idx="1">
                  <c:v>341.38515599999999</c:v>
                </c:pt>
                <c:pt idx="2">
                  <c:v>353.05664000000002</c:v>
                </c:pt>
                <c:pt idx="3">
                  <c:v>340.010918</c:v>
                </c:pt>
                <c:pt idx="4">
                  <c:v>358.64183599999996</c:v>
                </c:pt>
                <c:pt idx="5">
                  <c:v>365.27481599999999</c:v>
                </c:pt>
                <c:pt idx="6">
                  <c:v>376.77629199999996</c:v>
                </c:pt>
                <c:pt idx="7">
                  <c:v>375.89917199999996</c:v>
                </c:pt>
                <c:pt idx="8">
                  <c:v>368.80714499999999</c:v>
                </c:pt>
                <c:pt idx="9">
                  <c:v>374.73826399999996</c:v>
                </c:pt>
                <c:pt idx="10">
                  <c:v>372.99582000000004</c:v>
                </c:pt>
                <c:pt idx="11">
                  <c:v>358.87905599999999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9648"/>
        <c:axId val="-1777758768"/>
      </c:scatterChart>
      <c:valAx>
        <c:axId val="-17777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58768"/>
        <c:crosses val="autoZero"/>
        <c:crossBetween val="midCat"/>
      </c:valAx>
      <c:valAx>
        <c:axId val="-17777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RESULTS!$D$135:$I$135</c:f>
              <c:numCache>
                <c:formatCode>0.00000</c:formatCode>
                <c:ptCount val="6"/>
                <c:pt idx="0">
                  <c:v>1.3316729485359526</c:v>
                </c:pt>
                <c:pt idx="1">
                  <c:v>2.065962749072888</c:v>
                </c:pt>
                <c:pt idx="2">
                  <c:v>2.8588230062965967</c:v>
                </c:pt>
                <c:pt idx="3">
                  <c:v>3.3584002024113726</c:v>
                </c:pt>
                <c:pt idx="4">
                  <c:v>3.7099396023297069</c:v>
                </c:pt>
                <c:pt idx="5">
                  <c:v>3.9669288498435815</c:v>
                </c:pt>
              </c:numCache>
            </c:numRef>
          </c:xVal>
          <c:yVal>
            <c:numRef>
              <c:f>RESULTS!$D$146:$I$146</c:f>
              <c:numCache>
                <c:formatCode>General</c:formatCode>
                <c:ptCount val="6"/>
                <c:pt idx="0">
                  <c:v>5620</c:v>
                </c:pt>
                <c:pt idx="1">
                  <c:v>9240</c:v>
                </c:pt>
                <c:pt idx="2">
                  <c:v>11451.5</c:v>
                </c:pt>
                <c:pt idx="3">
                  <c:v>12285</c:v>
                </c:pt>
                <c:pt idx="4">
                  <c:v>12994.5</c:v>
                </c:pt>
                <c:pt idx="5">
                  <c:v>13552.5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RESULTS!$Z$135:$AK$135</c:f>
              <c:numCache>
                <c:formatCode>0.00000</c:formatCode>
                <c:ptCount val="12"/>
                <c:pt idx="0">
                  <c:v>2.3924455600000001</c:v>
                </c:pt>
                <c:pt idx="1">
                  <c:v>2.2635403999999997</c:v>
                </c:pt>
                <c:pt idx="2">
                  <c:v>2.2766779999999995</c:v>
                </c:pt>
                <c:pt idx="3">
                  <c:v>1.8481756</c:v>
                </c:pt>
                <c:pt idx="4">
                  <c:v>2.1630031999999999</c:v>
                </c:pt>
                <c:pt idx="5">
                  <c:v>2.2729225599999996</c:v>
                </c:pt>
                <c:pt idx="6">
                  <c:v>2.1996832000000004</c:v>
                </c:pt>
                <c:pt idx="7">
                  <c:v>2.2656166400000002</c:v>
                </c:pt>
                <c:pt idx="8">
                  <c:v>2.3499914</c:v>
                </c:pt>
                <c:pt idx="9">
                  <c:v>2.3408929599999997</c:v>
                </c:pt>
                <c:pt idx="10">
                  <c:v>2.3667602400000001</c:v>
                </c:pt>
                <c:pt idx="11">
                  <c:v>2.4068831999999998</c:v>
                </c:pt>
              </c:numCache>
            </c:numRef>
          </c:xVal>
          <c:yVal>
            <c:numRef>
              <c:f>RESULTS!$Z$146:$AK$146</c:f>
              <c:numCache>
                <c:formatCode>General</c:formatCode>
                <c:ptCount val="12"/>
                <c:pt idx="0">
                  <c:v>12410</c:v>
                </c:pt>
                <c:pt idx="1">
                  <c:v>12235</c:v>
                </c:pt>
                <c:pt idx="2">
                  <c:v>12210</c:v>
                </c:pt>
                <c:pt idx="3">
                  <c:v>11074</c:v>
                </c:pt>
                <c:pt idx="4">
                  <c:v>12127.5</c:v>
                </c:pt>
                <c:pt idx="5">
                  <c:v>12232.5</c:v>
                </c:pt>
                <c:pt idx="6">
                  <c:v>12170</c:v>
                </c:pt>
                <c:pt idx="7">
                  <c:v>12410</c:v>
                </c:pt>
                <c:pt idx="8">
                  <c:v>12315</c:v>
                </c:pt>
                <c:pt idx="9">
                  <c:v>12310</c:v>
                </c:pt>
                <c:pt idx="10">
                  <c:v>12380</c:v>
                </c:pt>
                <c:pt idx="11">
                  <c:v>12360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8560"/>
        <c:axId val="-1777772368"/>
      </c:scatterChart>
      <c:valAx>
        <c:axId val="-177776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2368"/>
        <c:crosses val="autoZero"/>
        <c:crossBetween val="midCat"/>
        <c:majorUnit val="1"/>
      </c:valAx>
      <c:valAx>
        <c:axId val="-17777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4313.1280596480001</c:v>
                </c:pt>
                <c:pt idx="1">
                  <c:v>8474.8790452800004</c:v>
                </c:pt>
                <c:pt idx="2">
                  <c:v>12761.161909536</c:v>
                </c:pt>
                <c:pt idx="3">
                  <c:v>15376.331360639999</c:v>
                </c:pt>
                <c:pt idx="4">
                  <c:v>17120.523361248001</c:v>
                </c:pt>
                <c:pt idx="5">
                  <c:v>18731.98078464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13161.602740799999</c:v>
                </c:pt>
                <c:pt idx="1">
                  <c:v>12498.675554592</c:v>
                </c:pt>
                <c:pt idx="2">
                  <c:v>15498.626139648</c:v>
                </c:pt>
                <c:pt idx="3">
                  <c:v>14670.153581856001</c:v>
                </c:pt>
                <c:pt idx="4">
                  <c:v>17081.001268032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12975.923472672001</c:v>
                </c:pt>
                <c:pt idx="1">
                  <c:v>11878.99896096</c:v>
                </c:pt>
                <c:pt idx="2">
                  <c:v>12309.267787104</c:v>
                </c:pt>
                <c:pt idx="3">
                  <c:v>9765.6855237119998</c:v>
                </c:pt>
                <c:pt idx="4">
                  <c:v>12155.653613471999</c:v>
                </c:pt>
                <c:pt idx="5">
                  <c:v>12820.072199423999</c:v>
                </c:pt>
                <c:pt idx="6">
                  <c:v>12284.659691327999</c:v>
                </c:pt>
                <c:pt idx="7">
                  <c:v>12865.559891616</c:v>
                </c:pt>
                <c:pt idx="8">
                  <c:v>12796.955503392001</c:v>
                </c:pt>
                <c:pt idx="9">
                  <c:v>12732.825314399999</c:v>
                </c:pt>
                <c:pt idx="10">
                  <c:v>12948.332577408</c:v>
                </c:pt>
                <c:pt idx="11">
                  <c:v>13205.599033248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8016"/>
        <c:axId val="-1777771824"/>
      </c:scatterChart>
      <c:valAx>
        <c:axId val="-17777680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1824"/>
        <c:crosses val="autoZero"/>
        <c:crossBetween val="midCat"/>
      </c:valAx>
      <c:valAx>
        <c:axId val="-17777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42</c:v>
                </c:pt>
                <c:pt idx="1">
                  <c:v>56</c:v>
                </c:pt>
                <c:pt idx="2">
                  <c:v>70</c:v>
                </c:pt>
                <c:pt idx="3">
                  <c:v>77</c:v>
                </c:pt>
                <c:pt idx="4">
                  <c:v>85</c:v>
                </c:pt>
                <c:pt idx="5">
                  <c:v>90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75.333333333333329</c:v>
                </c:pt>
                <c:pt idx="1">
                  <c:v>72.333333333333329</c:v>
                </c:pt>
                <c:pt idx="2">
                  <c:v>84.166666666666671</c:v>
                </c:pt>
                <c:pt idx="3">
                  <c:v>80</c:v>
                </c:pt>
                <c:pt idx="4">
                  <c:v>88.166666666666671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80.25</c:v>
                </c:pt>
                <c:pt idx="1">
                  <c:v>72.333333333333329</c:v>
                </c:pt>
                <c:pt idx="2">
                  <c:v>80.333333333333329</c:v>
                </c:pt>
                <c:pt idx="3">
                  <c:v>71</c:v>
                </c:pt>
                <c:pt idx="4">
                  <c:v>77</c:v>
                </c:pt>
                <c:pt idx="5">
                  <c:v>79</c:v>
                </c:pt>
                <c:pt idx="6">
                  <c:v>78.166666666666671</c:v>
                </c:pt>
                <c:pt idx="7">
                  <c:v>81.333333333333329</c:v>
                </c:pt>
                <c:pt idx="8">
                  <c:v>80.666666666666671</c:v>
                </c:pt>
                <c:pt idx="9">
                  <c:v>80.5</c:v>
                </c:pt>
                <c:pt idx="10">
                  <c:v>81.5</c:v>
                </c:pt>
                <c:pt idx="11">
                  <c:v>81.333333333333329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6928"/>
        <c:axId val="-1777770736"/>
      </c:scatterChart>
      <c:valAx>
        <c:axId val="-17777669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70736"/>
        <c:crosses val="autoZero"/>
        <c:crossBetween val="midCat"/>
      </c:valAx>
      <c:valAx>
        <c:axId val="-17777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1.0295941210551698</c:v>
                </c:pt>
                <c:pt idx="1">
                  <c:v>1.0279833010576009</c:v>
                </c:pt>
                <c:pt idx="2">
                  <c:v>1.0229530285028119</c:v>
                </c:pt>
                <c:pt idx="3">
                  <c:v>1.0305542229976261</c:v>
                </c:pt>
                <c:pt idx="4">
                  <c:v>1.0266264565015959</c:v>
                </c:pt>
                <c:pt idx="5">
                  <c:v>1.0855684937391459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-14.219084060794522</c:v>
                </c:pt>
                <c:pt idx="1">
                  <c:v>-13.502893367874051</c:v>
                </c:pt>
                <c:pt idx="2">
                  <c:v>-15.822872417761095</c:v>
                </c:pt>
                <c:pt idx="3">
                  <c:v>-15.011748017191533</c:v>
                </c:pt>
                <c:pt idx="4">
                  <c:v>-16.847127539423827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1.0135370533033274</c:v>
                </c:pt>
                <c:pt idx="1">
                  <c:v>1.0134317077020114</c:v>
                </c:pt>
                <c:pt idx="2">
                  <c:v>1.0136227768609469</c:v>
                </c:pt>
                <c:pt idx="3">
                  <c:v>1.0140107192908321</c:v>
                </c:pt>
                <c:pt idx="4">
                  <c:v>1.0136227768609505</c:v>
                </c:pt>
                <c:pt idx="5">
                  <c:v>0.7387184716296904</c:v>
                </c:pt>
                <c:pt idx="6">
                  <c:v>1.013893105103131</c:v>
                </c:pt>
                <c:pt idx="7">
                  <c:v>1.013999567339182</c:v>
                </c:pt>
                <c:pt idx="8">
                  <c:v>1.01364496680036</c:v>
                </c:pt>
                <c:pt idx="9">
                  <c:v>1.0144071058731399</c:v>
                </c:pt>
                <c:pt idx="10">
                  <c:v>1.0136449668003618</c:v>
                </c:pt>
                <c:pt idx="11">
                  <c:v>1.3040199535303891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0944"/>
        <c:axId val="-1777766384"/>
      </c:scatterChart>
      <c:valAx>
        <c:axId val="-177776094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6384"/>
        <c:crosses val="autoZero"/>
        <c:crossBetween val="midCat"/>
      </c:valAx>
      <c:valAx>
        <c:axId val="-1777766384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5620</c:v>
                </c:pt>
                <c:pt idx="1">
                  <c:v>9240</c:v>
                </c:pt>
                <c:pt idx="2">
                  <c:v>11451.5</c:v>
                </c:pt>
                <c:pt idx="3">
                  <c:v>12285</c:v>
                </c:pt>
                <c:pt idx="4">
                  <c:v>12994.5</c:v>
                </c:pt>
                <c:pt idx="5">
                  <c:v>13552.5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11875</c:v>
                </c:pt>
                <c:pt idx="1">
                  <c:v>11606</c:v>
                </c:pt>
                <c:pt idx="2">
                  <c:v>12787.5</c:v>
                </c:pt>
                <c:pt idx="3">
                  <c:v>12520</c:v>
                </c:pt>
                <c:pt idx="4">
                  <c:v>13430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12410</c:v>
                </c:pt>
                <c:pt idx="1">
                  <c:v>12235</c:v>
                </c:pt>
                <c:pt idx="2">
                  <c:v>12210</c:v>
                </c:pt>
                <c:pt idx="3">
                  <c:v>11074</c:v>
                </c:pt>
                <c:pt idx="4">
                  <c:v>12127.5</c:v>
                </c:pt>
                <c:pt idx="5">
                  <c:v>12232.5</c:v>
                </c:pt>
                <c:pt idx="6">
                  <c:v>12170</c:v>
                </c:pt>
                <c:pt idx="7">
                  <c:v>12410</c:v>
                </c:pt>
                <c:pt idx="8">
                  <c:v>12315</c:v>
                </c:pt>
                <c:pt idx="9">
                  <c:v>12310</c:v>
                </c:pt>
                <c:pt idx="10">
                  <c:v>12380</c:v>
                </c:pt>
                <c:pt idx="11">
                  <c:v>12360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4752"/>
        <c:axId val="-1777760400"/>
      </c:scatterChart>
      <c:valAx>
        <c:axId val="-17777647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0400"/>
        <c:crosses val="autoZero"/>
        <c:crossBetween val="midCat"/>
      </c:valAx>
      <c:valAx>
        <c:axId val="-17777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45734908136485"/>
          <c:y val="0.17697615923009624"/>
          <c:w val="0.25683858267716536"/>
          <c:h val="0.2881310148731408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36.465674959648886</c:v>
                </c:pt>
                <c:pt idx="1">
                  <c:v>36.110579392207399</c:v>
                </c:pt>
                <c:pt idx="2">
                  <c:v>36.742344693233846</c:v>
                </c:pt>
                <c:pt idx="3">
                  <c:v>36.641342162275791</c:v>
                </c:pt>
                <c:pt idx="4">
                  <c:v>36.932593086678352</c:v>
                </c:pt>
                <c:pt idx="5">
                  <c:v>36.866448594763725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34.049679921335937</c:v>
                </c:pt>
                <c:pt idx="1">
                  <c:v>35.646850640522509</c:v>
                </c:pt>
                <c:pt idx="2">
                  <c:v>36.332520117889487</c:v>
                </c:pt>
                <c:pt idx="3">
                  <c:v>35.831039268224359</c:v>
                </c:pt>
                <c:pt idx="4">
                  <c:v>35.678879226236987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48.298755186721998</c:v>
                </c:pt>
                <c:pt idx="1">
                  <c:v>49.818840579710148</c:v>
                </c:pt>
                <c:pt idx="2">
                  <c:v>49.615942028985515</c:v>
                </c:pt>
                <c:pt idx="3">
                  <c:v>51.096491228070178</c:v>
                </c:pt>
                <c:pt idx="4">
                  <c:v>49.860465116279073</c:v>
                </c:pt>
                <c:pt idx="5">
                  <c:v>49.762931034482762</c:v>
                </c:pt>
                <c:pt idx="6">
                  <c:v>47.636363636363633</c:v>
                </c:pt>
                <c:pt idx="7">
                  <c:v>49.166666666666657</c:v>
                </c:pt>
                <c:pt idx="8">
                  <c:v>49.070100143061516</c:v>
                </c:pt>
                <c:pt idx="9">
                  <c:v>48.471615720524014</c:v>
                </c:pt>
                <c:pt idx="10">
                  <c:v>48.653846153846146</c:v>
                </c:pt>
                <c:pt idx="11">
                  <c:v>48.895833333333336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761488"/>
        <c:axId val="-1785992464"/>
      </c:scatterChart>
      <c:valAx>
        <c:axId val="-17777614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2464"/>
        <c:crosses val="autoZero"/>
        <c:crossBetween val="midCat"/>
      </c:valAx>
      <c:valAx>
        <c:axId val="-178599246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776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4949.9557503360002</c:v>
                </c:pt>
                <c:pt idx="1">
                  <c:v>9275.760707808</c:v>
                </c:pt>
                <c:pt idx="2">
                  <c:v>13671.661453248</c:v>
                </c:pt>
                <c:pt idx="3">
                  <c:v>16352.452493088</c:v>
                </c:pt>
                <c:pt idx="4">
                  <c:v>18127.218188448001</c:v>
                </c:pt>
                <c:pt idx="5">
                  <c:v>19830.396696095999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13963.2301032</c:v>
                </c:pt>
                <c:pt idx="1">
                  <c:v>12831.257697503999</c:v>
                </c:pt>
                <c:pt idx="2">
                  <c:v>13284.64321968</c:v>
                </c:pt>
                <c:pt idx="3">
                  <c:v>10662.762469727999</c:v>
                </c:pt>
                <c:pt idx="4">
                  <c:v>13131.029046047999</c:v>
                </c:pt>
                <c:pt idx="5">
                  <c:v>13539.672575904</c:v>
                </c:pt>
                <c:pt idx="6">
                  <c:v>13271.220621983999</c:v>
                </c:pt>
                <c:pt idx="7">
                  <c:v>13856.595021503999</c:v>
                </c:pt>
                <c:pt idx="8">
                  <c:v>13788.736333151999</c:v>
                </c:pt>
                <c:pt idx="9">
                  <c:v>13725.351844032</c:v>
                </c:pt>
                <c:pt idx="10">
                  <c:v>13940.113407167999</c:v>
                </c:pt>
                <c:pt idx="11">
                  <c:v>14481.49151424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90288"/>
        <c:axId val="-1785989200"/>
      </c:scatterChart>
      <c:valAx>
        <c:axId val="-17859902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9200"/>
        <c:crosses val="autoZero"/>
        <c:crossBetween val="midCat"/>
      </c:valAx>
      <c:valAx>
        <c:axId val="-17859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76.093917049533331</c:v>
                </c:pt>
                <c:pt idx="1">
                  <c:v>103.76031707142</c:v>
                </c:pt>
                <c:pt idx="2">
                  <c:v>135.34298379280335</c:v>
                </c:pt>
                <c:pt idx="3">
                  <c:v>151.00898384752</c:v>
                </c:pt>
                <c:pt idx="4">
                  <c:v>151.50898384752</c:v>
                </c:pt>
                <c:pt idx="5">
                  <c:v>153.67565051418666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131.18165002173666</c:v>
                </c:pt>
                <c:pt idx="1">
                  <c:v>130.34831668840334</c:v>
                </c:pt>
                <c:pt idx="2">
                  <c:v>146.34831668840334</c:v>
                </c:pt>
                <c:pt idx="3">
                  <c:v>145.68165002173666</c:v>
                </c:pt>
                <c:pt idx="4">
                  <c:v>146.68165002173666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136.5</c:v>
                </c:pt>
                <c:pt idx="1">
                  <c:v>135.5</c:v>
                </c:pt>
                <c:pt idx="2">
                  <c:v>134.16666666666666</c:v>
                </c:pt>
                <c:pt idx="3">
                  <c:v>120.16666666666667</c:v>
                </c:pt>
                <c:pt idx="4">
                  <c:v>128.83333333333334</c:v>
                </c:pt>
                <c:pt idx="5">
                  <c:v>135.33333333333334</c:v>
                </c:pt>
                <c:pt idx="6">
                  <c:v>126.16666666666667</c:v>
                </c:pt>
                <c:pt idx="7">
                  <c:v>129.16666666666666</c:v>
                </c:pt>
                <c:pt idx="8">
                  <c:v>134</c:v>
                </c:pt>
                <c:pt idx="9">
                  <c:v>132.33333333333334</c:v>
                </c:pt>
                <c:pt idx="10">
                  <c:v>134.66666666666666</c:v>
                </c:pt>
                <c:pt idx="11">
                  <c:v>138.33333333333334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6000624"/>
        <c:axId val="-1785987024"/>
      </c:scatterChart>
      <c:valAx>
        <c:axId val="-17860006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7024"/>
        <c:crosses val="autoZero"/>
        <c:crossBetween val="midCat"/>
      </c:valAx>
      <c:valAx>
        <c:axId val="-178598702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600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6771689997083697"/>
          <c:w val="0.29850524934383205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50.343917049533339</c:v>
                </c:pt>
                <c:pt idx="1">
                  <c:v>76.926983738086676</c:v>
                </c:pt>
                <c:pt idx="2">
                  <c:v>108.00965045947</c:v>
                </c:pt>
                <c:pt idx="3">
                  <c:v>126.00898384752</c:v>
                </c:pt>
                <c:pt idx="4">
                  <c:v>140.67565051418666</c:v>
                </c:pt>
                <c:pt idx="5">
                  <c:v>150.00898384752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104.68165002173667</c:v>
                </c:pt>
                <c:pt idx="1">
                  <c:v>104.34831668840333</c:v>
                </c:pt>
                <c:pt idx="2">
                  <c:v>129.51498335507</c:v>
                </c:pt>
                <c:pt idx="3">
                  <c:v>120.34831668840333</c:v>
                </c:pt>
                <c:pt idx="4">
                  <c:v>137.68165002173666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116.40000000000002</c:v>
                </c:pt>
                <c:pt idx="1">
                  <c:v>114.58333333333333</c:v>
                </c:pt>
                <c:pt idx="2">
                  <c:v>114.11666666666667</c:v>
                </c:pt>
                <c:pt idx="3">
                  <c:v>97.083333333333329</c:v>
                </c:pt>
                <c:pt idx="4">
                  <c:v>107.2</c:v>
                </c:pt>
                <c:pt idx="5">
                  <c:v>115.45</c:v>
                </c:pt>
                <c:pt idx="6">
                  <c:v>104.8</c:v>
                </c:pt>
                <c:pt idx="7">
                  <c:v>110.13333333333333</c:v>
                </c:pt>
                <c:pt idx="8">
                  <c:v>114.33333333333333</c:v>
                </c:pt>
                <c:pt idx="9">
                  <c:v>111</c:v>
                </c:pt>
                <c:pt idx="10">
                  <c:v>113.84999999999998</c:v>
                </c:pt>
                <c:pt idx="11">
                  <c:v>117.35000000000001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98992"/>
        <c:axId val="-1785988656"/>
      </c:scatterChart>
      <c:valAx>
        <c:axId val="-17859989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8656"/>
        <c:crosses val="autoZero"/>
        <c:crossBetween val="midCat"/>
      </c:valAx>
      <c:valAx>
        <c:axId val="-178598865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179.7590976093482</c:v>
                </c:pt>
                <c:pt idx="1">
                  <c:v>170.73226806148489</c:v>
                </c:pt>
                <c:pt idx="2">
                  <c:v>168.29436519089404</c:v>
                </c:pt>
                <c:pt idx="3">
                  <c:v>167.70136178993957</c:v>
                </c:pt>
                <c:pt idx="4">
                  <c:v>168.87419073849404</c:v>
                </c:pt>
                <c:pt idx="5">
                  <c:v>170.99582512857575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196.1497620573769</c:v>
                </c:pt>
                <c:pt idx="1">
                  <c:v>196.40785384955763</c:v>
                </c:pt>
                <c:pt idx="2">
                  <c:v>192.39414647254557</c:v>
                </c:pt>
                <c:pt idx="3">
                  <c:v>193.02916911040086</c:v>
                </c:pt>
                <c:pt idx="4">
                  <c:v>211.4229672622134</c:v>
                </c:pt>
                <c:pt idx="5">
                  <c:v>200.05417770443165</c:v>
                </c:pt>
                <c:pt idx="6">
                  <c:v>203.42733504575156</c:v>
                </c:pt>
                <c:pt idx="7">
                  <c:v>199.52662526770104</c:v>
                </c:pt>
                <c:pt idx="8">
                  <c:v>200.42746549244097</c:v>
                </c:pt>
                <c:pt idx="9">
                  <c:v>194.9500654814089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85936"/>
        <c:axId val="-1785985392"/>
      </c:scatterChart>
      <c:valAx>
        <c:axId val="-17859859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5392"/>
        <c:crosses val="autoZero"/>
        <c:crossBetween val="midCat"/>
      </c:valAx>
      <c:valAx>
        <c:axId val="-178598539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RESULTS!$D$36:$J$36</c:f>
              <c:numCache>
                <c:formatCode>0.00000</c:formatCode>
                <c:ptCount val="7"/>
                <c:pt idx="0">
                  <c:v>1.3805837161999999</c:v>
                </c:pt>
                <c:pt idx="1">
                  <c:v>2.1303170714200004</c:v>
                </c:pt>
                <c:pt idx="2">
                  <c:v>2.9396504594700001</c:v>
                </c:pt>
                <c:pt idx="3">
                  <c:v>3.4389838475200003</c:v>
                </c:pt>
                <c:pt idx="4">
                  <c:v>3.80898384752</c:v>
                </c:pt>
                <c:pt idx="5">
                  <c:v>4.0689838475200002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RESULTS!$O$36:$U$36</c:f>
              <c:numCache>
                <c:formatCode>0.00000</c:formatCode>
                <c:ptCount val="7"/>
                <c:pt idx="0">
                  <c:v>3.0743798550700001</c:v>
                </c:pt>
                <c:pt idx="1">
                  <c:v>2.9272801050699999</c:v>
                </c:pt>
                <c:pt idx="2">
                  <c:v>3.5647123550700002</c:v>
                </c:pt>
                <c:pt idx="3">
                  <c:v>3.3587727050700003</c:v>
                </c:pt>
                <c:pt idx="4">
                  <c:v>3.8589118550700001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RESULTS!$Z$36:$AL$36</c:f>
              <c:numCache>
                <c:formatCode>0.00000</c:formatCode>
                <c:ptCount val="13"/>
                <c:pt idx="0">
                  <c:v>2.41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1.9</c:v>
                </c:pt>
                <c:pt idx="4">
                  <c:v>2.15</c:v>
                </c:pt>
                <c:pt idx="5">
                  <c:v>2.3199999999999998</c:v>
                </c:pt>
                <c:pt idx="6">
                  <c:v>2.2000000000000002</c:v>
                </c:pt>
                <c:pt idx="7">
                  <c:v>2.2400000000000002</c:v>
                </c:pt>
                <c:pt idx="8">
                  <c:v>2.33</c:v>
                </c:pt>
                <c:pt idx="9">
                  <c:v>2.29</c:v>
                </c:pt>
                <c:pt idx="10">
                  <c:v>2.34</c:v>
                </c:pt>
                <c:pt idx="11">
                  <c:v>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87568"/>
        <c:axId val="-1785995184"/>
      </c:scatterChart>
      <c:valAx>
        <c:axId val="-178598756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5184"/>
        <c:crosses val="autoZero"/>
        <c:crossBetween val="midCat"/>
      </c:valAx>
      <c:valAx>
        <c:axId val="-1785995184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RESULTS!$D$38:$J$38</c:f>
              <c:numCache>
                <c:formatCode>0.00000</c:formatCode>
                <c:ptCount val="7"/>
                <c:pt idx="0">
                  <c:v>1.3105837162</c:v>
                </c:pt>
                <c:pt idx="1">
                  <c:v>1.98031707142</c:v>
                </c:pt>
                <c:pt idx="2">
                  <c:v>2.73965045947</c:v>
                </c:pt>
                <c:pt idx="3">
                  <c:v>3.1489838475200003</c:v>
                </c:pt>
                <c:pt idx="4">
                  <c:v>3.5289838475200002</c:v>
                </c:pt>
                <c:pt idx="5">
                  <c:v>3.82898384752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RESULTS!$O$38:$U$38</c:f>
              <c:numCache>
                <c:formatCode>0.00000</c:formatCode>
                <c:ptCount val="7"/>
                <c:pt idx="0">
                  <c:v>1.01498335507</c:v>
                </c:pt>
                <c:pt idx="1">
                  <c:v>1.01498335507</c:v>
                </c:pt>
                <c:pt idx="2">
                  <c:v>1.01498335507</c:v>
                </c:pt>
                <c:pt idx="3">
                  <c:v>1.01498335507</c:v>
                </c:pt>
                <c:pt idx="4">
                  <c:v>1.01498335507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RESULTS!$Z$38:$AL$38</c:f>
              <c:numCache>
                <c:formatCode>0.00000</c:formatCode>
                <c:ptCount val="13"/>
                <c:pt idx="0">
                  <c:v>2.15</c:v>
                </c:pt>
                <c:pt idx="1">
                  <c:v>2.1</c:v>
                </c:pt>
                <c:pt idx="2">
                  <c:v>2</c:v>
                </c:pt>
                <c:pt idx="3">
                  <c:v>1.45</c:v>
                </c:pt>
                <c:pt idx="4">
                  <c:v>1.9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2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96272"/>
        <c:axId val="-1785984848"/>
      </c:scatterChart>
      <c:valAx>
        <c:axId val="-17859962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4848"/>
        <c:crosses val="autoZero"/>
        <c:crossBetween val="midCat"/>
      </c:valAx>
      <c:valAx>
        <c:axId val="-1785984848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305.14999999999998</c:v>
                </c:pt>
                <c:pt idx="1">
                  <c:v>299.14999999999998</c:v>
                </c:pt>
                <c:pt idx="2">
                  <c:v>301.14999999999998</c:v>
                </c:pt>
                <c:pt idx="3">
                  <c:v>303.14999999999998</c:v>
                </c:pt>
                <c:pt idx="4">
                  <c:v>307.14999999999998</c:v>
                </c:pt>
                <c:pt idx="5">
                  <c:v>309.14999999999998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315.14999999999998</c:v>
                </c:pt>
                <c:pt idx="1">
                  <c:v>314.14999999999998</c:v>
                </c:pt>
                <c:pt idx="2">
                  <c:v>317.14999999999998</c:v>
                </c:pt>
                <c:pt idx="3">
                  <c:v>315.14999999999998</c:v>
                </c:pt>
                <c:pt idx="4">
                  <c:v>319.14999999999998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312.14999999999998</c:v>
                </c:pt>
                <c:pt idx="2">
                  <c:v>313.14999999999998</c:v>
                </c:pt>
                <c:pt idx="3">
                  <c:v>311.14999999999998</c:v>
                </c:pt>
                <c:pt idx="4">
                  <c:v>317.14999999999998</c:v>
                </c:pt>
                <c:pt idx="5">
                  <c:v>316.14999999999998</c:v>
                </c:pt>
                <c:pt idx="6">
                  <c:v>315.14999999999998</c:v>
                </c:pt>
                <c:pt idx="7">
                  <c:v>314.14999999999998</c:v>
                </c:pt>
                <c:pt idx="8">
                  <c:v>314.14999999999998</c:v>
                </c:pt>
                <c:pt idx="9">
                  <c:v>316.14999999999998</c:v>
                </c:pt>
                <c:pt idx="10">
                  <c:v>314.14999999999998</c:v>
                </c:pt>
                <c:pt idx="11">
                  <c:v>317.14999999999998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97904"/>
        <c:axId val="-1785994640"/>
      </c:scatterChart>
      <c:valAx>
        <c:axId val="-17859979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4640"/>
        <c:crosses val="autoZero"/>
        <c:crossBetween val="midCat"/>
      </c:valAx>
      <c:valAx>
        <c:axId val="-17859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535.65</c:v>
                </c:pt>
                <c:pt idx="1">
                  <c:v>587.15</c:v>
                </c:pt>
                <c:pt idx="2">
                  <c:v>608.15</c:v>
                </c:pt>
                <c:pt idx="3">
                  <c:v>626.65</c:v>
                </c:pt>
                <c:pt idx="4">
                  <c:v>648.15</c:v>
                </c:pt>
                <c:pt idx="5">
                  <c:v>668.15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648.15</c:v>
                </c:pt>
                <c:pt idx="1">
                  <c:v>645.65</c:v>
                </c:pt>
                <c:pt idx="2">
                  <c:v>670.15</c:v>
                </c:pt>
                <c:pt idx="3">
                  <c:v>658.15</c:v>
                </c:pt>
                <c:pt idx="4">
                  <c:v>685.65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650.65</c:v>
                </c:pt>
                <c:pt idx="1">
                  <c:v>623.15</c:v>
                </c:pt>
                <c:pt idx="2">
                  <c:v>638.15</c:v>
                </c:pt>
                <c:pt idx="3">
                  <c:v>615.65</c:v>
                </c:pt>
                <c:pt idx="4">
                  <c:v>658.15</c:v>
                </c:pt>
                <c:pt idx="5">
                  <c:v>648.15</c:v>
                </c:pt>
                <c:pt idx="6">
                  <c:v>668.15</c:v>
                </c:pt>
                <c:pt idx="7">
                  <c:v>670.65</c:v>
                </c:pt>
                <c:pt idx="8">
                  <c:v>661.65</c:v>
                </c:pt>
                <c:pt idx="9">
                  <c:v>674.15</c:v>
                </c:pt>
                <c:pt idx="10">
                  <c:v>667.65</c:v>
                </c:pt>
                <c:pt idx="11">
                  <c:v>648.15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91920"/>
        <c:axId val="-1785982128"/>
      </c:scatterChart>
      <c:valAx>
        <c:axId val="-17859919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82128"/>
        <c:crosses val="autoZero"/>
        <c:crossBetween val="midCat"/>
      </c:valAx>
      <c:valAx>
        <c:axId val="-17859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0.82324419377495583</c:v>
                </c:pt>
                <c:pt idx="1">
                  <c:v>0.7733737043275386</c:v>
                </c:pt>
                <c:pt idx="2">
                  <c:v>0.75839788862565827</c:v>
                </c:pt>
                <c:pt idx="3">
                  <c:v>0.77969919517434116</c:v>
                </c:pt>
                <c:pt idx="4">
                  <c:v>0.76438386855207641</c:v>
                </c:pt>
                <c:pt idx="5">
                  <c:v>0.74810409672059242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0.78961328302705691</c:v>
                </c:pt>
                <c:pt idx="1">
                  <c:v>0.78573794325161139</c:v>
                </c:pt>
                <c:pt idx="2">
                  <c:v>0.79050251527824866</c:v>
                </c:pt>
                <c:pt idx="3">
                  <c:v>0.7784117257293024</c:v>
                </c:pt>
                <c:pt idx="4">
                  <c:v>0.77104310642399398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96816"/>
        <c:axId val="-1785997360"/>
      </c:scatterChart>
      <c:valAx>
        <c:axId val="-17859968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7360"/>
        <c:crosses val="autoZero"/>
        <c:crossBetween val="midCat"/>
      </c:valAx>
      <c:valAx>
        <c:axId val="-178599736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9681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0.8412661998912444</c:v>
                </c:pt>
                <c:pt idx="1">
                  <c:v>0.84986988535791597</c:v>
                </c:pt>
                <c:pt idx="2">
                  <c:v>0.88699757919468403</c:v>
                </c:pt>
                <c:pt idx="3">
                  <c:v>0.88806468011725426</c:v>
                </c:pt>
                <c:pt idx="4">
                  <c:v>0.88534670705390606</c:v>
                </c:pt>
                <c:pt idx="5">
                  <c:v>0.88911212205919599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79952"/>
        <c:axId val="-1785979408"/>
      </c:scatterChart>
      <c:valAx>
        <c:axId val="-17859799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9408"/>
        <c:crosses val="autoZero"/>
        <c:crossBetween val="midCat"/>
      </c:valAx>
      <c:valAx>
        <c:axId val="-178597940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4070.7419144916612</c:v>
                </c:pt>
                <c:pt idx="1">
                  <c:v>4337.3825070278926</c:v>
                </c:pt>
                <c:pt idx="2">
                  <c:v>3895.5311721192293</c:v>
                </c:pt>
                <c:pt idx="3">
                  <c:v>3572.2761561846951</c:v>
                </c:pt>
                <c:pt idx="4">
                  <c:v>3411.5398017401985</c:v>
                </c:pt>
                <c:pt idx="5">
                  <c:v>3330.6841481467409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3862.5675940521082</c:v>
                </c:pt>
                <c:pt idx="1">
                  <c:v>3964.7726160194247</c:v>
                </c:pt>
                <c:pt idx="2">
                  <c:v>3587.2459616026695</c:v>
                </c:pt>
                <c:pt idx="3">
                  <c:v>3727.5520255066117</c:v>
                </c:pt>
                <c:pt idx="4">
                  <c:v>3480.2557053370119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5149.3775933609959</c:v>
                </c:pt>
                <c:pt idx="1">
                  <c:v>5319.5652173913049</c:v>
                </c:pt>
                <c:pt idx="2">
                  <c:v>5308.695652173913</c:v>
                </c:pt>
                <c:pt idx="3">
                  <c:v>5828.4210526315792</c:v>
                </c:pt>
                <c:pt idx="4">
                  <c:v>5640.6976744186049</c:v>
                </c:pt>
                <c:pt idx="5">
                  <c:v>5272.6293103448279</c:v>
                </c:pt>
                <c:pt idx="6">
                  <c:v>5531.8181818181811</c:v>
                </c:pt>
                <c:pt idx="7">
                  <c:v>5540.1785714285706</c:v>
                </c:pt>
                <c:pt idx="8">
                  <c:v>5285.4077253218884</c:v>
                </c:pt>
                <c:pt idx="9">
                  <c:v>5375.5458515283844</c:v>
                </c:pt>
                <c:pt idx="10">
                  <c:v>5290.598290598291</c:v>
                </c:pt>
                <c:pt idx="11">
                  <c:v>5150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77776"/>
        <c:axId val="-1785977232"/>
      </c:scatterChart>
      <c:valAx>
        <c:axId val="-17859777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7232"/>
        <c:crosses val="autoZero"/>
        <c:crossBetween val="midCat"/>
      </c:valAx>
      <c:valAx>
        <c:axId val="-178597723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0.15000000000000036</c:v>
                </c:pt>
                <c:pt idx="2">
                  <c:v>0.20000000000000018</c:v>
                </c:pt>
                <c:pt idx="3">
                  <c:v>0.29000000000000004</c:v>
                </c:pt>
                <c:pt idx="4">
                  <c:v>0.2799999999999998</c:v>
                </c:pt>
                <c:pt idx="5">
                  <c:v>0.24000000000000021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RESULTS!$O$83:$U$83</c:f>
              <c:numCache>
                <c:formatCode>General</c:formatCode>
                <c:ptCount val="7"/>
                <c:pt idx="0">
                  <c:v>2.0593965000000001</c:v>
                </c:pt>
                <c:pt idx="1">
                  <c:v>1.9122967499999999</c:v>
                </c:pt>
                <c:pt idx="2">
                  <c:v>2.5497290000000001</c:v>
                </c:pt>
                <c:pt idx="3">
                  <c:v>2.3437893500000002</c:v>
                </c:pt>
                <c:pt idx="4">
                  <c:v>2.8439285000000001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0.26000000000000023</c:v>
                </c:pt>
                <c:pt idx="1">
                  <c:v>0.19999999999999973</c:v>
                </c:pt>
                <c:pt idx="2">
                  <c:v>0.29999999999999982</c:v>
                </c:pt>
                <c:pt idx="3">
                  <c:v>0.44999999999999996</c:v>
                </c:pt>
                <c:pt idx="4">
                  <c:v>0.25</c:v>
                </c:pt>
                <c:pt idx="5">
                  <c:v>0.21999999999999975</c:v>
                </c:pt>
                <c:pt idx="6">
                  <c:v>0.20000000000000018</c:v>
                </c:pt>
                <c:pt idx="7">
                  <c:v>0.3400000000000003</c:v>
                </c:pt>
                <c:pt idx="8">
                  <c:v>0.33000000000000007</c:v>
                </c:pt>
                <c:pt idx="9">
                  <c:v>0.39000000000000012</c:v>
                </c:pt>
                <c:pt idx="10">
                  <c:v>0.33999999999999986</c:v>
                </c:pt>
                <c:pt idx="11">
                  <c:v>0.29999999999999982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71792"/>
        <c:axId val="-1785970160"/>
      </c:scatterChart>
      <c:valAx>
        <c:axId val="-17859717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0160"/>
        <c:crosses val="autoZero"/>
        <c:crossBetween val="midCat"/>
      </c:valAx>
      <c:valAx>
        <c:axId val="-1785970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179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1.5166666666666668</c:v>
                </c:pt>
                <c:pt idx="1">
                  <c:v>1.5333333333333332</c:v>
                </c:pt>
                <c:pt idx="2">
                  <c:v>2.5</c:v>
                </c:pt>
                <c:pt idx="3">
                  <c:v>3.0166666666666671</c:v>
                </c:pt>
                <c:pt idx="4">
                  <c:v>0.75</c:v>
                </c:pt>
                <c:pt idx="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2.9333333333333336</c:v>
                </c:pt>
                <c:pt idx="1">
                  <c:v>3.5833333333333335</c:v>
                </c:pt>
                <c:pt idx="2">
                  <c:v>2.9</c:v>
                </c:pt>
                <c:pt idx="3">
                  <c:v>4.2666666666666666</c:v>
                </c:pt>
                <c:pt idx="4">
                  <c:v>0.85000000000000009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3.3166666666666664</c:v>
                </c:pt>
                <c:pt idx="1">
                  <c:v>3</c:v>
                </c:pt>
                <c:pt idx="2">
                  <c:v>3.35</c:v>
                </c:pt>
                <c:pt idx="3">
                  <c:v>2.9666666666666668</c:v>
                </c:pt>
                <c:pt idx="4">
                  <c:v>3.3666666666666667</c:v>
                </c:pt>
                <c:pt idx="5">
                  <c:v>3.2999999999999994</c:v>
                </c:pt>
                <c:pt idx="6">
                  <c:v>3.35</c:v>
                </c:pt>
                <c:pt idx="7">
                  <c:v>3.3333333333333335</c:v>
                </c:pt>
                <c:pt idx="8">
                  <c:v>3.5166666666666671</c:v>
                </c:pt>
                <c:pt idx="9">
                  <c:v>3.75</c:v>
                </c:pt>
                <c:pt idx="10">
                  <c:v>3.7333333333333329</c:v>
                </c:pt>
                <c:pt idx="11">
                  <c:v>3.9666666666666663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75600"/>
        <c:axId val="-1785975056"/>
      </c:scatterChart>
      <c:valAx>
        <c:axId val="-17859756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5056"/>
        <c:crosses val="autoZero"/>
        <c:crossBetween val="midCat"/>
      </c:valAx>
      <c:valAx>
        <c:axId val="-17859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25.749999999999993</c:v>
                </c:pt>
                <c:pt idx="1">
                  <c:v>26.833333333333329</c:v>
                </c:pt>
                <c:pt idx="2">
                  <c:v>27.333333333333357</c:v>
                </c:pt>
                <c:pt idx="3">
                  <c:v>25</c:v>
                </c:pt>
                <c:pt idx="4">
                  <c:v>10.833333333333343</c:v>
                </c:pt>
                <c:pt idx="5">
                  <c:v>3.6666666666666572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26.499999999999986</c:v>
                </c:pt>
                <c:pt idx="1">
                  <c:v>26.000000000000014</c:v>
                </c:pt>
                <c:pt idx="2">
                  <c:v>16.833333333333343</c:v>
                </c:pt>
                <c:pt idx="3">
                  <c:v>25.333333333333329</c:v>
                </c:pt>
                <c:pt idx="4">
                  <c:v>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20.09999999999998</c:v>
                </c:pt>
                <c:pt idx="1">
                  <c:v>20.916666666666671</c:v>
                </c:pt>
                <c:pt idx="2">
                  <c:v>20.049999999999983</c:v>
                </c:pt>
                <c:pt idx="3">
                  <c:v>23.083333333333343</c:v>
                </c:pt>
                <c:pt idx="4">
                  <c:v>21.63333333333334</c:v>
                </c:pt>
                <c:pt idx="5">
                  <c:v>19.88333333333334</c:v>
                </c:pt>
                <c:pt idx="6">
                  <c:v>21.366666666666674</c:v>
                </c:pt>
                <c:pt idx="7">
                  <c:v>19.033333333333331</c:v>
                </c:pt>
                <c:pt idx="8">
                  <c:v>19.666666666666671</c:v>
                </c:pt>
                <c:pt idx="9">
                  <c:v>21.333333333333343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73968"/>
        <c:axId val="-1785973424"/>
      </c:scatterChart>
      <c:valAx>
        <c:axId val="-178597396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3424"/>
        <c:crosses val="autoZero"/>
        <c:crossBetween val="midCat"/>
      </c:valAx>
      <c:valAx>
        <c:axId val="-178597342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717.54946085156917</c:v>
                </c:pt>
                <c:pt idx="1">
                  <c:v>1119.3517777279958</c:v>
                </c:pt>
                <c:pt idx="2">
                  <c:v>1475.3041144058097</c:v>
                </c:pt>
                <c:pt idx="3">
                  <c:v>1670.4567526722078</c:v>
                </c:pt>
                <c:pt idx="4">
                  <c:v>1796.5819261074002</c:v>
                </c:pt>
                <c:pt idx="5">
                  <c:v>1904.9759334043808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1463.1437498557561</c:v>
                </c:pt>
                <c:pt idx="1">
                  <c:v>1389.4477275542397</c:v>
                </c:pt>
                <c:pt idx="2">
                  <c:v>1628.1735717876165</c:v>
                </c:pt>
                <c:pt idx="3">
                  <c:v>1544.7088709690086</c:v>
                </c:pt>
                <c:pt idx="4">
                  <c:v>1733.5694238067115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1370.6962578702885</c:v>
                </c:pt>
                <c:pt idx="1">
                  <c:v>1300.8725254267931</c:v>
                </c:pt>
                <c:pt idx="2">
                  <c:v>1316.291700443071</c:v>
                </c:pt>
                <c:pt idx="3">
                  <c:v>1135.8760953323238</c:v>
                </c:pt>
                <c:pt idx="4">
                  <c:v>1299.8649669184285</c:v>
                </c:pt>
                <c:pt idx="5">
                  <c:v>1354.2330938052983</c:v>
                </c:pt>
                <c:pt idx="6">
                  <c:v>1299.1125010475801</c:v>
                </c:pt>
                <c:pt idx="7">
                  <c:v>1354.5429674060742</c:v>
                </c:pt>
                <c:pt idx="8">
                  <c:v>1345.8361618228221</c:v>
                </c:pt>
                <c:pt idx="9">
                  <c:v>1339.0916883121429</c:v>
                </c:pt>
                <c:pt idx="10">
                  <c:v>1361.7562562724481</c:v>
                </c:pt>
                <c:pt idx="11">
                  <c:v>1388.8125744257536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5970704"/>
        <c:axId val="-1711493312"/>
      </c:scatterChart>
      <c:valAx>
        <c:axId val="-17859707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3312"/>
        <c:crosses val="autoZero"/>
        <c:crossBetween val="midCat"/>
      </c:valAx>
      <c:valAx>
        <c:axId val="-171149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8597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4313.1280596480001</c:v>
                </c:pt>
                <c:pt idx="1">
                  <c:v>8474.8790452800004</c:v>
                </c:pt>
                <c:pt idx="2">
                  <c:v>12761.161909536</c:v>
                </c:pt>
                <c:pt idx="3">
                  <c:v>15376.331360639999</c:v>
                </c:pt>
                <c:pt idx="4">
                  <c:v>17120.523361248001</c:v>
                </c:pt>
                <c:pt idx="5">
                  <c:v>18731.98078464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13161.602740799999</c:v>
                </c:pt>
                <c:pt idx="1">
                  <c:v>12498.675554592</c:v>
                </c:pt>
                <c:pt idx="2">
                  <c:v>15498.626139648</c:v>
                </c:pt>
                <c:pt idx="3">
                  <c:v>14670.153581856001</c:v>
                </c:pt>
                <c:pt idx="4">
                  <c:v>17081.001268032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12975.923472672001</c:v>
                </c:pt>
                <c:pt idx="1">
                  <c:v>11878.99896096</c:v>
                </c:pt>
                <c:pt idx="2">
                  <c:v>12309.267787104</c:v>
                </c:pt>
                <c:pt idx="3">
                  <c:v>9765.6855237119998</c:v>
                </c:pt>
                <c:pt idx="4">
                  <c:v>12155.653613471999</c:v>
                </c:pt>
                <c:pt idx="5">
                  <c:v>12820.072199423999</c:v>
                </c:pt>
                <c:pt idx="6">
                  <c:v>12284.659691327999</c:v>
                </c:pt>
                <c:pt idx="7">
                  <c:v>12865.559891616</c:v>
                </c:pt>
                <c:pt idx="8">
                  <c:v>12796.955503392001</c:v>
                </c:pt>
                <c:pt idx="9">
                  <c:v>12732.825314399999</c:v>
                </c:pt>
                <c:pt idx="10">
                  <c:v>12948.332577408</c:v>
                </c:pt>
                <c:pt idx="11">
                  <c:v>13205.599033248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89504"/>
        <c:axId val="-1711496576"/>
      </c:scatterChart>
      <c:valAx>
        <c:axId val="-17114895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6576"/>
        <c:crosses val="autoZero"/>
        <c:crossBetween val="midCat"/>
      </c:valAx>
      <c:valAx>
        <c:axId val="-17114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42</c:v>
                </c:pt>
                <c:pt idx="1">
                  <c:v>56</c:v>
                </c:pt>
                <c:pt idx="2">
                  <c:v>70</c:v>
                </c:pt>
                <c:pt idx="3">
                  <c:v>77</c:v>
                </c:pt>
                <c:pt idx="4">
                  <c:v>85</c:v>
                </c:pt>
                <c:pt idx="5">
                  <c:v>90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75.333333333333329</c:v>
                </c:pt>
                <c:pt idx="1">
                  <c:v>72.333333333333329</c:v>
                </c:pt>
                <c:pt idx="2">
                  <c:v>84.166666666666671</c:v>
                </c:pt>
                <c:pt idx="3">
                  <c:v>80</c:v>
                </c:pt>
                <c:pt idx="4">
                  <c:v>88.166666666666671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80.25</c:v>
                </c:pt>
                <c:pt idx="1">
                  <c:v>72.333333333333329</c:v>
                </c:pt>
                <c:pt idx="2">
                  <c:v>80.333333333333329</c:v>
                </c:pt>
                <c:pt idx="3">
                  <c:v>71</c:v>
                </c:pt>
                <c:pt idx="4">
                  <c:v>77</c:v>
                </c:pt>
                <c:pt idx="5">
                  <c:v>79</c:v>
                </c:pt>
                <c:pt idx="6">
                  <c:v>78.166666666666671</c:v>
                </c:pt>
                <c:pt idx="7">
                  <c:v>81.333333333333329</c:v>
                </c:pt>
                <c:pt idx="8">
                  <c:v>80.666666666666671</c:v>
                </c:pt>
                <c:pt idx="9">
                  <c:v>80.5</c:v>
                </c:pt>
                <c:pt idx="10">
                  <c:v>81.5</c:v>
                </c:pt>
                <c:pt idx="11">
                  <c:v>81.333333333333329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83520"/>
        <c:axId val="-1711491136"/>
      </c:scatterChart>
      <c:valAx>
        <c:axId val="-171148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1136"/>
        <c:crosses val="autoZero"/>
        <c:crossBetween val="midCat"/>
      </c:valAx>
      <c:valAx>
        <c:axId val="-17114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1.0295941210551698</c:v>
                </c:pt>
                <c:pt idx="1">
                  <c:v>1.0279833010576009</c:v>
                </c:pt>
                <c:pt idx="2">
                  <c:v>1.0229530285028119</c:v>
                </c:pt>
                <c:pt idx="3">
                  <c:v>1.0305542229976261</c:v>
                </c:pt>
                <c:pt idx="4">
                  <c:v>1.0266264565015959</c:v>
                </c:pt>
                <c:pt idx="5">
                  <c:v>1.0855684937391459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-14.219084060794522</c:v>
                </c:pt>
                <c:pt idx="1">
                  <c:v>-13.502893367874051</c:v>
                </c:pt>
                <c:pt idx="2">
                  <c:v>-15.822872417761095</c:v>
                </c:pt>
                <c:pt idx="3">
                  <c:v>-15.011748017191533</c:v>
                </c:pt>
                <c:pt idx="4">
                  <c:v>-16.847127539423827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1.0135370533033274</c:v>
                </c:pt>
                <c:pt idx="1">
                  <c:v>1.0134317077020114</c:v>
                </c:pt>
                <c:pt idx="2">
                  <c:v>1.0136227768609469</c:v>
                </c:pt>
                <c:pt idx="3">
                  <c:v>1.0140107192908321</c:v>
                </c:pt>
                <c:pt idx="4">
                  <c:v>1.0136227768609505</c:v>
                </c:pt>
                <c:pt idx="5">
                  <c:v>0.7387184716296904</c:v>
                </c:pt>
                <c:pt idx="6">
                  <c:v>1.013893105103131</c:v>
                </c:pt>
                <c:pt idx="7">
                  <c:v>1.013999567339182</c:v>
                </c:pt>
                <c:pt idx="8">
                  <c:v>1.01364496680036</c:v>
                </c:pt>
                <c:pt idx="9">
                  <c:v>1.0144071058731399</c:v>
                </c:pt>
                <c:pt idx="10">
                  <c:v>1.0136449668003618</c:v>
                </c:pt>
                <c:pt idx="11">
                  <c:v>1.3040199535303891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94944"/>
        <c:axId val="-1711494400"/>
      </c:scatterChart>
      <c:valAx>
        <c:axId val="-1711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4400"/>
        <c:crosses val="autoZero"/>
        <c:crossBetween val="midCat"/>
      </c:valAx>
      <c:valAx>
        <c:axId val="-171149440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5620</c:v>
                </c:pt>
                <c:pt idx="1">
                  <c:v>9240</c:v>
                </c:pt>
                <c:pt idx="2">
                  <c:v>11451.5</c:v>
                </c:pt>
                <c:pt idx="3">
                  <c:v>12285</c:v>
                </c:pt>
                <c:pt idx="4">
                  <c:v>12994.5</c:v>
                </c:pt>
                <c:pt idx="5">
                  <c:v>13552.5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11875</c:v>
                </c:pt>
                <c:pt idx="1">
                  <c:v>11606</c:v>
                </c:pt>
                <c:pt idx="2">
                  <c:v>12787.5</c:v>
                </c:pt>
                <c:pt idx="3">
                  <c:v>12520</c:v>
                </c:pt>
                <c:pt idx="4">
                  <c:v>13430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12410</c:v>
                </c:pt>
                <c:pt idx="1">
                  <c:v>12235</c:v>
                </c:pt>
                <c:pt idx="2">
                  <c:v>12210</c:v>
                </c:pt>
                <c:pt idx="3">
                  <c:v>11074</c:v>
                </c:pt>
                <c:pt idx="4">
                  <c:v>12127.5</c:v>
                </c:pt>
                <c:pt idx="5">
                  <c:v>12232.5</c:v>
                </c:pt>
                <c:pt idx="6">
                  <c:v>12170</c:v>
                </c:pt>
                <c:pt idx="7">
                  <c:v>12410</c:v>
                </c:pt>
                <c:pt idx="8">
                  <c:v>12315</c:v>
                </c:pt>
                <c:pt idx="9">
                  <c:v>12310</c:v>
                </c:pt>
                <c:pt idx="10">
                  <c:v>12380</c:v>
                </c:pt>
                <c:pt idx="11">
                  <c:v>12360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85152"/>
        <c:axId val="-1711481888"/>
      </c:scatterChart>
      <c:valAx>
        <c:axId val="-171148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1888"/>
        <c:crosses val="autoZero"/>
        <c:crossBetween val="midCat"/>
      </c:valAx>
      <c:valAx>
        <c:axId val="-17114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45734908136485"/>
          <c:y val="0.17697615923009624"/>
          <c:w val="0.25683858267716536"/>
          <c:h val="0.2881310148731408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36.465674959648886</c:v>
                </c:pt>
                <c:pt idx="1">
                  <c:v>36.110579392207399</c:v>
                </c:pt>
                <c:pt idx="2">
                  <c:v>36.742344693233846</c:v>
                </c:pt>
                <c:pt idx="3">
                  <c:v>36.641342162275791</c:v>
                </c:pt>
                <c:pt idx="4">
                  <c:v>36.932593086678352</c:v>
                </c:pt>
                <c:pt idx="5">
                  <c:v>36.866448594763725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34.049679921335937</c:v>
                </c:pt>
                <c:pt idx="1">
                  <c:v>35.646850640522509</c:v>
                </c:pt>
                <c:pt idx="2">
                  <c:v>36.332520117889487</c:v>
                </c:pt>
                <c:pt idx="3">
                  <c:v>35.831039268224359</c:v>
                </c:pt>
                <c:pt idx="4">
                  <c:v>35.678879226236987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48.298755186721998</c:v>
                </c:pt>
                <c:pt idx="1">
                  <c:v>49.818840579710148</c:v>
                </c:pt>
                <c:pt idx="2">
                  <c:v>49.615942028985515</c:v>
                </c:pt>
                <c:pt idx="3">
                  <c:v>51.096491228070178</c:v>
                </c:pt>
                <c:pt idx="4">
                  <c:v>49.860465116279073</c:v>
                </c:pt>
                <c:pt idx="5">
                  <c:v>49.762931034482762</c:v>
                </c:pt>
                <c:pt idx="6">
                  <c:v>47.636363636363633</c:v>
                </c:pt>
                <c:pt idx="7">
                  <c:v>49.166666666666657</c:v>
                </c:pt>
                <c:pt idx="8">
                  <c:v>49.070100143061516</c:v>
                </c:pt>
                <c:pt idx="9">
                  <c:v>48.471615720524014</c:v>
                </c:pt>
                <c:pt idx="10">
                  <c:v>48.653846153846146</c:v>
                </c:pt>
                <c:pt idx="11">
                  <c:v>48.895833333333336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90592"/>
        <c:axId val="-1711492224"/>
      </c:scatterChart>
      <c:valAx>
        <c:axId val="-1711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2224"/>
        <c:crosses val="autoZero"/>
        <c:crossBetween val="midCat"/>
      </c:valAx>
      <c:valAx>
        <c:axId val="-171149222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4949.9557503360002</c:v>
                </c:pt>
                <c:pt idx="1">
                  <c:v>9275.760707808</c:v>
                </c:pt>
                <c:pt idx="2">
                  <c:v>13671.661453248</c:v>
                </c:pt>
                <c:pt idx="3">
                  <c:v>16352.452493088</c:v>
                </c:pt>
                <c:pt idx="4">
                  <c:v>18127.218188448001</c:v>
                </c:pt>
                <c:pt idx="5">
                  <c:v>19830.396696095999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13963.2301032</c:v>
                </c:pt>
                <c:pt idx="1">
                  <c:v>12831.257697503999</c:v>
                </c:pt>
                <c:pt idx="2">
                  <c:v>13284.64321968</c:v>
                </c:pt>
                <c:pt idx="3">
                  <c:v>10662.762469727999</c:v>
                </c:pt>
                <c:pt idx="4">
                  <c:v>13131.029046047999</c:v>
                </c:pt>
                <c:pt idx="5">
                  <c:v>13539.672575904</c:v>
                </c:pt>
                <c:pt idx="6">
                  <c:v>13271.220621983999</c:v>
                </c:pt>
                <c:pt idx="7">
                  <c:v>13856.595021503999</c:v>
                </c:pt>
                <c:pt idx="8">
                  <c:v>13788.736333151999</c:v>
                </c:pt>
                <c:pt idx="9">
                  <c:v>13725.351844032</c:v>
                </c:pt>
                <c:pt idx="10">
                  <c:v>13940.113407167999</c:v>
                </c:pt>
                <c:pt idx="11">
                  <c:v>14481.49151424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90048"/>
        <c:axId val="-1711487328"/>
      </c:scatterChart>
      <c:valAx>
        <c:axId val="-17114900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7328"/>
        <c:crosses val="autoZero"/>
        <c:crossBetween val="midCat"/>
      </c:valAx>
      <c:valAx>
        <c:axId val="-17114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9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76.093917049533331</c:v>
                </c:pt>
                <c:pt idx="1">
                  <c:v>103.76031707142</c:v>
                </c:pt>
                <c:pt idx="2">
                  <c:v>135.34298379280335</c:v>
                </c:pt>
                <c:pt idx="3">
                  <c:v>151.00898384752</c:v>
                </c:pt>
                <c:pt idx="4">
                  <c:v>151.50898384752</c:v>
                </c:pt>
                <c:pt idx="5">
                  <c:v>153.67565051418666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131.18165002173666</c:v>
                </c:pt>
                <c:pt idx="1">
                  <c:v>130.34831668840334</c:v>
                </c:pt>
                <c:pt idx="2">
                  <c:v>146.34831668840334</c:v>
                </c:pt>
                <c:pt idx="3">
                  <c:v>145.68165002173666</c:v>
                </c:pt>
                <c:pt idx="4">
                  <c:v>146.68165002173666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136.5</c:v>
                </c:pt>
                <c:pt idx="1">
                  <c:v>135.5</c:v>
                </c:pt>
                <c:pt idx="2">
                  <c:v>134.16666666666666</c:v>
                </c:pt>
                <c:pt idx="3">
                  <c:v>120.16666666666667</c:v>
                </c:pt>
                <c:pt idx="4">
                  <c:v>128.83333333333334</c:v>
                </c:pt>
                <c:pt idx="5">
                  <c:v>135.33333333333334</c:v>
                </c:pt>
                <c:pt idx="6">
                  <c:v>126.16666666666667</c:v>
                </c:pt>
                <c:pt idx="7">
                  <c:v>129.16666666666666</c:v>
                </c:pt>
                <c:pt idx="8">
                  <c:v>134</c:v>
                </c:pt>
                <c:pt idx="9">
                  <c:v>132.33333333333334</c:v>
                </c:pt>
                <c:pt idx="10">
                  <c:v>134.66666666666666</c:v>
                </c:pt>
                <c:pt idx="11">
                  <c:v>138.33333333333334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86240"/>
        <c:axId val="-1711480800"/>
      </c:scatterChart>
      <c:valAx>
        <c:axId val="-171148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0800"/>
        <c:crosses val="autoZero"/>
        <c:crossBetween val="midCat"/>
      </c:valAx>
      <c:valAx>
        <c:axId val="-171148080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50.343917049533339</c:v>
                </c:pt>
                <c:pt idx="1">
                  <c:v>76.926983738086676</c:v>
                </c:pt>
                <c:pt idx="2">
                  <c:v>108.00965045947</c:v>
                </c:pt>
                <c:pt idx="3">
                  <c:v>126.00898384752</c:v>
                </c:pt>
                <c:pt idx="4">
                  <c:v>140.67565051418666</c:v>
                </c:pt>
                <c:pt idx="5">
                  <c:v>150.00898384752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104.68165002173667</c:v>
                </c:pt>
                <c:pt idx="1">
                  <c:v>104.34831668840333</c:v>
                </c:pt>
                <c:pt idx="2">
                  <c:v>129.51498335507</c:v>
                </c:pt>
                <c:pt idx="3">
                  <c:v>120.34831668840333</c:v>
                </c:pt>
                <c:pt idx="4">
                  <c:v>137.68165002173666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116.40000000000002</c:v>
                </c:pt>
                <c:pt idx="1">
                  <c:v>114.58333333333333</c:v>
                </c:pt>
                <c:pt idx="2">
                  <c:v>114.11666666666667</c:v>
                </c:pt>
                <c:pt idx="3">
                  <c:v>97.083333333333329</c:v>
                </c:pt>
                <c:pt idx="4">
                  <c:v>107.2</c:v>
                </c:pt>
                <c:pt idx="5">
                  <c:v>115.45</c:v>
                </c:pt>
                <c:pt idx="6">
                  <c:v>104.8</c:v>
                </c:pt>
                <c:pt idx="7">
                  <c:v>110.13333333333333</c:v>
                </c:pt>
                <c:pt idx="8">
                  <c:v>114.33333333333333</c:v>
                </c:pt>
                <c:pt idx="9">
                  <c:v>111</c:v>
                </c:pt>
                <c:pt idx="10">
                  <c:v>113.84999999999998</c:v>
                </c:pt>
                <c:pt idx="11">
                  <c:v>117.35000000000001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78624"/>
        <c:axId val="-1711477536"/>
      </c:scatterChart>
      <c:valAx>
        <c:axId val="-171147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7536"/>
        <c:crosses val="autoZero"/>
        <c:crossBetween val="midCat"/>
      </c:valAx>
      <c:valAx>
        <c:axId val="-171147753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179.7590976093482</c:v>
                </c:pt>
                <c:pt idx="1">
                  <c:v>170.73226806148489</c:v>
                </c:pt>
                <c:pt idx="2">
                  <c:v>168.29436519089404</c:v>
                </c:pt>
                <c:pt idx="3">
                  <c:v>167.70136178993957</c:v>
                </c:pt>
                <c:pt idx="4">
                  <c:v>168.87419073849404</c:v>
                </c:pt>
                <c:pt idx="5">
                  <c:v>170.99582512857575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196.1497620573769</c:v>
                </c:pt>
                <c:pt idx="1">
                  <c:v>196.40785384955763</c:v>
                </c:pt>
                <c:pt idx="2">
                  <c:v>192.39414647254557</c:v>
                </c:pt>
                <c:pt idx="3">
                  <c:v>193.02916911040086</c:v>
                </c:pt>
                <c:pt idx="4">
                  <c:v>211.4229672622134</c:v>
                </c:pt>
                <c:pt idx="5">
                  <c:v>200.05417770443165</c:v>
                </c:pt>
                <c:pt idx="6">
                  <c:v>203.42733504575156</c:v>
                </c:pt>
                <c:pt idx="7">
                  <c:v>199.52662526770104</c:v>
                </c:pt>
                <c:pt idx="8">
                  <c:v>200.42746549244097</c:v>
                </c:pt>
                <c:pt idx="9">
                  <c:v>194.9500654814089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75904"/>
        <c:axId val="-1711485696"/>
      </c:scatterChart>
      <c:valAx>
        <c:axId val="-171147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85696"/>
        <c:crosses val="autoZero"/>
        <c:crossBetween val="midCat"/>
      </c:valAx>
      <c:valAx>
        <c:axId val="-171148569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0.00000</c:formatCode>
                <c:ptCount val="7"/>
                <c:pt idx="0">
                  <c:v>1.3805837161999999</c:v>
                </c:pt>
                <c:pt idx="1">
                  <c:v>2.1303170714200004</c:v>
                </c:pt>
                <c:pt idx="2">
                  <c:v>2.9396504594700001</c:v>
                </c:pt>
                <c:pt idx="3">
                  <c:v>3.4389838475200003</c:v>
                </c:pt>
                <c:pt idx="4">
                  <c:v>3.80898384752</c:v>
                </c:pt>
                <c:pt idx="5">
                  <c:v>4.0689838475200002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RESULTS!$O$36:$U$36</c:f>
              <c:numCache>
                <c:formatCode>0.00000</c:formatCode>
                <c:ptCount val="7"/>
                <c:pt idx="0">
                  <c:v>3.0743798550700001</c:v>
                </c:pt>
                <c:pt idx="1">
                  <c:v>2.9272801050699999</c:v>
                </c:pt>
                <c:pt idx="2">
                  <c:v>3.5647123550700002</c:v>
                </c:pt>
                <c:pt idx="3">
                  <c:v>3.3587727050700003</c:v>
                </c:pt>
                <c:pt idx="4">
                  <c:v>3.8589118550700001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RESULTS!$Z$36:$AL$36</c:f>
              <c:numCache>
                <c:formatCode>0.00000</c:formatCode>
                <c:ptCount val="13"/>
                <c:pt idx="0">
                  <c:v>2.41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1.9</c:v>
                </c:pt>
                <c:pt idx="4">
                  <c:v>2.15</c:v>
                </c:pt>
                <c:pt idx="5">
                  <c:v>2.3199999999999998</c:v>
                </c:pt>
                <c:pt idx="6">
                  <c:v>2.2000000000000002</c:v>
                </c:pt>
                <c:pt idx="7">
                  <c:v>2.2400000000000002</c:v>
                </c:pt>
                <c:pt idx="8">
                  <c:v>2.33</c:v>
                </c:pt>
                <c:pt idx="9">
                  <c:v>2.29</c:v>
                </c:pt>
                <c:pt idx="10">
                  <c:v>2.34</c:v>
                </c:pt>
                <c:pt idx="11">
                  <c:v>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74272"/>
        <c:axId val="-1711473728"/>
      </c:scatterChart>
      <c:valAx>
        <c:axId val="-171147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3728"/>
        <c:crosses val="autoZero"/>
        <c:crossBetween val="midCat"/>
      </c:valAx>
      <c:valAx>
        <c:axId val="-1711473728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0.00000</c:formatCode>
                <c:ptCount val="7"/>
                <c:pt idx="0">
                  <c:v>1.3105837162</c:v>
                </c:pt>
                <c:pt idx="1">
                  <c:v>1.98031707142</c:v>
                </c:pt>
                <c:pt idx="2">
                  <c:v>2.73965045947</c:v>
                </c:pt>
                <c:pt idx="3">
                  <c:v>3.1489838475200003</c:v>
                </c:pt>
                <c:pt idx="4">
                  <c:v>3.5289838475200002</c:v>
                </c:pt>
                <c:pt idx="5">
                  <c:v>3.82898384752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RESULTS!$O$38:$U$38</c:f>
              <c:numCache>
                <c:formatCode>0.00000</c:formatCode>
                <c:ptCount val="7"/>
                <c:pt idx="0">
                  <c:v>1.01498335507</c:v>
                </c:pt>
                <c:pt idx="1">
                  <c:v>1.01498335507</c:v>
                </c:pt>
                <c:pt idx="2">
                  <c:v>1.01498335507</c:v>
                </c:pt>
                <c:pt idx="3">
                  <c:v>1.01498335507</c:v>
                </c:pt>
                <c:pt idx="4">
                  <c:v>1.01498335507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RESULTS!$Z$38:$AL$38</c:f>
              <c:numCache>
                <c:formatCode>0.00000</c:formatCode>
                <c:ptCount val="13"/>
                <c:pt idx="0">
                  <c:v>2.15</c:v>
                </c:pt>
                <c:pt idx="1">
                  <c:v>2.1</c:v>
                </c:pt>
                <c:pt idx="2">
                  <c:v>2</c:v>
                </c:pt>
                <c:pt idx="3">
                  <c:v>1.45</c:v>
                </c:pt>
                <c:pt idx="4">
                  <c:v>1.9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2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79168"/>
        <c:axId val="-1711467744"/>
      </c:scatterChart>
      <c:valAx>
        <c:axId val="-17114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67744"/>
        <c:crosses val="autoZero"/>
        <c:crossBetween val="midCat"/>
      </c:valAx>
      <c:valAx>
        <c:axId val="-1711467744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305.14999999999998</c:v>
                </c:pt>
                <c:pt idx="1">
                  <c:v>299.14999999999998</c:v>
                </c:pt>
                <c:pt idx="2">
                  <c:v>301.14999999999998</c:v>
                </c:pt>
                <c:pt idx="3">
                  <c:v>303.14999999999998</c:v>
                </c:pt>
                <c:pt idx="4">
                  <c:v>307.14999999999998</c:v>
                </c:pt>
                <c:pt idx="5">
                  <c:v>309.14999999999998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315.14999999999998</c:v>
                </c:pt>
                <c:pt idx="1">
                  <c:v>314.14999999999998</c:v>
                </c:pt>
                <c:pt idx="2">
                  <c:v>317.14999999999998</c:v>
                </c:pt>
                <c:pt idx="3">
                  <c:v>315.14999999999998</c:v>
                </c:pt>
                <c:pt idx="4">
                  <c:v>319.14999999999998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312.14999999999998</c:v>
                </c:pt>
                <c:pt idx="2">
                  <c:v>313.14999999999998</c:v>
                </c:pt>
                <c:pt idx="3">
                  <c:v>311.14999999999998</c:v>
                </c:pt>
                <c:pt idx="4">
                  <c:v>317.14999999999998</c:v>
                </c:pt>
                <c:pt idx="5">
                  <c:v>316.14999999999998</c:v>
                </c:pt>
                <c:pt idx="6">
                  <c:v>315.14999999999998</c:v>
                </c:pt>
                <c:pt idx="7">
                  <c:v>314.14999999999998</c:v>
                </c:pt>
                <c:pt idx="8">
                  <c:v>314.14999999999998</c:v>
                </c:pt>
                <c:pt idx="9">
                  <c:v>316.14999999999998</c:v>
                </c:pt>
                <c:pt idx="10">
                  <c:v>314.14999999999998</c:v>
                </c:pt>
                <c:pt idx="11">
                  <c:v>317.14999999999998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66112"/>
        <c:axId val="-1711472640"/>
      </c:scatterChart>
      <c:valAx>
        <c:axId val="-17114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2640"/>
        <c:crosses val="autoZero"/>
        <c:crossBetween val="midCat"/>
      </c:valAx>
      <c:valAx>
        <c:axId val="-17114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6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535.65</c:v>
                </c:pt>
                <c:pt idx="1">
                  <c:v>587.15</c:v>
                </c:pt>
                <c:pt idx="2">
                  <c:v>608.15</c:v>
                </c:pt>
                <c:pt idx="3">
                  <c:v>626.65</c:v>
                </c:pt>
                <c:pt idx="4">
                  <c:v>648.15</c:v>
                </c:pt>
                <c:pt idx="5">
                  <c:v>668.15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648.15</c:v>
                </c:pt>
                <c:pt idx="1">
                  <c:v>645.65</c:v>
                </c:pt>
                <c:pt idx="2">
                  <c:v>670.15</c:v>
                </c:pt>
                <c:pt idx="3">
                  <c:v>658.15</c:v>
                </c:pt>
                <c:pt idx="4">
                  <c:v>685.65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650.65</c:v>
                </c:pt>
                <c:pt idx="1">
                  <c:v>623.15</c:v>
                </c:pt>
                <c:pt idx="2">
                  <c:v>638.15</c:v>
                </c:pt>
                <c:pt idx="3">
                  <c:v>615.65</c:v>
                </c:pt>
                <c:pt idx="4">
                  <c:v>658.15</c:v>
                </c:pt>
                <c:pt idx="5">
                  <c:v>648.15</c:v>
                </c:pt>
                <c:pt idx="6">
                  <c:v>668.15</c:v>
                </c:pt>
                <c:pt idx="7">
                  <c:v>670.65</c:v>
                </c:pt>
                <c:pt idx="8">
                  <c:v>661.65</c:v>
                </c:pt>
                <c:pt idx="9">
                  <c:v>674.15</c:v>
                </c:pt>
                <c:pt idx="10">
                  <c:v>667.65</c:v>
                </c:pt>
                <c:pt idx="11">
                  <c:v>648.15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71552"/>
        <c:axId val="-1711479712"/>
      </c:scatterChart>
      <c:valAx>
        <c:axId val="-17114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9712"/>
        <c:crosses val="autoZero"/>
        <c:crossBetween val="midCat"/>
      </c:valAx>
      <c:valAx>
        <c:axId val="-17114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7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0.82324419377495583</c:v>
                </c:pt>
                <c:pt idx="1">
                  <c:v>0.7733737043275386</c:v>
                </c:pt>
                <c:pt idx="2">
                  <c:v>0.75839788862565827</c:v>
                </c:pt>
                <c:pt idx="3">
                  <c:v>0.77969919517434116</c:v>
                </c:pt>
                <c:pt idx="4">
                  <c:v>0.76438386855207641</c:v>
                </c:pt>
                <c:pt idx="5">
                  <c:v>0.74810409672059242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0.78961328302705691</c:v>
                </c:pt>
                <c:pt idx="1">
                  <c:v>0.78573794325161139</c:v>
                </c:pt>
                <c:pt idx="2">
                  <c:v>0.79050251527824866</c:v>
                </c:pt>
                <c:pt idx="3">
                  <c:v>0.7784117257293024</c:v>
                </c:pt>
                <c:pt idx="4">
                  <c:v>0.77104310642399398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69920"/>
        <c:axId val="-1711469376"/>
      </c:scatterChart>
      <c:valAx>
        <c:axId val="-171146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69376"/>
        <c:crosses val="autoZero"/>
        <c:crossBetween val="midCat"/>
      </c:valAx>
      <c:valAx>
        <c:axId val="-171146937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6992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0.8412661998912444</c:v>
                </c:pt>
                <c:pt idx="1">
                  <c:v>0.84986988535791597</c:v>
                </c:pt>
                <c:pt idx="2">
                  <c:v>0.88699757919468403</c:v>
                </c:pt>
                <c:pt idx="3">
                  <c:v>0.88806468011725426</c:v>
                </c:pt>
                <c:pt idx="4">
                  <c:v>0.88534670705390606</c:v>
                </c:pt>
                <c:pt idx="5">
                  <c:v>0.88911212205919599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1468288"/>
        <c:axId val="-1709496752"/>
      </c:scatterChart>
      <c:valAx>
        <c:axId val="-171146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6752"/>
        <c:crosses val="autoZero"/>
        <c:crossBetween val="midCat"/>
      </c:valAx>
      <c:valAx>
        <c:axId val="-170949675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146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4070.7419144916612</c:v>
                </c:pt>
                <c:pt idx="1">
                  <c:v>4337.3825070278926</c:v>
                </c:pt>
                <c:pt idx="2">
                  <c:v>3895.5311721192293</c:v>
                </c:pt>
                <c:pt idx="3">
                  <c:v>3572.2761561846951</c:v>
                </c:pt>
                <c:pt idx="4">
                  <c:v>3411.5398017401985</c:v>
                </c:pt>
                <c:pt idx="5">
                  <c:v>3330.6841481467409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3862.5675940521082</c:v>
                </c:pt>
                <c:pt idx="1">
                  <c:v>3964.7726160194247</c:v>
                </c:pt>
                <c:pt idx="2">
                  <c:v>3587.2459616026695</c:v>
                </c:pt>
                <c:pt idx="3">
                  <c:v>3727.5520255066117</c:v>
                </c:pt>
                <c:pt idx="4">
                  <c:v>3480.2557053370119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5149.3775933609959</c:v>
                </c:pt>
                <c:pt idx="1">
                  <c:v>5319.5652173913049</c:v>
                </c:pt>
                <c:pt idx="2">
                  <c:v>5308.695652173913</c:v>
                </c:pt>
                <c:pt idx="3">
                  <c:v>5828.4210526315792</c:v>
                </c:pt>
                <c:pt idx="4">
                  <c:v>5640.6976744186049</c:v>
                </c:pt>
                <c:pt idx="5">
                  <c:v>5272.6293103448279</c:v>
                </c:pt>
                <c:pt idx="6">
                  <c:v>5531.8181818181811</c:v>
                </c:pt>
                <c:pt idx="7">
                  <c:v>5540.1785714285706</c:v>
                </c:pt>
                <c:pt idx="8">
                  <c:v>5285.4077253218884</c:v>
                </c:pt>
                <c:pt idx="9">
                  <c:v>5375.5458515283844</c:v>
                </c:pt>
                <c:pt idx="10">
                  <c:v>5290.598290598291</c:v>
                </c:pt>
                <c:pt idx="11">
                  <c:v>5150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501104"/>
        <c:axId val="-1709507632"/>
      </c:scatterChart>
      <c:valAx>
        <c:axId val="-170950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7632"/>
        <c:crosses val="autoZero"/>
        <c:crossBetween val="midCat"/>
      </c:valAx>
      <c:valAx>
        <c:axId val="-170950763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0.15000000000000036</c:v>
                </c:pt>
                <c:pt idx="2">
                  <c:v>0.20000000000000018</c:v>
                </c:pt>
                <c:pt idx="3">
                  <c:v>0.29000000000000004</c:v>
                </c:pt>
                <c:pt idx="4">
                  <c:v>0.2799999999999998</c:v>
                </c:pt>
                <c:pt idx="5">
                  <c:v>0.24000000000000021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RESULTS!$O$83:$U$83</c:f>
              <c:numCache>
                <c:formatCode>General</c:formatCode>
                <c:ptCount val="7"/>
                <c:pt idx="0">
                  <c:v>2.0593965000000001</c:v>
                </c:pt>
                <c:pt idx="1">
                  <c:v>1.9122967499999999</c:v>
                </c:pt>
                <c:pt idx="2">
                  <c:v>2.5497290000000001</c:v>
                </c:pt>
                <c:pt idx="3">
                  <c:v>2.3437893500000002</c:v>
                </c:pt>
                <c:pt idx="4">
                  <c:v>2.8439285000000001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0.26000000000000023</c:v>
                </c:pt>
                <c:pt idx="1">
                  <c:v>0.19999999999999973</c:v>
                </c:pt>
                <c:pt idx="2">
                  <c:v>0.29999999999999982</c:v>
                </c:pt>
                <c:pt idx="3">
                  <c:v>0.44999999999999996</c:v>
                </c:pt>
                <c:pt idx="4">
                  <c:v>0.25</c:v>
                </c:pt>
                <c:pt idx="5">
                  <c:v>0.21999999999999975</c:v>
                </c:pt>
                <c:pt idx="6">
                  <c:v>0.20000000000000018</c:v>
                </c:pt>
                <c:pt idx="7">
                  <c:v>0.3400000000000003</c:v>
                </c:pt>
                <c:pt idx="8">
                  <c:v>0.33000000000000007</c:v>
                </c:pt>
                <c:pt idx="9">
                  <c:v>0.39000000000000012</c:v>
                </c:pt>
                <c:pt idx="10">
                  <c:v>0.33999999999999986</c:v>
                </c:pt>
                <c:pt idx="11">
                  <c:v>0.29999999999999982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7296"/>
        <c:axId val="-1709499472"/>
      </c:scatterChart>
      <c:valAx>
        <c:axId val="-170949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9472"/>
        <c:crosses val="autoZero"/>
        <c:crossBetween val="midCat"/>
      </c:valAx>
      <c:valAx>
        <c:axId val="-1709499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729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1.5166666666666668</c:v>
                </c:pt>
                <c:pt idx="1">
                  <c:v>1.5333333333333332</c:v>
                </c:pt>
                <c:pt idx="2">
                  <c:v>2.5</c:v>
                </c:pt>
                <c:pt idx="3">
                  <c:v>3.0166666666666671</c:v>
                </c:pt>
                <c:pt idx="4">
                  <c:v>0.75</c:v>
                </c:pt>
                <c:pt idx="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2.9333333333333336</c:v>
                </c:pt>
                <c:pt idx="1">
                  <c:v>3.5833333333333335</c:v>
                </c:pt>
                <c:pt idx="2">
                  <c:v>2.9</c:v>
                </c:pt>
                <c:pt idx="3">
                  <c:v>4.2666666666666666</c:v>
                </c:pt>
                <c:pt idx="4">
                  <c:v>0.85000000000000009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3.3166666666666664</c:v>
                </c:pt>
                <c:pt idx="1">
                  <c:v>3</c:v>
                </c:pt>
                <c:pt idx="2">
                  <c:v>3.35</c:v>
                </c:pt>
                <c:pt idx="3">
                  <c:v>2.9666666666666668</c:v>
                </c:pt>
                <c:pt idx="4">
                  <c:v>3.3666666666666667</c:v>
                </c:pt>
                <c:pt idx="5">
                  <c:v>3.2999999999999994</c:v>
                </c:pt>
                <c:pt idx="6">
                  <c:v>3.35</c:v>
                </c:pt>
                <c:pt idx="7">
                  <c:v>3.3333333333333335</c:v>
                </c:pt>
                <c:pt idx="8">
                  <c:v>3.5166666666666671</c:v>
                </c:pt>
                <c:pt idx="9">
                  <c:v>3.75</c:v>
                </c:pt>
                <c:pt idx="10">
                  <c:v>3.7333333333333329</c:v>
                </c:pt>
                <c:pt idx="11">
                  <c:v>3.9666666666666663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508176"/>
        <c:axId val="-1709511440"/>
      </c:scatterChart>
      <c:valAx>
        <c:axId val="-17095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11440"/>
        <c:crosses val="autoZero"/>
        <c:crossBetween val="midCat"/>
      </c:valAx>
      <c:valAx>
        <c:axId val="-1709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25.749999999999993</c:v>
                </c:pt>
                <c:pt idx="1">
                  <c:v>26.833333333333329</c:v>
                </c:pt>
                <c:pt idx="2">
                  <c:v>27.333333333333357</c:v>
                </c:pt>
                <c:pt idx="3">
                  <c:v>25</c:v>
                </c:pt>
                <c:pt idx="4">
                  <c:v>10.833333333333343</c:v>
                </c:pt>
                <c:pt idx="5">
                  <c:v>3.6666666666666572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26.499999999999986</c:v>
                </c:pt>
                <c:pt idx="1">
                  <c:v>26.000000000000014</c:v>
                </c:pt>
                <c:pt idx="2">
                  <c:v>16.833333333333343</c:v>
                </c:pt>
                <c:pt idx="3">
                  <c:v>25.333333333333329</c:v>
                </c:pt>
                <c:pt idx="4">
                  <c:v>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20.09999999999998</c:v>
                </c:pt>
                <c:pt idx="1">
                  <c:v>20.916666666666671</c:v>
                </c:pt>
                <c:pt idx="2">
                  <c:v>20.049999999999983</c:v>
                </c:pt>
                <c:pt idx="3">
                  <c:v>23.083333333333343</c:v>
                </c:pt>
                <c:pt idx="4">
                  <c:v>21.63333333333334</c:v>
                </c:pt>
                <c:pt idx="5">
                  <c:v>19.88333333333334</c:v>
                </c:pt>
                <c:pt idx="6">
                  <c:v>21.366666666666674</c:v>
                </c:pt>
                <c:pt idx="7">
                  <c:v>19.033333333333331</c:v>
                </c:pt>
                <c:pt idx="8">
                  <c:v>19.666666666666671</c:v>
                </c:pt>
                <c:pt idx="9">
                  <c:v>21.333333333333343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503824"/>
        <c:axId val="-1709507088"/>
      </c:scatterChart>
      <c:valAx>
        <c:axId val="-170950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7088"/>
        <c:crosses val="autoZero"/>
        <c:crossBetween val="midCat"/>
      </c:valAx>
      <c:valAx>
        <c:axId val="-170950708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717.54946085156917</c:v>
                </c:pt>
                <c:pt idx="1">
                  <c:v>1119.3517777279958</c:v>
                </c:pt>
                <c:pt idx="2">
                  <c:v>1475.3041144058097</c:v>
                </c:pt>
                <c:pt idx="3">
                  <c:v>1670.4567526722078</c:v>
                </c:pt>
                <c:pt idx="4">
                  <c:v>1796.5819261074002</c:v>
                </c:pt>
                <c:pt idx="5">
                  <c:v>1904.9759334043808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1463.1437498557561</c:v>
                </c:pt>
                <c:pt idx="1">
                  <c:v>1389.4477275542397</c:v>
                </c:pt>
                <c:pt idx="2">
                  <c:v>1628.1735717876165</c:v>
                </c:pt>
                <c:pt idx="3">
                  <c:v>1544.7088709690086</c:v>
                </c:pt>
                <c:pt idx="4">
                  <c:v>1733.5694238067115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0.75900000000000001</c:v>
                </c:pt>
                <c:pt idx="1">
                  <c:v>0.69499999999999995</c:v>
                </c:pt>
                <c:pt idx="2">
                  <c:v>0.72</c:v>
                </c:pt>
                <c:pt idx="3">
                  <c:v>0.57099999999999995</c:v>
                </c:pt>
                <c:pt idx="4">
                  <c:v>0.71099999999999997</c:v>
                </c:pt>
                <c:pt idx="5">
                  <c:v>0.75</c:v>
                </c:pt>
                <c:pt idx="6">
                  <c:v>0.72</c:v>
                </c:pt>
                <c:pt idx="7">
                  <c:v>0.753</c:v>
                </c:pt>
                <c:pt idx="8">
                  <c:v>0.749</c:v>
                </c:pt>
                <c:pt idx="9">
                  <c:v>0.745</c:v>
                </c:pt>
                <c:pt idx="10">
                  <c:v>0.75800000000000001</c:v>
                </c:pt>
                <c:pt idx="11">
                  <c:v>0.77300000000000002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1370.6962578702885</c:v>
                </c:pt>
                <c:pt idx="1">
                  <c:v>1300.8725254267931</c:v>
                </c:pt>
                <c:pt idx="2">
                  <c:v>1316.291700443071</c:v>
                </c:pt>
                <c:pt idx="3">
                  <c:v>1135.8760953323238</c:v>
                </c:pt>
                <c:pt idx="4">
                  <c:v>1299.8649669184285</c:v>
                </c:pt>
                <c:pt idx="5">
                  <c:v>1354.2330938052983</c:v>
                </c:pt>
                <c:pt idx="6">
                  <c:v>1299.1125010475801</c:v>
                </c:pt>
                <c:pt idx="7">
                  <c:v>1354.5429674060742</c:v>
                </c:pt>
                <c:pt idx="8">
                  <c:v>1345.8361618228221</c:v>
                </c:pt>
                <c:pt idx="9">
                  <c:v>1339.0916883121429</c:v>
                </c:pt>
                <c:pt idx="10">
                  <c:v>1361.7562562724481</c:v>
                </c:pt>
                <c:pt idx="11">
                  <c:v>1388.8125744257536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505456"/>
        <c:axId val="-1709510352"/>
      </c:scatterChart>
      <c:valAx>
        <c:axId val="-17095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10352"/>
        <c:crosses val="autoZero"/>
        <c:crossBetween val="midCat"/>
      </c:valAx>
      <c:valAx>
        <c:axId val="-17095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36.465674959648886</c:v>
                </c:pt>
                <c:pt idx="1">
                  <c:v>36.110579392207399</c:v>
                </c:pt>
                <c:pt idx="2">
                  <c:v>36.742344693233846</c:v>
                </c:pt>
                <c:pt idx="3">
                  <c:v>36.641342162275791</c:v>
                </c:pt>
                <c:pt idx="4">
                  <c:v>36.932593086678352</c:v>
                </c:pt>
                <c:pt idx="5">
                  <c:v>36.866448594763725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34.049679921335937</c:v>
                </c:pt>
                <c:pt idx="1">
                  <c:v>35.646850640522509</c:v>
                </c:pt>
                <c:pt idx="2">
                  <c:v>36.332520117889487</c:v>
                </c:pt>
                <c:pt idx="3">
                  <c:v>35.831039268224359</c:v>
                </c:pt>
                <c:pt idx="4">
                  <c:v>35.678879226236987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  <c:pt idx="10">
                  <c:v>90.8</c:v>
                </c:pt>
                <c:pt idx="11">
                  <c:v>90.8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48.298755186721998</c:v>
                </c:pt>
                <c:pt idx="1">
                  <c:v>49.818840579710148</c:v>
                </c:pt>
                <c:pt idx="2">
                  <c:v>49.615942028985515</c:v>
                </c:pt>
                <c:pt idx="3">
                  <c:v>51.096491228070178</c:v>
                </c:pt>
                <c:pt idx="4">
                  <c:v>49.860465116279073</c:v>
                </c:pt>
                <c:pt idx="5">
                  <c:v>49.762931034482762</c:v>
                </c:pt>
                <c:pt idx="6">
                  <c:v>47.636363636363633</c:v>
                </c:pt>
                <c:pt idx="7">
                  <c:v>49.166666666666657</c:v>
                </c:pt>
                <c:pt idx="8">
                  <c:v>49.070100143061516</c:v>
                </c:pt>
                <c:pt idx="9">
                  <c:v>48.471615720524014</c:v>
                </c:pt>
                <c:pt idx="10">
                  <c:v>48.653846153846146</c:v>
                </c:pt>
                <c:pt idx="11">
                  <c:v>48.895833333333336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509808"/>
        <c:axId val="-1709510896"/>
      </c:scatterChart>
      <c:valAx>
        <c:axId val="-17095098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10896"/>
        <c:crosses val="autoZero"/>
        <c:crossBetween val="midCat"/>
      </c:valAx>
      <c:valAx>
        <c:axId val="-170951089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551574803149605"/>
          <c:y val="0.57345764071157768"/>
          <c:w val="0.21008398950131232"/>
          <c:h val="0.2076261300670749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RESULTS!$Z$8:$AI$8</c:f>
              <c:numCache>
                <c:formatCode>General</c:formatCode>
                <c:ptCount val="10"/>
                <c:pt idx="0">
                  <c:v>90.4</c:v>
                </c:pt>
                <c:pt idx="1">
                  <c:v>87.2</c:v>
                </c:pt>
                <c:pt idx="2">
                  <c:v>89.3</c:v>
                </c:pt>
                <c:pt idx="3">
                  <c:v>82.1</c:v>
                </c:pt>
                <c:pt idx="4">
                  <c:v>89.3</c:v>
                </c:pt>
                <c:pt idx="5">
                  <c:v>90.4</c:v>
                </c:pt>
                <c:pt idx="6">
                  <c:v>90.3</c:v>
                </c:pt>
                <c:pt idx="7">
                  <c:v>90.7</c:v>
                </c:pt>
                <c:pt idx="8">
                  <c:v>90.8</c:v>
                </c:pt>
                <c:pt idx="9">
                  <c:v>90.8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1370.6962578702885</c:v>
                </c:pt>
                <c:pt idx="1">
                  <c:v>1300.8725254267931</c:v>
                </c:pt>
                <c:pt idx="2">
                  <c:v>1316.291700443071</c:v>
                </c:pt>
                <c:pt idx="3">
                  <c:v>1135.8760953323238</c:v>
                </c:pt>
                <c:pt idx="4">
                  <c:v>1299.8649669184285</c:v>
                </c:pt>
                <c:pt idx="5">
                  <c:v>1354.2330938052983</c:v>
                </c:pt>
                <c:pt idx="6">
                  <c:v>1299.1125010475801</c:v>
                </c:pt>
                <c:pt idx="7">
                  <c:v>1354.5429674060742</c:v>
                </c:pt>
                <c:pt idx="8">
                  <c:v>1345.8361618228221</c:v>
                </c:pt>
                <c:pt idx="9">
                  <c:v>1339.0916883121429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3488"/>
        <c:axId val="-170949784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72.3</c:v>
                </c:pt>
                <c:pt idx="2">
                  <c:v>82.6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717.54946085156917</c:v>
                </c:pt>
                <c:pt idx="1">
                  <c:v>1119.3517777279958</c:v>
                </c:pt>
                <c:pt idx="2">
                  <c:v>1475.3041144058097</c:v>
                </c:pt>
                <c:pt idx="3">
                  <c:v>1670.4567526722078</c:v>
                </c:pt>
                <c:pt idx="4">
                  <c:v>1796.5819261074002</c:v>
                </c:pt>
                <c:pt idx="5">
                  <c:v>1904.9759334043808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85.9</c:v>
                </c:pt>
                <c:pt idx="1">
                  <c:v>85.9</c:v>
                </c:pt>
                <c:pt idx="2">
                  <c:v>90.9</c:v>
                </c:pt>
                <c:pt idx="3">
                  <c:v>90.69</c:v>
                </c:pt>
                <c:pt idx="4">
                  <c:v>94.09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1463.1437498557561</c:v>
                </c:pt>
                <c:pt idx="1">
                  <c:v>1389.4477275542397</c:v>
                </c:pt>
                <c:pt idx="2">
                  <c:v>1628.1735717876165</c:v>
                </c:pt>
                <c:pt idx="3">
                  <c:v>1544.7088709690086</c:v>
                </c:pt>
                <c:pt idx="4">
                  <c:v>1733.5694238067115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3488"/>
        <c:axId val="-1709497840"/>
      </c:scatterChart>
      <c:valAx>
        <c:axId val="-1709493488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7840"/>
        <c:crosses val="autoZero"/>
        <c:crossBetween val="midCat"/>
      </c:valAx>
      <c:valAx>
        <c:axId val="-17094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79.100658139201556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1370.6962578702885</c:v>
                </c:pt>
                <c:pt idx="1">
                  <c:v>1300.8725254267931</c:v>
                </c:pt>
                <c:pt idx="2">
                  <c:v>1316.291700443071</c:v>
                </c:pt>
                <c:pt idx="3">
                  <c:v>1135.8760953323238</c:v>
                </c:pt>
                <c:pt idx="4">
                  <c:v>1299.8649669184285</c:v>
                </c:pt>
                <c:pt idx="5">
                  <c:v>1354.2330938052983</c:v>
                </c:pt>
                <c:pt idx="6">
                  <c:v>1299.1125010475801</c:v>
                </c:pt>
                <c:pt idx="7">
                  <c:v>1354.5429674060742</c:v>
                </c:pt>
                <c:pt idx="8">
                  <c:v>1345.8361618228221</c:v>
                </c:pt>
                <c:pt idx="9">
                  <c:v>1339.0916883121429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5664"/>
        <c:axId val="-170949512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42</c:v>
                </c:pt>
                <c:pt idx="1">
                  <c:v>56</c:v>
                </c:pt>
                <c:pt idx="2">
                  <c:v>70</c:v>
                </c:pt>
                <c:pt idx="3">
                  <c:v>77</c:v>
                </c:pt>
                <c:pt idx="4">
                  <c:v>85</c:v>
                </c:pt>
                <c:pt idx="5">
                  <c:v>90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717.54946085156917</c:v>
                </c:pt>
                <c:pt idx="1">
                  <c:v>1119.3517777279958</c:v>
                </c:pt>
                <c:pt idx="2">
                  <c:v>1475.3041144058097</c:v>
                </c:pt>
                <c:pt idx="3">
                  <c:v>1670.4567526722078</c:v>
                </c:pt>
                <c:pt idx="4">
                  <c:v>1796.5819261074002</c:v>
                </c:pt>
                <c:pt idx="5">
                  <c:v>1904.9759334043808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1463.1437498557561</c:v>
                </c:pt>
                <c:pt idx="1">
                  <c:v>1389.4477275542397</c:v>
                </c:pt>
                <c:pt idx="2">
                  <c:v>1628.1735717876165</c:v>
                </c:pt>
                <c:pt idx="3">
                  <c:v>1544.7088709690086</c:v>
                </c:pt>
                <c:pt idx="4">
                  <c:v>1733.5694238067115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5664"/>
        <c:axId val="-1709495120"/>
      </c:scatterChart>
      <c:valAx>
        <c:axId val="-17094956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5120"/>
        <c:crosses val="autoZero"/>
        <c:crossBetween val="midCat"/>
      </c:valAx>
      <c:valAx>
        <c:axId val="-170949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79.100658139201556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12975.923472672001</c:v>
                </c:pt>
                <c:pt idx="1">
                  <c:v>11878.99896096</c:v>
                </c:pt>
                <c:pt idx="2">
                  <c:v>12309.267787104</c:v>
                </c:pt>
                <c:pt idx="3">
                  <c:v>9765.6855237119998</c:v>
                </c:pt>
                <c:pt idx="4">
                  <c:v>12155.653613471999</c:v>
                </c:pt>
                <c:pt idx="5">
                  <c:v>12820.072199423999</c:v>
                </c:pt>
                <c:pt idx="6">
                  <c:v>12284.659691327999</c:v>
                </c:pt>
                <c:pt idx="7">
                  <c:v>12865.559891616</c:v>
                </c:pt>
                <c:pt idx="8">
                  <c:v>12796.955503392001</c:v>
                </c:pt>
                <c:pt idx="9">
                  <c:v>12732.825314399999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4032"/>
        <c:axId val="-1709487504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42</c:v>
                </c:pt>
                <c:pt idx="1">
                  <c:v>56</c:v>
                </c:pt>
                <c:pt idx="2">
                  <c:v>70</c:v>
                </c:pt>
                <c:pt idx="3">
                  <c:v>77</c:v>
                </c:pt>
                <c:pt idx="4">
                  <c:v>85</c:v>
                </c:pt>
                <c:pt idx="5">
                  <c:v>90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4313.1280596480001</c:v>
                </c:pt>
                <c:pt idx="1">
                  <c:v>8474.8790452800004</c:v>
                </c:pt>
                <c:pt idx="2">
                  <c:v>12761.161909536</c:v>
                </c:pt>
                <c:pt idx="3">
                  <c:v>15376.331360639999</c:v>
                </c:pt>
                <c:pt idx="4">
                  <c:v>17120.523361248001</c:v>
                </c:pt>
                <c:pt idx="5">
                  <c:v>18731.98078464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97881662429991"/>
                  <c:y val="-6.0043811352152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RESULTS!$O$94:$S$94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13161.602740799999</c:v>
                </c:pt>
                <c:pt idx="1">
                  <c:v>12498.675554592</c:v>
                </c:pt>
                <c:pt idx="2">
                  <c:v>15498.626139648</c:v>
                </c:pt>
                <c:pt idx="3">
                  <c:v>14670.153581856001</c:v>
                </c:pt>
                <c:pt idx="4">
                  <c:v>17081.001268032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4032"/>
        <c:axId val="-1709487504"/>
      </c:scatterChart>
      <c:valAx>
        <c:axId val="-17094940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87504"/>
        <c:crosses val="autoZero"/>
        <c:crossBetween val="midCat"/>
      </c:valAx>
      <c:valAx>
        <c:axId val="-17094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717.54946085156917</c:v>
                </c:pt>
                <c:pt idx="1">
                  <c:v>1119.3517777279958</c:v>
                </c:pt>
                <c:pt idx="2">
                  <c:v>1475.3041144058097</c:v>
                </c:pt>
                <c:pt idx="3">
                  <c:v>1670.4567526722078</c:v>
                </c:pt>
                <c:pt idx="4">
                  <c:v>1796.5819261074002</c:v>
                </c:pt>
                <c:pt idx="5">
                  <c:v>1904.9759334043808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76.093917049533331</c:v>
                </c:pt>
                <c:pt idx="1">
                  <c:v>103.76031707142</c:v>
                </c:pt>
                <c:pt idx="2">
                  <c:v>135.34298379280335</c:v>
                </c:pt>
                <c:pt idx="3">
                  <c:v>151.00898384752</c:v>
                </c:pt>
                <c:pt idx="4">
                  <c:v>151.50898384752</c:v>
                </c:pt>
                <c:pt idx="5">
                  <c:v>153.67565051418666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1463.1437498557561</c:v>
                </c:pt>
                <c:pt idx="1">
                  <c:v>1389.4477275542397</c:v>
                </c:pt>
                <c:pt idx="2">
                  <c:v>1628.1735717876165</c:v>
                </c:pt>
                <c:pt idx="3">
                  <c:v>1544.7088709690086</c:v>
                </c:pt>
                <c:pt idx="4">
                  <c:v>1733.5694238067115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131.18165002173666</c:v>
                </c:pt>
                <c:pt idx="1">
                  <c:v>130.34831668840334</c:v>
                </c:pt>
                <c:pt idx="2">
                  <c:v>146.34831668840334</c:v>
                </c:pt>
                <c:pt idx="3">
                  <c:v>145.68165002173666</c:v>
                </c:pt>
                <c:pt idx="4">
                  <c:v>146.68165002173666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1370.6962578702885</c:v>
                </c:pt>
                <c:pt idx="1">
                  <c:v>1300.8725254267931</c:v>
                </c:pt>
                <c:pt idx="2">
                  <c:v>1316.291700443071</c:v>
                </c:pt>
                <c:pt idx="3">
                  <c:v>1135.8760953323238</c:v>
                </c:pt>
                <c:pt idx="4">
                  <c:v>1299.8649669184285</c:v>
                </c:pt>
                <c:pt idx="5">
                  <c:v>1354.2330938052983</c:v>
                </c:pt>
                <c:pt idx="6">
                  <c:v>1299.1125010475801</c:v>
                </c:pt>
                <c:pt idx="7">
                  <c:v>1354.5429674060742</c:v>
                </c:pt>
                <c:pt idx="8">
                  <c:v>1345.8361618228221</c:v>
                </c:pt>
                <c:pt idx="9">
                  <c:v>1339.0916883121429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136.5</c:v>
                </c:pt>
                <c:pt idx="1">
                  <c:v>135.5</c:v>
                </c:pt>
                <c:pt idx="2">
                  <c:v>134.16666666666666</c:v>
                </c:pt>
                <c:pt idx="3">
                  <c:v>120.16666666666667</c:v>
                </c:pt>
                <c:pt idx="4">
                  <c:v>128.83333333333334</c:v>
                </c:pt>
                <c:pt idx="5">
                  <c:v>135.33333333333334</c:v>
                </c:pt>
                <c:pt idx="6">
                  <c:v>126.16666666666667</c:v>
                </c:pt>
                <c:pt idx="7">
                  <c:v>129.16666666666666</c:v>
                </c:pt>
                <c:pt idx="8">
                  <c:v>134</c:v>
                </c:pt>
                <c:pt idx="9">
                  <c:v>132.33333333333334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91856"/>
        <c:axId val="-1709502736"/>
      </c:scatterChart>
      <c:valAx>
        <c:axId val="-170949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502736"/>
        <c:crosses val="autoZero"/>
        <c:crossBetween val="midCat"/>
      </c:valAx>
      <c:valAx>
        <c:axId val="-17095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717.54946085156917</c:v>
                </c:pt>
                <c:pt idx="1">
                  <c:v>1119.3517777279958</c:v>
                </c:pt>
                <c:pt idx="2">
                  <c:v>1475.3041144058097</c:v>
                </c:pt>
                <c:pt idx="3">
                  <c:v>1670.4567526722078</c:v>
                </c:pt>
                <c:pt idx="4">
                  <c:v>1796.5819261074002</c:v>
                </c:pt>
                <c:pt idx="5">
                  <c:v>1904.9759334043808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50.343917049533339</c:v>
                </c:pt>
                <c:pt idx="1">
                  <c:v>76.926983738086676</c:v>
                </c:pt>
                <c:pt idx="2">
                  <c:v>108.00965045947</c:v>
                </c:pt>
                <c:pt idx="3">
                  <c:v>126.00898384752</c:v>
                </c:pt>
                <c:pt idx="4">
                  <c:v>140.67565051418666</c:v>
                </c:pt>
                <c:pt idx="5">
                  <c:v>150.00898384752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1463.1437498557561</c:v>
                </c:pt>
                <c:pt idx="1">
                  <c:v>1389.4477275542397</c:v>
                </c:pt>
                <c:pt idx="2">
                  <c:v>1628.1735717876165</c:v>
                </c:pt>
                <c:pt idx="3">
                  <c:v>1544.7088709690086</c:v>
                </c:pt>
                <c:pt idx="4">
                  <c:v>1733.5694238067115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104.68165002173667</c:v>
                </c:pt>
                <c:pt idx="1">
                  <c:v>104.34831668840333</c:v>
                </c:pt>
                <c:pt idx="2">
                  <c:v>129.51498335507</c:v>
                </c:pt>
                <c:pt idx="3">
                  <c:v>120.34831668840333</c:v>
                </c:pt>
                <c:pt idx="4">
                  <c:v>137.68165002173666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1370.6962578702885</c:v>
                </c:pt>
                <c:pt idx="1">
                  <c:v>1300.8725254267931</c:v>
                </c:pt>
                <c:pt idx="2">
                  <c:v>1316.291700443071</c:v>
                </c:pt>
                <c:pt idx="3">
                  <c:v>1135.8760953323238</c:v>
                </c:pt>
                <c:pt idx="4">
                  <c:v>1299.8649669184285</c:v>
                </c:pt>
                <c:pt idx="5">
                  <c:v>1354.2330938052983</c:v>
                </c:pt>
                <c:pt idx="6">
                  <c:v>1299.1125010475801</c:v>
                </c:pt>
                <c:pt idx="7">
                  <c:v>1354.5429674060742</c:v>
                </c:pt>
                <c:pt idx="8">
                  <c:v>1345.8361618228221</c:v>
                </c:pt>
                <c:pt idx="9">
                  <c:v>1339.0916883121429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116.40000000000002</c:v>
                </c:pt>
                <c:pt idx="1">
                  <c:v>114.58333333333333</c:v>
                </c:pt>
                <c:pt idx="2">
                  <c:v>114.11666666666667</c:v>
                </c:pt>
                <c:pt idx="3">
                  <c:v>97.083333333333329</c:v>
                </c:pt>
                <c:pt idx="4">
                  <c:v>107.2</c:v>
                </c:pt>
                <c:pt idx="5">
                  <c:v>115.45</c:v>
                </c:pt>
                <c:pt idx="6">
                  <c:v>104.8</c:v>
                </c:pt>
                <c:pt idx="7">
                  <c:v>110.13333333333333</c:v>
                </c:pt>
                <c:pt idx="8">
                  <c:v>114.33333333333333</c:v>
                </c:pt>
                <c:pt idx="9">
                  <c:v>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9484240"/>
        <c:axId val="-1709488592"/>
      </c:scatterChart>
      <c:valAx>
        <c:axId val="-170948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88592"/>
        <c:crosses val="autoZero"/>
        <c:crossBetween val="midCat"/>
      </c:valAx>
      <c:valAx>
        <c:axId val="-170948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8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CAP PHILLIPE VESSEL, 2007, ISO-CORRECTION METHOD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RESULTS!$Z$176</c:f>
              <c:strCache>
                <c:ptCount val="1"/>
                <c:pt idx="0">
                  <c:v>29-01-07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RESULTS!$Z$177:$Z$181</c:f>
              <c:numCache>
                <c:formatCode>0.00%</c:formatCode>
                <c:ptCount val="5"/>
                <c:pt idx="0">
                  <c:v>0.11138474812571715</c:v>
                </c:pt>
                <c:pt idx="1">
                  <c:v>9.3838766373888313E-2</c:v>
                </c:pt>
                <c:pt idx="2">
                  <c:v>-0.17497582014461702</c:v>
                </c:pt>
                <c:pt idx="3">
                  <c:v>4.2071084315236928E-2</c:v>
                </c:pt>
                <c:pt idx="4">
                  <c:v>0.22258202642060942</c:v>
                </c:pt>
              </c:numCache>
            </c:numRef>
          </c:val>
        </c:ser>
        <c:ser>
          <c:idx val="1"/>
          <c:order val="1"/>
          <c:tx>
            <c:strRef>
              <c:f>RESULTS!$AA$176</c:f>
              <c:strCache>
                <c:ptCount val="1"/>
                <c:pt idx="0">
                  <c:v>23-02-07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RESULTS!$AA$177:$AA$181</c:f>
              <c:numCache>
                <c:formatCode>0.00%</c:formatCode>
                <c:ptCount val="5"/>
                <c:pt idx="0">
                  <c:v>0.15323853913059363</c:v>
                </c:pt>
                <c:pt idx="1">
                  <c:v>0.15102016636571944</c:v>
                </c:pt>
                <c:pt idx="2">
                  <c:v>-0.16029694186022667</c:v>
                </c:pt>
                <c:pt idx="3">
                  <c:v>-6.6495532630928451E-3</c:v>
                </c:pt>
                <c:pt idx="4">
                  <c:v>0.24960460469501336</c:v>
                </c:pt>
              </c:numCache>
            </c:numRef>
          </c:val>
        </c:ser>
        <c:ser>
          <c:idx val="2"/>
          <c:order val="2"/>
          <c:tx>
            <c:strRef>
              <c:f>RESULTS!$AB$176</c:f>
              <c:strCache>
                <c:ptCount val="1"/>
                <c:pt idx="0">
                  <c:v>31-03-07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RESULTS!$AB$177:$AB$181</c:f>
              <c:numCache>
                <c:formatCode>0.00%</c:formatCode>
                <c:ptCount val="5"/>
                <c:pt idx="0">
                  <c:v>0.13383078321270048</c:v>
                </c:pt>
                <c:pt idx="1">
                  <c:v>0.11855160753006759</c:v>
                </c:pt>
                <c:pt idx="2">
                  <c:v>-0.17964448073157677</c:v>
                </c:pt>
                <c:pt idx="3">
                  <c:v>2.1322031111801764E-2</c:v>
                </c:pt>
                <c:pt idx="4">
                  <c:v>0.24240143636563355</c:v>
                </c:pt>
              </c:numCache>
            </c:numRef>
          </c:val>
        </c:ser>
        <c:ser>
          <c:idx val="3"/>
          <c:order val="3"/>
          <c:tx>
            <c:strRef>
              <c:f>RESULTS!$AC$176</c:f>
              <c:strCache>
                <c:ptCount val="1"/>
                <c:pt idx="0">
                  <c:v>26-04-07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RESULTS!$AC$177:$AC$181</c:f>
              <c:numCache>
                <c:formatCode>0.00%</c:formatCode>
                <c:ptCount val="5"/>
                <c:pt idx="0">
                  <c:v>0.1563590704304007</c:v>
                </c:pt>
                <c:pt idx="1">
                  <c:v>0.13628683048994072</c:v>
                </c:pt>
                <c:pt idx="2">
                  <c:v>-0.1980949478539501</c:v>
                </c:pt>
                <c:pt idx="3">
                  <c:v>1.8695084969661713E-2</c:v>
                </c:pt>
                <c:pt idx="4">
                  <c:v>0.3560569315514453</c:v>
                </c:pt>
              </c:numCache>
            </c:numRef>
          </c:val>
        </c:ser>
        <c:ser>
          <c:idx val="4"/>
          <c:order val="4"/>
          <c:tx>
            <c:strRef>
              <c:f>RESULTS!$AD$176</c:f>
              <c:strCache>
                <c:ptCount val="1"/>
                <c:pt idx="0">
                  <c:v>25-05-07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RESULTS!$AD$177:$AD$181</c:f>
              <c:numCache>
                <c:formatCode>0.00%</c:formatCode>
                <c:ptCount val="5"/>
                <c:pt idx="0">
                  <c:v>0.11881152599751599</c:v>
                </c:pt>
                <c:pt idx="1">
                  <c:v>8.2402925347268299E-2</c:v>
                </c:pt>
                <c:pt idx="2">
                  <c:v>-0.21254233366632097</c:v>
                </c:pt>
                <c:pt idx="3">
                  <c:v>3.9642983555198144E-2</c:v>
                </c:pt>
                <c:pt idx="4">
                  <c:v>0.27514650740305413</c:v>
                </c:pt>
              </c:numCache>
            </c:numRef>
          </c:val>
        </c:ser>
        <c:ser>
          <c:idx val="5"/>
          <c:order val="5"/>
          <c:tx>
            <c:strRef>
              <c:f>RESULTS!$AE$176</c:f>
              <c:strCache>
                <c:ptCount val="1"/>
                <c:pt idx="0">
                  <c:v>26-06-07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RESULTS!$AE$177:$AE$181</c:f>
              <c:numCache>
                <c:formatCode>0.00%</c:formatCode>
                <c:ptCount val="5"/>
                <c:pt idx="0">
                  <c:v>0.1287678167781473</c:v>
                </c:pt>
                <c:pt idx="1">
                  <c:v>8.2972988145625842E-2</c:v>
                </c:pt>
                <c:pt idx="2">
                  <c:v>-0.20806207590756925</c:v>
                </c:pt>
                <c:pt idx="3">
                  <c:v>4.9206242615672878E-2</c:v>
                </c:pt>
                <c:pt idx="4">
                  <c:v>0.24601894721424239</c:v>
                </c:pt>
              </c:numCache>
            </c:numRef>
          </c:val>
        </c:ser>
        <c:ser>
          <c:idx val="6"/>
          <c:order val="6"/>
          <c:tx>
            <c:strRef>
              <c:f>RESULTS!$AF$176</c:f>
              <c:strCache>
                <c:ptCount val="1"/>
                <c:pt idx="0">
                  <c:v>20-07-07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RESULTS!$AF$177:$AF$181</c:f>
              <c:numCache>
                <c:formatCode>0.00%</c:formatCode>
                <c:ptCount val="5"/>
                <c:pt idx="0">
                  <c:v>8.820771170692418E-2</c:v>
                </c:pt>
                <c:pt idx="1">
                  <c:v>3.9658219657788291E-2</c:v>
                </c:pt>
                <c:pt idx="2">
                  <c:v>-0.20608585106189484</c:v>
                </c:pt>
                <c:pt idx="3">
                  <c:v>9.0301794730425863E-2</c:v>
                </c:pt>
                <c:pt idx="4">
                  <c:v>0.26599630833984861</c:v>
                </c:pt>
              </c:numCache>
            </c:numRef>
          </c:val>
        </c:ser>
        <c:ser>
          <c:idx val="7"/>
          <c:order val="7"/>
          <c:tx>
            <c:strRef>
              <c:f>RESULTS!$AG$176</c:f>
              <c:strCache>
                <c:ptCount val="1"/>
                <c:pt idx="0">
                  <c:v>12-08-07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RESULTS!$AG$177:$AG$181</c:f>
              <c:numCache>
                <c:formatCode>0.00%</c:formatCode>
                <c:ptCount val="5"/>
                <c:pt idx="0">
                  <c:v>7.7212509333128967E-2</c:v>
                </c:pt>
                <c:pt idx="1">
                  <c:v>6.1006686457082432E-2</c:v>
                </c:pt>
                <c:pt idx="2">
                  <c:v>-0.21299040057164745</c:v>
                </c:pt>
                <c:pt idx="3">
                  <c:v>7.8906810355012E-2</c:v>
                </c:pt>
                <c:pt idx="4">
                  <c:v>0.26672874626397164</c:v>
                </c:pt>
              </c:numCache>
            </c:numRef>
          </c:val>
        </c:ser>
        <c:ser>
          <c:idx val="8"/>
          <c:order val="8"/>
          <c:tx>
            <c:strRef>
              <c:f>RESULTS!$AH$176</c:f>
              <c:strCache>
                <c:ptCount val="1"/>
                <c:pt idx="0">
                  <c:v>11-09-07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RESULTS!$AH$177:$AH$181</c:f>
              <c:numCache>
                <c:formatCode>0.00%</c:formatCode>
                <c:ptCount val="5"/>
                <c:pt idx="0">
                  <c:v>0.1221596075648415</c:v>
                </c:pt>
                <c:pt idx="1">
                  <c:v>0.10323619616064839</c:v>
                </c:pt>
                <c:pt idx="2">
                  <c:v>-0.1799477795106097</c:v>
                </c:pt>
                <c:pt idx="3">
                  <c:v>5.9760028174185041E-2</c:v>
                </c:pt>
                <c:pt idx="4">
                  <c:v>0.22754336762918639</c:v>
                </c:pt>
              </c:numCache>
            </c:numRef>
          </c:val>
        </c:ser>
        <c:ser>
          <c:idx val="9"/>
          <c:order val="9"/>
          <c:tx>
            <c:strRef>
              <c:f>RESULTS!$AI$176</c:f>
              <c:strCache>
                <c:ptCount val="1"/>
                <c:pt idx="0">
                  <c:v>27-10-07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(RESULTS!$X$157,RESULTS!$X$160,RESULTS!$X$163,RESULTS!$X$166,RESULTS!$X$169)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RESULTS!$AI$177:$AI$181</c:f>
              <c:numCache>
                <c:formatCode>0.00%</c:formatCode>
                <c:ptCount val="5"/>
                <c:pt idx="0">
                  <c:v>0.12411085237573613</c:v>
                </c:pt>
                <c:pt idx="1">
                  <c:v>8.9796226034031257E-2</c:v>
                </c:pt>
                <c:pt idx="2">
                  <c:v>-0.17966491126634995</c:v>
                </c:pt>
                <c:pt idx="3">
                  <c:v>7.785625896604513E-2</c:v>
                </c:pt>
                <c:pt idx="4">
                  <c:v>0.23015683471507895</c:v>
                </c:pt>
              </c:numCache>
            </c:numRef>
          </c:val>
        </c:ser>
        <c:ser>
          <c:idx val="10"/>
          <c:order val="10"/>
          <c:tx>
            <c:strRef>
              <c:f>RESULTS!$AJ$176</c:f>
              <c:strCache>
                <c:ptCount val="1"/>
                <c:pt idx="0">
                  <c:v>08-11-07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RESULTS!$AJ$177:$AJ$181</c:f>
              <c:numCache>
                <c:formatCode>0.00%</c:formatCode>
                <c:ptCount val="5"/>
                <c:pt idx="0">
                  <c:v>0.11731572184884216</c:v>
                </c:pt>
                <c:pt idx="1">
                  <c:v>9.0893472530098676E-2</c:v>
                </c:pt>
                <c:pt idx="2">
                  <c:v>-0.18234713991683427</c:v>
                </c:pt>
                <c:pt idx="3">
                  <c:v>6.9102334507001428E-2</c:v>
                </c:pt>
                <c:pt idx="4">
                  <c:v>0.22829585924214865</c:v>
                </c:pt>
              </c:numCache>
            </c:numRef>
          </c:val>
        </c:ser>
        <c:ser>
          <c:idx val="11"/>
          <c:order val="11"/>
          <c:tx>
            <c:strRef>
              <c:f>RESULTS!$AK$176</c:f>
              <c:strCache>
                <c:ptCount val="1"/>
                <c:pt idx="0">
                  <c:v>24-12-07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RESULTS!$AK$177:$AK$181</c:f>
              <c:numCache>
                <c:formatCode>0.00%</c:formatCode>
                <c:ptCount val="5"/>
                <c:pt idx="0">
                  <c:v>9.5674176781677389E-2</c:v>
                </c:pt>
                <c:pt idx="1">
                  <c:v>9.6260822441953636E-2</c:v>
                </c:pt>
                <c:pt idx="2">
                  <c:v>-0.18236792994730849</c:v>
                </c:pt>
                <c:pt idx="3">
                  <c:v>2.4264989292836516E-2</c:v>
                </c:pt>
                <c:pt idx="4">
                  <c:v>0.21284454009029904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9491312"/>
        <c:axId val="-1709484784"/>
      </c:barChart>
      <c:catAx>
        <c:axId val="-17094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84784"/>
        <c:crosses val="autoZero"/>
        <c:auto val="0"/>
        <c:lblAlgn val="ctr"/>
        <c:lblOffset val="100"/>
        <c:noMultiLvlLbl val="0"/>
      </c:catAx>
      <c:valAx>
        <c:axId val="-1709484784"/>
        <c:scaling>
          <c:orientation val="minMax"/>
          <c:max val="0.4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Diff% (Operation-Model curve)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9491312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18" Type="http://schemas.openxmlformats.org/officeDocument/2006/relationships/chart" Target="../charts/chart2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17" Type="http://schemas.openxmlformats.org/officeDocument/2006/relationships/chart" Target="../charts/chart26.xml"/><Relationship Id="rId2" Type="http://schemas.openxmlformats.org/officeDocument/2006/relationships/chart" Target="../charts/chart11.xml"/><Relationship Id="rId16" Type="http://schemas.openxmlformats.org/officeDocument/2006/relationships/chart" Target="../charts/chart25.xml"/><Relationship Id="rId20" Type="http://schemas.openxmlformats.org/officeDocument/2006/relationships/chart" Target="../charts/chart29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5" Type="http://schemas.openxmlformats.org/officeDocument/2006/relationships/chart" Target="../charts/chart24.xml"/><Relationship Id="rId10" Type="http://schemas.openxmlformats.org/officeDocument/2006/relationships/chart" Target="../charts/chart19.xml"/><Relationship Id="rId19" Type="http://schemas.openxmlformats.org/officeDocument/2006/relationships/chart" Target="../charts/chart28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13" Type="http://schemas.openxmlformats.org/officeDocument/2006/relationships/chart" Target="../charts/chart42.xml"/><Relationship Id="rId18" Type="http://schemas.openxmlformats.org/officeDocument/2006/relationships/chart" Target="../charts/chart47.xml"/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12" Type="http://schemas.openxmlformats.org/officeDocument/2006/relationships/chart" Target="../charts/chart41.xml"/><Relationship Id="rId17" Type="http://schemas.openxmlformats.org/officeDocument/2006/relationships/chart" Target="../charts/chart46.xml"/><Relationship Id="rId2" Type="http://schemas.openxmlformats.org/officeDocument/2006/relationships/chart" Target="../charts/chart31.xml"/><Relationship Id="rId16" Type="http://schemas.openxmlformats.org/officeDocument/2006/relationships/chart" Target="../charts/chart45.xml"/><Relationship Id="rId20" Type="http://schemas.openxmlformats.org/officeDocument/2006/relationships/chart" Target="../charts/chart49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11" Type="http://schemas.openxmlformats.org/officeDocument/2006/relationships/chart" Target="../charts/chart40.xml"/><Relationship Id="rId5" Type="http://schemas.openxmlformats.org/officeDocument/2006/relationships/chart" Target="../charts/chart34.xml"/><Relationship Id="rId15" Type="http://schemas.openxmlformats.org/officeDocument/2006/relationships/chart" Target="../charts/chart44.xml"/><Relationship Id="rId10" Type="http://schemas.openxmlformats.org/officeDocument/2006/relationships/chart" Target="../charts/chart39.xml"/><Relationship Id="rId19" Type="http://schemas.openxmlformats.org/officeDocument/2006/relationships/chart" Target="../charts/chart48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Relationship Id="rId14" Type="http://schemas.openxmlformats.org/officeDocument/2006/relationships/chart" Target="../charts/chart4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2</xdr:row>
      <xdr:rowOff>47625</xdr:rowOff>
    </xdr:from>
    <xdr:to>
      <xdr:col>22</xdr:col>
      <xdr:colOff>390525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114300</xdr:rowOff>
    </xdr:from>
    <xdr:to>
      <xdr:col>8</xdr:col>
      <xdr:colOff>390525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15</xdr:row>
      <xdr:rowOff>76200</xdr:rowOff>
    </xdr:from>
    <xdr:to>
      <xdr:col>8</xdr:col>
      <xdr:colOff>428625</xdr:colOff>
      <xdr:row>29</xdr:row>
      <xdr:rowOff>152400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0</xdr:row>
      <xdr:rowOff>0</xdr:rowOff>
    </xdr:from>
    <xdr:to>
      <xdr:col>16</xdr:col>
      <xdr:colOff>476250</xdr:colOff>
      <xdr:row>14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142875</xdr:colOff>
      <xdr:row>14</xdr:row>
      <xdr:rowOff>180975</xdr:rowOff>
    </xdr:from>
    <xdr:to>
      <xdr:col>16</xdr:col>
      <xdr:colOff>542925</xdr:colOff>
      <xdr:row>29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57150</xdr:colOff>
      <xdr:row>30</xdr:row>
      <xdr:rowOff>152400</xdr:rowOff>
    </xdr:from>
    <xdr:to>
      <xdr:col>8</xdr:col>
      <xdr:colOff>361950</xdr:colOff>
      <xdr:row>45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123824</xdr:colOff>
      <xdr:row>30</xdr:row>
      <xdr:rowOff>57150</xdr:rowOff>
    </xdr:from>
    <xdr:to>
      <xdr:col>16</xdr:col>
      <xdr:colOff>533399</xdr:colOff>
      <xdr:row>44</xdr:row>
      <xdr:rowOff>114300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161925</xdr:colOff>
      <xdr:row>47</xdr:row>
      <xdr:rowOff>95250</xdr:rowOff>
    </xdr:from>
    <xdr:to>
      <xdr:col>8</xdr:col>
      <xdr:colOff>466725</xdr:colOff>
      <xdr:row>61</xdr:row>
      <xdr:rowOff>171450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0</xdr:row>
      <xdr:rowOff>42861</xdr:rowOff>
    </xdr:from>
    <xdr:to>
      <xdr:col>9</xdr:col>
      <xdr:colOff>295275</xdr:colOff>
      <xdr:row>18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9</xdr:col>
      <xdr:colOff>285750</xdr:colOff>
      <xdr:row>37</xdr:row>
      <xdr:rowOff>114300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276225</xdr:colOff>
      <xdr:row>0</xdr:row>
      <xdr:rowOff>38100</xdr:rowOff>
    </xdr:from>
    <xdr:to>
      <xdr:col>19</xdr:col>
      <xdr:colOff>228600</xdr:colOff>
      <xdr:row>18</xdr:row>
      <xdr:rowOff>176212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295275</xdr:colOff>
      <xdr:row>19</xdr:row>
      <xdr:rowOff>9525</xdr:rowOff>
    </xdr:from>
    <xdr:to>
      <xdr:col>19</xdr:col>
      <xdr:colOff>247650</xdr:colOff>
      <xdr:row>37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9</xdr:col>
      <xdr:colOff>238124</xdr:colOff>
      <xdr:row>53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333375</xdr:colOff>
      <xdr:row>37</xdr:row>
      <xdr:rowOff>180975</xdr:rowOff>
    </xdr:from>
    <xdr:to>
      <xdr:col>19</xdr:col>
      <xdr:colOff>238125</xdr:colOff>
      <xdr:row>53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28575</xdr:colOff>
      <xdr:row>0</xdr:row>
      <xdr:rowOff>0</xdr:rowOff>
    </xdr:from>
    <xdr:to>
      <xdr:col>47</xdr:col>
      <xdr:colOff>123825</xdr:colOff>
      <xdr:row>27</xdr:row>
      <xdr:rowOff>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tabSelected="1" topLeftCell="A160" workbookViewId="0">
      <selection activeCell="D176" sqref="D176:I176"/>
    </sheetView>
  </sheetViews>
  <sheetFormatPr defaultRowHeight="15"/>
  <cols>
    <col min="1" max="1" width="2" bestFit="1" customWidth="1"/>
    <col min="2" max="2" width="28.5703125" bestFit="1" customWidth="1"/>
    <col min="3" max="3" width="7.7109375" style="6" customWidth="1"/>
    <col min="4" max="4" width="11.5703125" customWidth="1"/>
    <col min="5" max="5" width="12" bestFit="1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5" max="19" width="12" bestFit="1" customWidth="1"/>
    <col min="23" max="23" width="2" bestFit="1" customWidth="1"/>
    <col min="24" max="24" width="28.28515625" bestFit="1" customWidth="1"/>
    <col min="25" max="25" width="8.28515625" style="9" bestFit="1" customWidth="1"/>
    <col min="26" max="27" width="12.7109375" bestFit="1" customWidth="1"/>
    <col min="28" max="28" width="12" bestFit="1" customWidth="1"/>
    <col min="29" max="29" width="12.7109375" bestFit="1" customWidth="1"/>
    <col min="30" max="30" width="12" bestFit="1" customWidth="1"/>
    <col min="31" max="33" width="12.7109375" bestFit="1" customWidth="1"/>
    <col min="34" max="34" width="9.42578125" customWidth="1"/>
    <col min="35" max="35" width="12.7109375" bestFit="1" customWidth="1"/>
    <col min="36" max="36" width="9.7109375" bestFit="1" customWidth="1"/>
    <col min="37" max="37" width="10.7109375" bestFit="1" customWidth="1"/>
  </cols>
  <sheetData>
    <row r="1" spans="2:25" s="20" customFormat="1" ht="18.75">
      <c r="B1" s="93" t="s">
        <v>171</v>
      </c>
      <c r="C1" s="93" t="s">
        <v>262</v>
      </c>
      <c r="D1" s="93"/>
      <c r="E1" s="20" t="s">
        <v>263</v>
      </c>
      <c r="F1" s="20">
        <v>1582</v>
      </c>
      <c r="Y1" s="48"/>
    </row>
    <row r="2" spans="2:25" ht="15" customHeight="1">
      <c r="B2" s="93"/>
      <c r="C2" s="93"/>
      <c r="D2" s="93"/>
      <c r="E2" s="11"/>
      <c r="F2" s="11"/>
      <c r="G2" s="11"/>
      <c r="H2" s="89" t="s">
        <v>101</v>
      </c>
      <c r="I2" s="90"/>
      <c r="J2" s="31">
        <v>0.73549874999999998</v>
      </c>
      <c r="K2" s="11"/>
    </row>
    <row r="3" spans="2:25">
      <c r="B3" s="11"/>
      <c r="D3" s="11"/>
      <c r="E3" s="11"/>
      <c r="F3" s="11"/>
      <c r="G3" s="11"/>
      <c r="H3" s="89" t="s">
        <v>102</v>
      </c>
      <c r="I3" s="90"/>
      <c r="J3" s="31">
        <v>0.74569987199999999</v>
      </c>
      <c r="K3" s="11"/>
    </row>
    <row r="4" spans="2:25" ht="17.25">
      <c r="B4" s="11" t="s">
        <v>0</v>
      </c>
      <c r="C4" s="8">
        <v>22920</v>
      </c>
      <c r="D4" s="11" t="s">
        <v>13</v>
      </c>
      <c r="E4" s="11">
        <f>C4*J3</f>
        <v>17091.441066240001</v>
      </c>
      <c r="F4" s="11" t="s">
        <v>84</v>
      </c>
      <c r="G4" s="11"/>
      <c r="H4" s="89" t="s">
        <v>126</v>
      </c>
      <c r="I4" s="90"/>
      <c r="J4" s="31">
        <v>0.98066500000000001</v>
      </c>
      <c r="K4" s="11"/>
    </row>
    <row r="5" spans="2:25">
      <c r="B5" s="11" t="s">
        <v>1</v>
      </c>
      <c r="C5" s="8">
        <v>91</v>
      </c>
      <c r="D5" s="11" t="s">
        <v>14</v>
      </c>
      <c r="E5" s="11"/>
      <c r="F5" s="11"/>
      <c r="G5" s="11"/>
      <c r="H5" s="89" t="s">
        <v>162</v>
      </c>
      <c r="I5" s="90"/>
      <c r="J5" s="31">
        <v>1.3332239E-3</v>
      </c>
      <c r="K5" s="11"/>
    </row>
    <row r="6" spans="2:25">
      <c r="B6" s="11" t="s">
        <v>2</v>
      </c>
      <c r="C6" s="8">
        <v>6</v>
      </c>
      <c r="D6" s="11"/>
      <c r="E6" s="11"/>
      <c r="F6" s="11"/>
      <c r="G6" s="11"/>
      <c r="H6" s="89" t="s">
        <v>163</v>
      </c>
      <c r="I6" s="90"/>
      <c r="J6" s="31">
        <v>9.80665E-5</v>
      </c>
      <c r="K6" s="11"/>
    </row>
    <row r="7" spans="2:25">
      <c r="B7" s="11" t="s">
        <v>79</v>
      </c>
      <c r="C7" s="8">
        <v>700</v>
      </c>
      <c r="D7" s="11" t="s">
        <v>16</v>
      </c>
      <c r="E7" s="11"/>
      <c r="F7" s="11"/>
      <c r="G7" s="11"/>
      <c r="H7" s="89" t="s">
        <v>223</v>
      </c>
      <c r="I7" s="90"/>
      <c r="J7" s="36">
        <v>1.01325</v>
      </c>
      <c r="K7" s="11"/>
    </row>
    <row r="8" spans="2:25" s="11" customFormat="1">
      <c r="B8" s="11" t="s">
        <v>80</v>
      </c>
      <c r="C8" s="8">
        <v>2800</v>
      </c>
      <c r="D8" s="11" t="s">
        <v>16</v>
      </c>
      <c r="H8" s="89" t="s">
        <v>168</v>
      </c>
      <c r="I8" s="90"/>
      <c r="J8" s="35">
        <v>298.14999999999998</v>
      </c>
      <c r="K8" s="36" t="s">
        <v>77</v>
      </c>
      <c r="Y8" s="9"/>
    </row>
    <row r="9" spans="2:25">
      <c r="B9" s="11" t="s">
        <v>3</v>
      </c>
      <c r="C9" s="8">
        <v>2.4418000000000002</v>
      </c>
      <c r="D9" s="11" t="s">
        <v>123</v>
      </c>
      <c r="E9" s="11"/>
      <c r="F9" s="11"/>
      <c r="G9" s="11"/>
      <c r="H9" s="91" t="s">
        <v>174</v>
      </c>
      <c r="I9" s="92"/>
      <c r="J9" s="63">
        <v>4.1867999999999999</v>
      </c>
      <c r="K9" s="11"/>
    </row>
    <row r="10" spans="2:25">
      <c r="B10" s="11" t="s">
        <v>4</v>
      </c>
      <c r="C10" s="8"/>
      <c r="D10" s="11" t="s">
        <v>57</v>
      </c>
      <c r="E10" s="11"/>
      <c r="F10" s="11"/>
      <c r="G10" s="11"/>
      <c r="H10" s="89" t="s">
        <v>176</v>
      </c>
      <c r="I10" s="90"/>
      <c r="J10" s="36">
        <v>1.4</v>
      </c>
      <c r="K10" s="11"/>
    </row>
    <row r="11" spans="2:25" ht="17.25">
      <c r="B11" s="11" t="s">
        <v>259</v>
      </c>
      <c r="C11" s="26">
        <f>PI()*($C$7/1000)^2/4*$C$8/1000</f>
        <v>1.0775662801812989</v>
      </c>
      <c r="D11" s="11" t="s">
        <v>121</v>
      </c>
      <c r="E11" s="11"/>
      <c r="F11" s="11"/>
      <c r="G11" s="11"/>
      <c r="H11" s="89" t="s">
        <v>178</v>
      </c>
      <c r="I11" s="90"/>
      <c r="J11" s="36">
        <v>1.36</v>
      </c>
      <c r="K11" s="11"/>
    </row>
    <row r="12" spans="2:25" s="11" customFormat="1">
      <c r="B12" s="11" t="s">
        <v>118</v>
      </c>
      <c r="C12" s="19">
        <v>2</v>
      </c>
      <c r="H12" s="89" t="s">
        <v>177</v>
      </c>
      <c r="I12" s="90"/>
      <c r="J12" s="36">
        <f xml:space="preserve"> (J10-1)/J10</f>
        <v>0.28571428571428564</v>
      </c>
      <c r="Y12" s="9"/>
    </row>
    <row r="13" spans="2:25" s="11" customFormat="1">
      <c r="B13" s="11" t="s">
        <v>42</v>
      </c>
      <c r="C13" s="94" t="s">
        <v>124</v>
      </c>
      <c r="D13" s="94"/>
      <c r="E13" s="94"/>
      <c r="H13" s="89" t="s">
        <v>179</v>
      </c>
      <c r="I13" s="90"/>
      <c r="J13" s="36">
        <f xml:space="preserve"> (J11-1)/J11</f>
        <v>0.26470588235294124</v>
      </c>
      <c r="Y13" s="9"/>
    </row>
    <row r="14" spans="2:25" s="41" customFormat="1">
      <c r="B14" s="41" t="s">
        <v>187</v>
      </c>
      <c r="C14" s="45">
        <v>0.73</v>
      </c>
      <c r="D14" s="42" t="s">
        <v>188</v>
      </c>
      <c r="E14" s="42"/>
      <c r="H14" s="43"/>
      <c r="I14" s="43"/>
      <c r="J14" s="44"/>
      <c r="Y14" s="49"/>
    </row>
    <row r="15" spans="2:25" s="41" customFormat="1">
      <c r="B15" s="41" t="s">
        <v>189</v>
      </c>
      <c r="C15" s="45">
        <v>0.72</v>
      </c>
      <c r="D15" s="42"/>
      <c r="E15" s="42"/>
      <c r="H15" s="43"/>
      <c r="I15" s="43"/>
      <c r="J15" s="44"/>
      <c r="Y15" s="49"/>
    </row>
    <row r="16" spans="2:25" s="41" customFormat="1">
      <c r="B16" s="41" t="s">
        <v>228</v>
      </c>
      <c r="C16" s="45">
        <v>22.7</v>
      </c>
      <c r="D16" s="42" t="s">
        <v>14</v>
      </c>
      <c r="E16" s="42"/>
      <c r="H16" s="43"/>
      <c r="I16" s="43"/>
      <c r="J16" s="44"/>
      <c r="Y16" s="49"/>
    </row>
    <row r="17" spans="2:16384" s="11" customFormat="1">
      <c r="C17" s="24"/>
      <c r="D17" s="24"/>
      <c r="E17" s="24"/>
      <c r="G17" s="52"/>
      <c r="H17" s="88" t="s">
        <v>164</v>
      </c>
      <c r="I17" s="88"/>
      <c r="J17" s="32">
        <f>$J$3</f>
        <v>0.74569987199999999</v>
      </c>
      <c r="Y17" s="9"/>
    </row>
    <row r="18" spans="2:16384" s="30" customFormat="1" ht="15.75">
      <c r="B18" s="34" t="s">
        <v>165</v>
      </c>
      <c r="C18" s="33"/>
      <c r="D18" s="33"/>
      <c r="E18" s="33"/>
      <c r="M18" s="34" t="s">
        <v>166</v>
      </c>
      <c r="X18" s="34" t="s">
        <v>167</v>
      </c>
      <c r="Y18" s="50"/>
    </row>
    <row r="19" spans="2:16384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  <c r="XFA19" s="11"/>
      <c r="XFB19" s="11"/>
      <c r="XFC19" s="11"/>
      <c r="XFD19" s="11"/>
    </row>
    <row r="20" spans="2:16384">
      <c r="B20" s="1" t="s">
        <v>8</v>
      </c>
      <c r="L20" s="11"/>
      <c r="M20" s="1" t="str">
        <f t="shared" ref="M20:M45" si="0">B20</f>
        <v>General Data</v>
      </c>
      <c r="N20" s="6"/>
      <c r="O20" s="11" t="s">
        <v>191</v>
      </c>
      <c r="P20" s="11" t="s">
        <v>192</v>
      </c>
      <c r="Q20" s="11" t="s">
        <v>191</v>
      </c>
      <c r="R20" s="11" t="s">
        <v>192</v>
      </c>
      <c r="S20" s="11" t="s">
        <v>264</v>
      </c>
      <c r="T20" s="11" t="s">
        <v>192</v>
      </c>
      <c r="U20" s="11" t="s">
        <v>265</v>
      </c>
      <c r="W20" s="11"/>
      <c r="X20" s="1" t="str">
        <f t="shared" ref="X20:X33" si="1">B20</f>
        <v>General Data</v>
      </c>
      <c r="Y20" s="51"/>
      <c r="Z20" s="85" t="s">
        <v>260</v>
      </c>
      <c r="AA20" s="85" t="s">
        <v>198</v>
      </c>
      <c r="AB20" s="85" t="s">
        <v>199</v>
      </c>
      <c r="AC20" s="85" t="s">
        <v>200</v>
      </c>
      <c r="AD20" s="85" t="s">
        <v>201</v>
      </c>
      <c r="AE20" s="85" t="s">
        <v>202</v>
      </c>
      <c r="AF20" s="85" t="s">
        <v>203</v>
      </c>
      <c r="AG20" s="85" t="s">
        <v>204</v>
      </c>
      <c r="AH20" s="85" t="s">
        <v>205</v>
      </c>
      <c r="AI20" s="85" t="s">
        <v>261</v>
      </c>
      <c r="AJ20" s="85" t="s">
        <v>206</v>
      </c>
      <c r="AK20" s="85" t="s">
        <v>207</v>
      </c>
    </row>
    <row r="21" spans="2:16384" s="2" customFormat="1">
      <c r="B21" s="2" t="s">
        <v>6</v>
      </c>
      <c r="C21" s="7"/>
      <c r="D21" s="2">
        <v>0.25</v>
      </c>
      <c r="E21" s="2">
        <v>0.5</v>
      </c>
      <c r="F21" s="2">
        <v>0.75</v>
      </c>
      <c r="G21" s="2">
        <v>0.9</v>
      </c>
      <c r="H21" s="2">
        <v>1</v>
      </c>
      <c r="I21" s="2">
        <v>1.1000000000000001</v>
      </c>
      <c r="M21" s="2" t="str">
        <f t="shared" si="0"/>
        <v>Load</v>
      </c>
      <c r="N21" s="7"/>
      <c r="O21" s="2">
        <v>0.75</v>
      </c>
      <c r="P21" s="2">
        <v>0.75</v>
      </c>
      <c r="Q21" s="2">
        <v>0.9</v>
      </c>
      <c r="R21" s="2">
        <v>0.9</v>
      </c>
      <c r="S21" s="2">
        <v>1</v>
      </c>
      <c r="T21" s="2">
        <v>1</v>
      </c>
      <c r="U21" s="2">
        <v>0.9</v>
      </c>
      <c r="X21" s="2" t="str">
        <f t="shared" si="1"/>
        <v>Load</v>
      </c>
      <c r="Y21" s="7"/>
      <c r="Z21" s="2">
        <v>0.75900000000000001</v>
      </c>
      <c r="AA21" s="2">
        <v>0.69499999999999995</v>
      </c>
      <c r="AB21" s="2">
        <v>0.72</v>
      </c>
      <c r="AC21" s="2">
        <v>0.57099999999999995</v>
      </c>
      <c r="AD21" s="2">
        <v>0.71099999999999997</v>
      </c>
      <c r="AE21" s="2">
        <v>0.75</v>
      </c>
      <c r="AF21" s="2">
        <v>0.72</v>
      </c>
      <c r="AG21" s="2">
        <v>0.753</v>
      </c>
      <c r="AH21" s="2">
        <v>0.749</v>
      </c>
      <c r="AI21" s="2">
        <v>0.745</v>
      </c>
      <c r="AJ21" s="2">
        <v>0.75800000000000001</v>
      </c>
      <c r="AK21" s="2">
        <v>0.77300000000000002</v>
      </c>
    </row>
    <row r="22" spans="2:16384">
      <c r="B22" t="s">
        <v>5</v>
      </c>
      <c r="D22" s="3">
        <v>38763</v>
      </c>
      <c r="E22" s="3">
        <v>38763</v>
      </c>
      <c r="F22" s="3">
        <v>38763</v>
      </c>
      <c r="G22" s="3">
        <v>38763</v>
      </c>
      <c r="H22" s="3">
        <v>38763</v>
      </c>
      <c r="I22" s="3">
        <v>38763</v>
      </c>
      <c r="L22" s="11"/>
      <c r="M22" s="11" t="str">
        <f t="shared" si="0"/>
        <v>DATE</v>
      </c>
      <c r="N22" s="6"/>
      <c r="O22" s="3">
        <v>38898</v>
      </c>
      <c r="P22" s="3">
        <v>38898</v>
      </c>
      <c r="Q22" s="3">
        <v>38898</v>
      </c>
      <c r="R22" s="3">
        <v>38898</v>
      </c>
      <c r="S22" s="3">
        <v>38898</v>
      </c>
      <c r="T22" s="3">
        <v>38898</v>
      </c>
      <c r="U22" s="3">
        <v>38898</v>
      </c>
      <c r="W22" s="11"/>
      <c r="X22" s="11" t="str">
        <f t="shared" si="1"/>
        <v>DATE</v>
      </c>
      <c r="Y22" s="6"/>
      <c r="Z22" s="3">
        <v>39111</v>
      </c>
      <c r="AA22" s="3">
        <v>39136</v>
      </c>
      <c r="AB22" s="3">
        <v>39172</v>
      </c>
      <c r="AC22" s="3">
        <v>39198</v>
      </c>
      <c r="AD22" s="3">
        <v>39227</v>
      </c>
      <c r="AE22" s="3">
        <v>39259</v>
      </c>
      <c r="AF22" s="3">
        <v>39283</v>
      </c>
      <c r="AG22" s="3">
        <v>39306</v>
      </c>
      <c r="AH22" s="3">
        <v>39336</v>
      </c>
      <c r="AI22" s="3">
        <v>39382</v>
      </c>
      <c r="AJ22" s="3">
        <v>39394</v>
      </c>
      <c r="AK22" s="3">
        <v>39440</v>
      </c>
    </row>
    <row r="23" spans="2:16384" s="12" customFormat="1">
      <c r="B23" s="12" t="s">
        <v>92</v>
      </c>
      <c r="C23" s="12" t="s">
        <v>26</v>
      </c>
      <c r="D23" s="12">
        <v>10.4</v>
      </c>
      <c r="E23" s="12">
        <v>10.3</v>
      </c>
      <c r="F23" s="12">
        <v>10.6</v>
      </c>
      <c r="G23" s="12">
        <v>10.7</v>
      </c>
      <c r="H23" s="12">
        <v>10.8</v>
      </c>
      <c r="I23" s="12">
        <v>10.7</v>
      </c>
      <c r="M23" s="12" t="str">
        <f t="shared" si="0"/>
        <v>E/R Temperature</v>
      </c>
      <c r="N23" s="12" t="s">
        <v>26</v>
      </c>
      <c r="O23" s="12">
        <v>34</v>
      </c>
      <c r="P23" s="12">
        <v>36</v>
      </c>
      <c r="Q23" s="12">
        <v>35</v>
      </c>
      <c r="R23" s="12">
        <v>35</v>
      </c>
      <c r="S23" s="12">
        <v>35</v>
      </c>
      <c r="T23" s="12">
        <v>35</v>
      </c>
      <c r="U23" s="12">
        <v>36</v>
      </c>
      <c r="X23" s="12" t="str">
        <f t="shared" si="1"/>
        <v>E/R Temperature</v>
      </c>
      <c r="Y23" s="12" t="s">
        <v>26</v>
      </c>
      <c r="Z23" s="12">
        <v>31</v>
      </c>
      <c r="AA23" s="12">
        <v>18</v>
      </c>
      <c r="AB23" s="12">
        <v>31</v>
      </c>
      <c r="AC23" s="12">
        <v>24</v>
      </c>
      <c r="AD23" s="12">
        <v>42</v>
      </c>
      <c r="AE23" s="12">
        <v>28</v>
      </c>
      <c r="AF23" s="12">
        <v>35</v>
      </c>
      <c r="AG23" s="12">
        <v>36</v>
      </c>
      <c r="AH23" s="12">
        <v>36</v>
      </c>
      <c r="AI23" s="12">
        <v>40</v>
      </c>
      <c r="AJ23" s="12">
        <v>36</v>
      </c>
      <c r="AK23" s="12">
        <v>33</v>
      </c>
    </row>
    <row r="24" spans="2:16384" s="12" customFormat="1">
      <c r="B24" s="10" t="s">
        <v>93</v>
      </c>
      <c r="C24" s="12" t="s">
        <v>31</v>
      </c>
      <c r="D24" s="12">
        <v>758</v>
      </c>
      <c r="E24" s="12">
        <v>757.8</v>
      </c>
      <c r="F24" s="12">
        <v>757.3</v>
      </c>
      <c r="G24" s="12">
        <v>756.8</v>
      </c>
      <c r="H24" s="12">
        <v>756.8</v>
      </c>
      <c r="I24" s="12">
        <v>756.8</v>
      </c>
      <c r="M24" s="24" t="str">
        <f t="shared" si="0"/>
        <v>Ambient Pressure</v>
      </c>
      <c r="N24" s="12" t="s">
        <v>31</v>
      </c>
      <c r="O24" s="12">
        <v>761.3</v>
      </c>
      <c r="P24" s="12">
        <v>761.3</v>
      </c>
      <c r="Q24" s="12">
        <v>761.3</v>
      </c>
      <c r="R24" s="12">
        <v>761.3</v>
      </c>
      <c r="S24" s="12">
        <v>761.3</v>
      </c>
      <c r="T24" s="12">
        <v>761.3</v>
      </c>
      <c r="U24" s="12">
        <v>761.3</v>
      </c>
      <c r="X24" s="24" t="str">
        <f t="shared" si="1"/>
        <v>Ambient Pressure</v>
      </c>
      <c r="Y24" s="12" t="s">
        <v>94</v>
      </c>
    </row>
    <row r="25" spans="2:16384" s="9" customFormat="1">
      <c r="B25" s="10" t="s">
        <v>93</v>
      </c>
      <c r="C25" s="10" t="s">
        <v>94</v>
      </c>
      <c r="D25" s="25">
        <f>D24*$J$5*1000</f>
        <v>1010.5837162</v>
      </c>
      <c r="E25" s="25">
        <f t="shared" ref="E25:I25" si="2">E24*$J$5*1000</f>
        <v>1010.31707142</v>
      </c>
      <c r="F25" s="25">
        <f t="shared" si="2"/>
        <v>1009.65045947</v>
      </c>
      <c r="G25" s="25">
        <f t="shared" si="2"/>
        <v>1008.9838475199999</v>
      </c>
      <c r="H25" s="25">
        <f t="shared" si="2"/>
        <v>1008.9838475199999</v>
      </c>
      <c r="I25" s="25">
        <f t="shared" si="2"/>
        <v>1008.9838475199999</v>
      </c>
      <c r="M25" s="24" t="str">
        <f t="shared" si="0"/>
        <v>Ambient Pressure</v>
      </c>
      <c r="N25" s="61" t="s">
        <v>94</v>
      </c>
      <c r="O25" s="25">
        <f>O24*$J$5*1000</f>
        <v>1014.98335507</v>
      </c>
      <c r="P25" s="25">
        <f t="shared" ref="P25:T25" si="3">P24*$J$5*1000</f>
        <v>1014.98335507</v>
      </c>
      <c r="Q25" s="25">
        <f t="shared" si="3"/>
        <v>1014.98335507</v>
      </c>
      <c r="R25" s="25">
        <f t="shared" si="3"/>
        <v>1014.98335507</v>
      </c>
      <c r="S25" s="25">
        <f t="shared" si="3"/>
        <v>1014.98335507</v>
      </c>
      <c r="T25" s="25">
        <f t="shared" si="3"/>
        <v>1014.98335507</v>
      </c>
      <c r="U25" s="25">
        <f>U24*$J$5*1000</f>
        <v>1014.98335507</v>
      </c>
      <c r="X25" s="24" t="str">
        <f t="shared" si="1"/>
        <v>Ambient Pressure</v>
      </c>
      <c r="Y25" s="61" t="s">
        <v>94</v>
      </c>
      <c r="Z25" s="86">
        <v>1027</v>
      </c>
      <c r="AA25" s="86">
        <v>1004</v>
      </c>
      <c r="AB25" s="86">
        <v>1025</v>
      </c>
      <c r="AC25" s="86">
        <v>1024</v>
      </c>
      <c r="AD25" s="86">
        <v>1020</v>
      </c>
      <c r="AE25" s="86">
        <v>1031</v>
      </c>
      <c r="AF25" s="9">
        <v>1030</v>
      </c>
      <c r="AG25" s="9">
        <v>1024</v>
      </c>
      <c r="AH25" s="9">
        <v>1028</v>
      </c>
      <c r="AI25" s="9">
        <v>1023</v>
      </c>
      <c r="AJ25" s="9">
        <v>1027</v>
      </c>
      <c r="AK25" s="9">
        <v>1035</v>
      </c>
    </row>
    <row r="26" spans="2:16384" s="2" customFormat="1">
      <c r="B26" s="7" t="s">
        <v>125</v>
      </c>
      <c r="C26" s="7"/>
      <c r="D26" s="58">
        <v>0.65700000000000003</v>
      </c>
      <c r="E26" s="2">
        <v>0.65</v>
      </c>
      <c r="F26" s="2">
        <v>0.63700000000000001</v>
      </c>
      <c r="G26" s="2">
        <v>0.621</v>
      </c>
      <c r="H26" s="2">
        <v>0.62</v>
      </c>
      <c r="I26" s="2">
        <v>0.60099999999999998</v>
      </c>
      <c r="M26" s="7" t="str">
        <f t="shared" si="0"/>
        <v>Humidity</v>
      </c>
      <c r="N26" s="7"/>
      <c r="O26" s="58"/>
      <c r="P26" s="58"/>
      <c r="Q26" s="58"/>
      <c r="R26" s="58"/>
      <c r="S26" s="58"/>
      <c r="X26" s="7" t="str">
        <f>B26</f>
        <v>Humidity</v>
      </c>
      <c r="Y26" s="7"/>
      <c r="Z26" s="58"/>
      <c r="AA26" s="58"/>
      <c r="AB26" s="58"/>
      <c r="AC26" s="58"/>
      <c r="AD26" s="58"/>
      <c r="AE26" s="58"/>
    </row>
    <row r="27" spans="2:16384">
      <c r="B27" t="s">
        <v>7</v>
      </c>
      <c r="C27" s="6" t="s">
        <v>14</v>
      </c>
      <c r="D27" s="11">
        <v>57.4</v>
      </c>
      <c r="E27" s="11">
        <v>72.3</v>
      </c>
      <c r="F27" s="11">
        <v>82.6</v>
      </c>
      <c r="G27" s="11">
        <v>87.9</v>
      </c>
      <c r="H27" s="11">
        <v>91</v>
      </c>
      <c r="I27" s="54">
        <v>93.9</v>
      </c>
      <c r="L27" s="11"/>
      <c r="M27" s="11" t="str">
        <f t="shared" si="0"/>
        <v>Engine Speed</v>
      </c>
      <c r="N27" s="6" t="s">
        <v>14</v>
      </c>
      <c r="O27" s="11">
        <v>85.9</v>
      </c>
      <c r="P27" s="11">
        <v>85.9</v>
      </c>
      <c r="Q27" s="11">
        <v>90.9</v>
      </c>
      <c r="R27" s="11">
        <v>90.69</v>
      </c>
      <c r="S27" s="11">
        <v>94.09</v>
      </c>
      <c r="T27" s="11">
        <v>94.42</v>
      </c>
      <c r="U27" s="11">
        <v>90.5</v>
      </c>
      <c r="W27" s="11"/>
      <c r="X27" s="11" t="str">
        <f t="shared" si="1"/>
        <v>Engine Speed</v>
      </c>
      <c r="Y27" s="6" t="s">
        <v>14</v>
      </c>
      <c r="Z27" s="11">
        <v>90.4</v>
      </c>
      <c r="AA27" s="86">
        <v>87.2</v>
      </c>
      <c r="AB27" s="86">
        <v>89.3</v>
      </c>
      <c r="AC27" s="86">
        <v>82.1</v>
      </c>
      <c r="AD27" s="86">
        <v>89.3</v>
      </c>
      <c r="AE27" s="86">
        <v>90.4</v>
      </c>
      <c r="AF27" s="86">
        <v>90.3</v>
      </c>
      <c r="AG27" s="86">
        <v>90.7</v>
      </c>
      <c r="AH27" s="86">
        <v>90.8</v>
      </c>
      <c r="AI27" s="86">
        <v>90.8</v>
      </c>
      <c r="AJ27" s="86">
        <v>90.8</v>
      </c>
      <c r="AK27" s="86">
        <v>90.8</v>
      </c>
    </row>
    <row r="28" spans="2:16384">
      <c r="B28" t="s">
        <v>9</v>
      </c>
      <c r="C28" s="6" t="s">
        <v>190</v>
      </c>
      <c r="D28" s="11">
        <v>101</v>
      </c>
      <c r="E28" s="11">
        <v>157</v>
      </c>
      <c r="F28" s="11">
        <v>207</v>
      </c>
      <c r="G28" s="11">
        <v>234</v>
      </c>
      <c r="H28" s="11">
        <v>252</v>
      </c>
      <c r="I28" s="11">
        <v>268</v>
      </c>
      <c r="L28" s="11"/>
      <c r="M28" s="11" t="str">
        <f t="shared" si="0"/>
        <v>Water Brake</v>
      </c>
      <c r="N28" s="6" t="s">
        <v>190</v>
      </c>
      <c r="O28" s="11"/>
      <c r="P28" s="11"/>
      <c r="Q28" s="11"/>
      <c r="R28" s="11"/>
      <c r="S28" s="11"/>
      <c r="T28" s="11"/>
      <c r="U28" s="11"/>
      <c r="W28" s="11"/>
      <c r="X28" s="11" t="str">
        <f t="shared" si="1"/>
        <v>Water Brake</v>
      </c>
      <c r="Y28" s="6" t="s">
        <v>190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2:16384">
      <c r="B29" t="s">
        <v>10</v>
      </c>
      <c r="C29" s="6" t="s">
        <v>13</v>
      </c>
      <c r="D29" s="11">
        <v>5784</v>
      </c>
      <c r="E29" s="11">
        <v>11365</v>
      </c>
      <c r="F29" s="11">
        <v>17113</v>
      </c>
      <c r="G29" s="11">
        <v>20620</v>
      </c>
      <c r="H29" s="11">
        <v>22959</v>
      </c>
      <c r="I29" s="11">
        <v>25120</v>
      </c>
      <c r="L29" s="11"/>
      <c r="M29" s="11" t="str">
        <f t="shared" si="0"/>
        <v>Brake Power</v>
      </c>
      <c r="N29" s="6" t="s">
        <v>13</v>
      </c>
      <c r="O29" s="11">
        <v>17650</v>
      </c>
      <c r="P29" s="11">
        <v>16761</v>
      </c>
      <c r="Q29" s="11">
        <v>20784</v>
      </c>
      <c r="R29" s="11">
        <v>19673</v>
      </c>
      <c r="S29" s="11">
        <v>22906</v>
      </c>
      <c r="T29" s="11">
        <v>22374</v>
      </c>
      <c r="U29" s="11">
        <v>20233</v>
      </c>
      <c r="W29" s="11"/>
      <c r="X29" s="11" t="str">
        <f t="shared" si="1"/>
        <v>Brake Power</v>
      </c>
      <c r="Y29" s="6" t="s">
        <v>13</v>
      </c>
      <c r="Z29" s="11">
        <v>17401</v>
      </c>
      <c r="AA29" s="11">
        <v>15930</v>
      </c>
      <c r="AB29" s="11">
        <v>16507</v>
      </c>
      <c r="AC29" s="11">
        <v>13096</v>
      </c>
      <c r="AD29" s="11">
        <v>16301</v>
      </c>
      <c r="AE29" s="11">
        <v>17192</v>
      </c>
      <c r="AF29" s="11">
        <v>16474</v>
      </c>
      <c r="AG29" s="11">
        <v>17253</v>
      </c>
      <c r="AH29" s="11">
        <v>17161</v>
      </c>
      <c r="AI29" s="11">
        <v>17075</v>
      </c>
      <c r="AJ29" s="11">
        <v>17364</v>
      </c>
      <c r="AK29" s="11">
        <v>17709</v>
      </c>
    </row>
    <row r="30" spans="2:16384">
      <c r="B30" t="s">
        <v>11</v>
      </c>
      <c r="C30" s="6" t="s">
        <v>13</v>
      </c>
      <c r="D30" s="11">
        <v>6638</v>
      </c>
      <c r="E30" s="11">
        <v>12439</v>
      </c>
      <c r="F30" s="11">
        <v>18334</v>
      </c>
      <c r="G30" s="11">
        <v>21929</v>
      </c>
      <c r="H30" s="11">
        <v>24309</v>
      </c>
      <c r="I30" s="11">
        <v>26593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T30" s="11"/>
      <c r="U30" s="11"/>
      <c r="W30" s="11"/>
      <c r="X30" s="11" t="str">
        <f t="shared" si="1"/>
        <v>Indicated Power</v>
      </c>
      <c r="Y30" s="6" t="s">
        <v>13</v>
      </c>
      <c r="Z30" s="11">
        <v>18725</v>
      </c>
      <c r="AA30" s="11">
        <v>17207</v>
      </c>
      <c r="AB30" s="11">
        <v>17815</v>
      </c>
      <c r="AC30" s="11">
        <v>14299</v>
      </c>
      <c r="AD30" s="11">
        <v>17609</v>
      </c>
      <c r="AE30" s="11">
        <v>18157</v>
      </c>
      <c r="AF30" s="11">
        <v>17797</v>
      </c>
      <c r="AG30" s="11">
        <v>18582</v>
      </c>
      <c r="AH30" s="11">
        <v>18491</v>
      </c>
      <c r="AI30" s="11">
        <v>18406</v>
      </c>
      <c r="AJ30" s="11">
        <v>18694</v>
      </c>
      <c r="AK30" s="11">
        <v>19420</v>
      </c>
    </row>
    <row r="31" spans="2:16384">
      <c r="B31" t="s">
        <v>12</v>
      </c>
      <c r="C31" s="6" t="s">
        <v>15</v>
      </c>
      <c r="D31" s="5">
        <v>0.87139999999999995</v>
      </c>
      <c r="E31" s="5">
        <v>0.91359999999999997</v>
      </c>
      <c r="F31" s="5">
        <v>0.93289999999999995</v>
      </c>
      <c r="G31" s="5">
        <v>0.94030000000000002</v>
      </c>
      <c r="H31" s="5">
        <v>0.94450000000000001</v>
      </c>
      <c r="I31" s="5">
        <v>0.9446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T31" s="47"/>
      <c r="U31" s="47"/>
      <c r="W31" s="11"/>
      <c r="X31" s="11" t="str">
        <f t="shared" si="1"/>
        <v>Mechanical Efficiency</v>
      </c>
      <c r="Y31" s="6" t="s">
        <v>15</v>
      </c>
      <c r="Z31" s="5"/>
      <c r="AA31" s="5"/>
      <c r="AB31" s="5"/>
      <c r="AC31" s="5"/>
      <c r="AD31" s="5"/>
      <c r="AE31" s="5"/>
      <c r="AF31" s="47"/>
      <c r="AG31" s="47"/>
      <c r="AH31" s="47"/>
      <c r="AI31" s="47"/>
      <c r="AJ31" s="47"/>
      <c r="AK31" s="47"/>
    </row>
    <row r="32" spans="2:16384" s="12" customFormat="1">
      <c r="B32" s="12" t="s">
        <v>194</v>
      </c>
      <c r="C32" s="56" t="s">
        <v>15</v>
      </c>
      <c r="D32" s="57">
        <v>29</v>
      </c>
      <c r="E32" s="57">
        <v>38</v>
      </c>
      <c r="F32" s="57">
        <v>48</v>
      </c>
      <c r="G32" s="57">
        <v>53</v>
      </c>
      <c r="H32" s="57">
        <v>56</v>
      </c>
      <c r="I32" s="57">
        <v>62</v>
      </c>
      <c r="M32" s="12" t="str">
        <f t="shared" si="0"/>
        <v>Governor index</v>
      </c>
      <c r="N32" s="56" t="s">
        <v>15</v>
      </c>
      <c r="O32" s="57">
        <v>63</v>
      </c>
      <c r="P32" s="57">
        <v>65</v>
      </c>
      <c r="Q32" s="57">
        <v>60</v>
      </c>
      <c r="R32" s="57">
        <v>58</v>
      </c>
      <c r="S32" s="57">
        <v>65</v>
      </c>
      <c r="T32" s="12">
        <v>61</v>
      </c>
      <c r="U32" s="12">
        <v>59</v>
      </c>
      <c r="X32" s="12" t="str">
        <f t="shared" si="1"/>
        <v>Governor index</v>
      </c>
      <c r="Y32" s="56" t="s">
        <v>15</v>
      </c>
      <c r="Z32" s="57">
        <v>59</v>
      </c>
      <c r="AA32" s="57">
        <v>51</v>
      </c>
      <c r="AB32" s="57">
        <v>59</v>
      </c>
      <c r="AC32" s="57">
        <v>45</v>
      </c>
      <c r="AD32" s="57">
        <v>59</v>
      </c>
      <c r="AE32" s="87">
        <v>90.5</v>
      </c>
      <c r="AF32" s="87">
        <v>90.4</v>
      </c>
      <c r="AG32" s="87">
        <v>90.7</v>
      </c>
      <c r="AH32" s="87">
        <v>90.8</v>
      </c>
      <c r="AI32" s="87">
        <v>90.8</v>
      </c>
      <c r="AJ32" s="87">
        <v>90.8</v>
      </c>
      <c r="AK32" s="87">
        <v>90.8</v>
      </c>
    </row>
    <row r="33" spans="2:37" s="12" customFormat="1">
      <c r="B33" s="12" t="s">
        <v>195</v>
      </c>
      <c r="C33" s="56" t="s">
        <v>196</v>
      </c>
      <c r="D33" s="57">
        <v>1</v>
      </c>
      <c r="E33" s="57">
        <v>1</v>
      </c>
      <c r="F33" s="57">
        <v>1.4</v>
      </c>
      <c r="G33" s="57">
        <v>1.7</v>
      </c>
      <c r="H33" s="57">
        <v>0.5</v>
      </c>
      <c r="I33" s="57">
        <v>0</v>
      </c>
      <c r="M33" s="12" t="str">
        <f t="shared" si="0"/>
        <v>Pmax control</v>
      </c>
      <c r="N33" s="56" t="s">
        <v>196</v>
      </c>
      <c r="O33" s="57"/>
      <c r="P33" s="57"/>
      <c r="Q33" s="57"/>
      <c r="R33" s="57"/>
      <c r="S33" s="57"/>
      <c r="X33" s="12" t="str">
        <f t="shared" si="1"/>
        <v>Pmax control</v>
      </c>
      <c r="Y33" s="56" t="s">
        <v>196</v>
      </c>
      <c r="Z33" s="57"/>
      <c r="AA33" s="57"/>
      <c r="AB33" s="57"/>
      <c r="AC33" s="57"/>
      <c r="AD33" s="57"/>
      <c r="AE33" s="57"/>
    </row>
    <row r="34" spans="2:37" s="11" customFormat="1">
      <c r="C34" s="6"/>
      <c r="D34" s="5"/>
      <c r="N34" s="6"/>
      <c r="O34" s="5"/>
      <c r="P34" s="5"/>
      <c r="Q34" s="5"/>
      <c r="R34" s="5"/>
      <c r="S34" s="5"/>
      <c r="Y34" s="6"/>
      <c r="Z34" s="5"/>
      <c r="AA34" s="5"/>
      <c r="AB34" s="5"/>
      <c r="AC34" s="5"/>
      <c r="AD34" s="5"/>
      <c r="AE34" s="5"/>
    </row>
    <row r="35" spans="2:37">
      <c r="B35" s="1" t="s">
        <v>70</v>
      </c>
      <c r="D35" s="11"/>
      <c r="E35" s="11"/>
      <c r="F35" s="11"/>
      <c r="G35" s="11"/>
      <c r="H35" s="11"/>
      <c r="I35" s="11"/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T35" s="11"/>
      <c r="U35" s="11"/>
      <c r="W35" s="11"/>
      <c r="X35" s="1" t="str">
        <f t="shared" ref="X35:X42" si="4">B35</f>
        <v xml:space="preserve">System / Fuel </v>
      </c>
      <c r="Y35" s="6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2:37" ht="17.25">
      <c r="B36" t="s">
        <v>54</v>
      </c>
      <c r="C36" s="6" t="s">
        <v>17</v>
      </c>
      <c r="D36" s="11">
        <v>7.8</v>
      </c>
      <c r="E36" s="11">
        <v>7.7</v>
      </c>
      <c r="F36" s="11">
        <v>7.5</v>
      </c>
      <c r="G36" s="11">
        <v>7.5</v>
      </c>
      <c r="H36" s="11">
        <v>7.5</v>
      </c>
      <c r="I36" s="11">
        <v>7.4</v>
      </c>
      <c r="L36" s="11"/>
      <c r="M36" s="11" t="str">
        <f t="shared" si="0"/>
        <v>Inlet  F.O. Pressure</v>
      </c>
      <c r="N36" s="6" t="s">
        <v>17</v>
      </c>
      <c r="O36" s="11">
        <v>7.5</v>
      </c>
      <c r="P36" s="11">
        <v>7.5</v>
      </c>
      <c r="Q36" s="11">
        <v>7.2</v>
      </c>
      <c r="R36" s="11">
        <v>7.2</v>
      </c>
      <c r="S36" s="11">
        <v>7</v>
      </c>
      <c r="T36" s="11">
        <v>7</v>
      </c>
      <c r="U36" s="11">
        <v>7.2</v>
      </c>
      <c r="W36" s="11"/>
      <c r="X36" s="11" t="str">
        <f t="shared" si="4"/>
        <v>Inlet  F.O. Pressure</v>
      </c>
      <c r="Y36" s="6" t="s">
        <v>17</v>
      </c>
      <c r="Z36" s="11">
        <v>7.5</v>
      </c>
      <c r="AA36" s="11">
        <v>7.6</v>
      </c>
      <c r="AB36" s="11">
        <v>8</v>
      </c>
      <c r="AC36" s="11">
        <v>7.7</v>
      </c>
      <c r="AD36" s="11">
        <v>7.9</v>
      </c>
      <c r="AE36" s="11">
        <v>7.6</v>
      </c>
      <c r="AF36" s="11">
        <v>8</v>
      </c>
      <c r="AG36" s="11">
        <v>7.6</v>
      </c>
      <c r="AH36" s="11">
        <v>7.7</v>
      </c>
      <c r="AI36" s="11">
        <v>7.4</v>
      </c>
      <c r="AJ36" s="11">
        <v>7.8</v>
      </c>
      <c r="AK36" s="11">
        <v>7.7</v>
      </c>
    </row>
    <row r="37" spans="2:37">
      <c r="B37" t="s">
        <v>55</v>
      </c>
      <c r="C37" s="6" t="s">
        <v>26</v>
      </c>
      <c r="D37" s="11">
        <v>24</v>
      </c>
      <c r="E37" s="11">
        <v>24.5</v>
      </c>
      <c r="F37" s="11">
        <v>25</v>
      </c>
      <c r="G37" s="11">
        <v>26</v>
      </c>
      <c r="H37" s="11">
        <v>25</v>
      </c>
      <c r="I37" s="11">
        <v>25</v>
      </c>
      <c r="L37" s="11"/>
      <c r="M37" s="11" t="str">
        <f t="shared" si="0"/>
        <v>Inlet F.O. Temperature</v>
      </c>
      <c r="N37" s="6" t="s">
        <v>26</v>
      </c>
      <c r="O37" s="11">
        <v>130</v>
      </c>
      <c r="P37" s="11">
        <v>122</v>
      </c>
      <c r="Q37" s="11">
        <v>122</v>
      </c>
      <c r="R37" s="11">
        <v>124</v>
      </c>
      <c r="S37" s="11">
        <v>126</v>
      </c>
      <c r="T37" s="11">
        <v>126</v>
      </c>
      <c r="U37" s="11">
        <v>124</v>
      </c>
      <c r="W37" s="11"/>
      <c r="X37" s="11" t="str">
        <f t="shared" si="4"/>
        <v>Inlet F.O. Temperature</v>
      </c>
      <c r="Y37" s="6" t="s">
        <v>26</v>
      </c>
      <c r="Z37" s="11">
        <v>92</v>
      </c>
      <c r="AA37" s="11">
        <v>93</v>
      </c>
      <c r="AB37" s="11">
        <v>86</v>
      </c>
      <c r="AC37" s="11">
        <v>89</v>
      </c>
      <c r="AD37" s="11">
        <v>91</v>
      </c>
      <c r="AE37" s="11">
        <v>92</v>
      </c>
      <c r="AF37" s="11">
        <v>91</v>
      </c>
      <c r="AG37" s="11">
        <v>118</v>
      </c>
      <c r="AH37" s="11">
        <v>118</v>
      </c>
      <c r="AI37" s="11">
        <v>119</v>
      </c>
      <c r="AJ37" s="11">
        <v>94</v>
      </c>
      <c r="AK37" s="11">
        <v>94</v>
      </c>
    </row>
    <row r="38" spans="2:37" s="11" customFormat="1" ht="17.25">
      <c r="B38" s="11" t="s">
        <v>56</v>
      </c>
      <c r="C38" s="6" t="s">
        <v>17</v>
      </c>
      <c r="D38" s="11">
        <v>2.15</v>
      </c>
      <c r="E38" s="11">
        <v>2.2000000000000002</v>
      </c>
      <c r="F38" s="11">
        <v>2.2999999999999998</v>
      </c>
      <c r="G38" s="11">
        <v>2.25</v>
      </c>
      <c r="H38" s="11">
        <v>2.2999999999999998</v>
      </c>
      <c r="I38" s="11">
        <v>2.2999999999999998</v>
      </c>
      <c r="M38" s="11" t="str">
        <f t="shared" si="0"/>
        <v>Piston Cooling Oil Pressure</v>
      </c>
      <c r="N38" s="6" t="s">
        <v>17</v>
      </c>
      <c r="O38" s="11">
        <v>2.5</v>
      </c>
      <c r="P38" s="11">
        <v>2.5</v>
      </c>
      <c r="Q38" s="11">
        <v>2.5</v>
      </c>
      <c r="R38" s="11">
        <v>2.5</v>
      </c>
      <c r="S38" s="11">
        <v>2.6</v>
      </c>
      <c r="T38" s="11">
        <v>2.5</v>
      </c>
      <c r="U38" s="11">
        <v>2.5</v>
      </c>
      <c r="X38" s="11" t="str">
        <f t="shared" si="4"/>
        <v>Piston Cooling Oil Pressure</v>
      </c>
      <c r="Y38" s="6" t="s">
        <v>17</v>
      </c>
      <c r="Z38" s="11">
        <v>2.7</v>
      </c>
      <c r="AA38" s="11">
        <v>3.4</v>
      </c>
      <c r="AB38" s="11">
        <v>2.9</v>
      </c>
      <c r="AC38" s="11">
        <v>2.7</v>
      </c>
      <c r="AD38" s="11">
        <v>2.35</v>
      </c>
      <c r="AE38" s="11">
        <v>2.6</v>
      </c>
      <c r="AF38" s="11">
        <v>2.6</v>
      </c>
      <c r="AG38" s="11">
        <v>2.9</v>
      </c>
      <c r="AH38" s="11">
        <v>2.7</v>
      </c>
      <c r="AI38" s="11">
        <v>2.6</v>
      </c>
      <c r="AJ38" s="11">
        <v>2.8</v>
      </c>
      <c r="AK38" s="11">
        <v>2.7</v>
      </c>
    </row>
    <row r="39" spans="2:37" s="11" customFormat="1">
      <c r="B39" s="11" t="s">
        <v>197</v>
      </c>
      <c r="C39" s="6" t="s">
        <v>26</v>
      </c>
      <c r="D39" s="11">
        <v>42</v>
      </c>
      <c r="E39" s="11">
        <v>42</v>
      </c>
      <c r="F39" s="11">
        <v>46</v>
      </c>
      <c r="G39" s="11">
        <v>42</v>
      </c>
      <c r="H39" s="11">
        <v>42</v>
      </c>
      <c r="I39" s="11">
        <v>42</v>
      </c>
      <c r="M39" s="11" t="str">
        <f t="shared" si="0"/>
        <v>Piston Cooling Oil Inlet Temp.</v>
      </c>
      <c r="N39" s="6" t="s">
        <v>26</v>
      </c>
      <c r="O39" s="11">
        <v>40</v>
      </c>
      <c r="P39" s="11">
        <v>41</v>
      </c>
      <c r="Q39" s="11">
        <v>41</v>
      </c>
      <c r="R39" s="11">
        <v>41</v>
      </c>
      <c r="S39" s="11">
        <v>41</v>
      </c>
      <c r="T39" s="11">
        <v>43</v>
      </c>
      <c r="U39" s="11">
        <v>41</v>
      </c>
      <c r="X39" s="11" t="str">
        <f t="shared" si="4"/>
        <v>Piston Cooling Oil Inlet Temp.</v>
      </c>
      <c r="Y39" s="6" t="s">
        <v>26</v>
      </c>
      <c r="Z39" s="11">
        <v>45</v>
      </c>
      <c r="AA39" s="11">
        <v>47</v>
      </c>
      <c r="AB39" s="11">
        <v>46</v>
      </c>
      <c r="AC39" s="11">
        <v>45</v>
      </c>
      <c r="AD39" s="11">
        <v>45</v>
      </c>
      <c r="AE39" s="11">
        <v>45</v>
      </c>
      <c r="AF39" s="11">
        <v>46</v>
      </c>
      <c r="AG39" s="11">
        <v>45</v>
      </c>
      <c r="AH39" s="11">
        <v>46</v>
      </c>
      <c r="AI39" s="11">
        <v>45</v>
      </c>
      <c r="AJ39" s="11">
        <v>45</v>
      </c>
      <c r="AK39" s="11">
        <v>46</v>
      </c>
    </row>
    <row r="40" spans="2:37" s="11" customFormat="1">
      <c r="B40" s="11" t="s">
        <v>73</v>
      </c>
      <c r="C40" s="6"/>
      <c r="D40" s="11">
        <v>0.90759999999999996</v>
      </c>
      <c r="E40" s="11">
        <v>0.90759999999999996</v>
      </c>
      <c r="F40" s="11">
        <v>0.90759999999999996</v>
      </c>
      <c r="G40" s="11">
        <v>0.90759999999999996</v>
      </c>
      <c r="H40" s="11">
        <v>0.90759999999999996</v>
      </c>
      <c r="I40" s="11">
        <v>0.90759999999999996</v>
      </c>
      <c r="M40" s="11" t="str">
        <f t="shared" si="0"/>
        <v>Fuel Specific Gravity (@15°C)</v>
      </c>
      <c r="N40" s="6"/>
      <c r="U40" s="11">
        <v>0.98270000000000002</v>
      </c>
      <c r="X40" s="11" t="str">
        <f t="shared" si="4"/>
        <v>Fuel Specific Gravity (@15°C)</v>
      </c>
      <c r="Y40" s="6"/>
      <c r="Z40" s="11">
        <v>0.98</v>
      </c>
      <c r="AA40" s="11">
        <v>0.98</v>
      </c>
      <c r="AB40" s="11">
        <v>0.97</v>
      </c>
      <c r="AC40" s="11">
        <v>0.98</v>
      </c>
      <c r="AD40" s="11">
        <v>0.97</v>
      </c>
      <c r="AE40" s="11">
        <v>0.96</v>
      </c>
      <c r="AF40" s="11">
        <v>0.96</v>
      </c>
      <c r="AG40" s="11">
        <v>0.96</v>
      </c>
      <c r="AH40" s="11">
        <v>0.97</v>
      </c>
      <c r="AI40" s="11">
        <v>0.99</v>
      </c>
      <c r="AJ40" s="11">
        <v>0.99</v>
      </c>
      <c r="AK40" s="11">
        <v>0.97</v>
      </c>
    </row>
    <row r="41" spans="2:37" s="11" customFormat="1">
      <c r="B41" s="11" t="s">
        <v>208</v>
      </c>
      <c r="C41" s="6" t="s">
        <v>74</v>
      </c>
      <c r="D41" s="11">
        <v>9.6999999999999993</v>
      </c>
      <c r="E41" s="11">
        <v>9.6999999999999993</v>
      </c>
      <c r="F41" s="11">
        <v>9.6999999999999993</v>
      </c>
      <c r="G41" s="11">
        <v>9.6999999999999993</v>
      </c>
      <c r="H41" s="11">
        <v>9.6999999999999993</v>
      </c>
      <c r="I41" s="11">
        <v>9.6999999999999993</v>
      </c>
      <c r="M41" s="11" t="str">
        <f t="shared" si="0"/>
        <v>Fuel Viscosity (@50°C)</v>
      </c>
      <c r="N41" s="6" t="s">
        <v>74</v>
      </c>
      <c r="U41" s="11">
        <v>330</v>
      </c>
      <c r="X41" s="11" t="str">
        <f t="shared" si="4"/>
        <v>Fuel Viscosity (@50°C)</v>
      </c>
      <c r="Y41" s="6" t="s">
        <v>74</v>
      </c>
      <c r="Z41" s="11">
        <v>342</v>
      </c>
      <c r="AA41" s="11">
        <v>342</v>
      </c>
      <c r="AB41" s="11">
        <v>343</v>
      </c>
      <c r="AC41" s="11">
        <v>333</v>
      </c>
      <c r="AD41" s="11">
        <v>334</v>
      </c>
      <c r="AE41" s="11">
        <v>355</v>
      </c>
      <c r="AF41" s="11">
        <v>355</v>
      </c>
      <c r="AG41" s="11">
        <v>333</v>
      </c>
      <c r="AH41" s="11">
        <v>347</v>
      </c>
      <c r="AI41" s="11">
        <v>317</v>
      </c>
      <c r="AJ41" s="11">
        <v>317</v>
      </c>
      <c r="AK41" s="11">
        <v>324</v>
      </c>
    </row>
    <row r="42" spans="2:37" s="11" customFormat="1">
      <c r="B42" s="11" t="s">
        <v>71</v>
      </c>
      <c r="C42" s="6" t="s">
        <v>72</v>
      </c>
      <c r="D42" s="11">
        <v>10022</v>
      </c>
      <c r="E42" s="11">
        <v>10022</v>
      </c>
      <c r="F42" s="11">
        <v>10022</v>
      </c>
      <c r="G42" s="11">
        <v>10022</v>
      </c>
      <c r="H42" s="11">
        <v>10022</v>
      </c>
      <c r="I42" s="11">
        <v>10022</v>
      </c>
      <c r="M42" s="11" t="str">
        <f t="shared" si="0"/>
        <v>Fuel LHV</v>
      </c>
      <c r="N42" s="6" t="s">
        <v>72</v>
      </c>
      <c r="U42" s="11">
        <v>9554</v>
      </c>
      <c r="X42" s="11" t="str">
        <f t="shared" si="4"/>
        <v>Fuel LHV</v>
      </c>
      <c r="Y42" s="6" t="s">
        <v>100</v>
      </c>
      <c r="Z42" s="11">
        <v>41090</v>
      </c>
      <c r="AA42" s="11">
        <v>41090</v>
      </c>
      <c r="AB42" s="11">
        <v>41170</v>
      </c>
      <c r="AC42" s="11">
        <v>41140</v>
      </c>
      <c r="AD42" s="11">
        <v>41250</v>
      </c>
      <c r="AE42" s="11">
        <v>41310</v>
      </c>
      <c r="AF42" s="11">
        <v>41310</v>
      </c>
      <c r="AG42" s="11">
        <v>41470</v>
      </c>
      <c r="AH42" s="11">
        <v>41280</v>
      </c>
      <c r="AI42" s="11">
        <v>40100</v>
      </c>
      <c r="AJ42" s="11">
        <v>40100</v>
      </c>
      <c r="AK42" s="11">
        <v>41190</v>
      </c>
    </row>
    <row r="43" spans="2:37">
      <c r="D43" s="11"/>
      <c r="E43" s="11"/>
      <c r="F43" s="11"/>
      <c r="G43" s="11"/>
      <c r="H43" s="11"/>
      <c r="I43" s="11"/>
      <c r="L43" s="11"/>
      <c r="M43" s="11"/>
      <c r="N43" s="6"/>
      <c r="O43" s="11"/>
      <c r="P43" s="11"/>
      <c r="Q43" s="11"/>
      <c r="R43" s="11"/>
      <c r="S43" s="11"/>
      <c r="T43" s="11"/>
      <c r="U43" s="11"/>
      <c r="W43" s="11"/>
      <c r="X43" s="11"/>
      <c r="Y43" s="6"/>
      <c r="Z43" s="11">
        <v>842</v>
      </c>
      <c r="AA43" s="11">
        <v>842</v>
      </c>
      <c r="AB43" s="11">
        <v>832</v>
      </c>
      <c r="AC43" s="11"/>
      <c r="AD43" s="11">
        <v>832</v>
      </c>
      <c r="AE43" s="11">
        <v>822</v>
      </c>
      <c r="AF43" s="11">
        <v>822</v>
      </c>
      <c r="AG43" s="11">
        <v>822</v>
      </c>
      <c r="AH43" s="11">
        <v>832</v>
      </c>
      <c r="AI43" s="11">
        <v>853</v>
      </c>
      <c r="AJ43" s="11">
        <v>853</v>
      </c>
      <c r="AK43" s="11">
        <v>833</v>
      </c>
    </row>
    <row r="44" spans="2:37">
      <c r="B44" s="1" t="s">
        <v>18</v>
      </c>
      <c r="D44" s="11"/>
      <c r="E44" s="11"/>
      <c r="F44" s="11"/>
      <c r="G44" s="11"/>
      <c r="H44" s="11"/>
      <c r="I44" s="11"/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T44" s="11"/>
      <c r="U44" s="11"/>
      <c r="W44" s="11"/>
      <c r="X44" s="1" t="str">
        <f>B44</f>
        <v>Cylinder</v>
      </c>
      <c r="Y44" s="6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2:37">
      <c r="B45" t="s">
        <v>19</v>
      </c>
      <c r="C45" s="6" t="s">
        <v>20</v>
      </c>
      <c r="D45" s="11"/>
      <c r="E45" s="11"/>
      <c r="F45" s="11"/>
      <c r="G45" s="11"/>
      <c r="H45" s="11"/>
      <c r="I45" s="11"/>
      <c r="L45" s="11"/>
      <c r="M45" s="11" t="str">
        <f t="shared" si="0"/>
        <v>Pmax</v>
      </c>
      <c r="N45" s="6" t="s">
        <v>20</v>
      </c>
      <c r="O45" s="11"/>
      <c r="P45" s="11"/>
      <c r="Q45" s="11"/>
      <c r="R45" s="11"/>
      <c r="S45" s="11"/>
      <c r="T45" s="11"/>
      <c r="U45" s="11"/>
      <c r="W45" s="11"/>
      <c r="X45" s="11" t="str">
        <f>B45</f>
        <v>Pmax</v>
      </c>
      <c r="Y45" s="6" t="s">
        <v>20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2:37">
      <c r="C46" s="8">
        <v>1</v>
      </c>
      <c r="D46" s="11">
        <v>75</v>
      </c>
      <c r="E46" s="11">
        <v>103</v>
      </c>
      <c r="F46" s="11">
        <v>134</v>
      </c>
      <c r="G46" s="11">
        <v>150</v>
      </c>
      <c r="H46" s="11">
        <v>150</v>
      </c>
      <c r="I46" s="11">
        <v>153</v>
      </c>
      <c r="L46" s="11"/>
      <c r="M46" s="11"/>
      <c r="N46" s="8">
        <v>1</v>
      </c>
      <c r="O46" s="11">
        <v>130</v>
      </c>
      <c r="P46" s="11">
        <v>129</v>
      </c>
      <c r="Q46" s="11">
        <v>146</v>
      </c>
      <c r="R46" s="11">
        <v>145</v>
      </c>
      <c r="S46" s="11">
        <v>146</v>
      </c>
      <c r="T46" s="11">
        <v>145</v>
      </c>
      <c r="U46" s="11">
        <v>144</v>
      </c>
      <c r="W46" s="11"/>
      <c r="X46" s="11"/>
      <c r="Y46" s="8">
        <v>1</v>
      </c>
      <c r="Z46" s="11">
        <v>138</v>
      </c>
      <c r="AA46" s="11">
        <v>136</v>
      </c>
      <c r="AB46" s="11">
        <v>133</v>
      </c>
      <c r="AC46" s="11">
        <v>122</v>
      </c>
      <c r="AD46" s="11">
        <v>131</v>
      </c>
      <c r="AE46" s="11">
        <v>136</v>
      </c>
      <c r="AF46" s="11">
        <v>128</v>
      </c>
      <c r="AG46" s="11">
        <v>132</v>
      </c>
      <c r="AH46" s="11">
        <v>138</v>
      </c>
      <c r="AI46" s="11">
        <v>135</v>
      </c>
      <c r="AJ46" s="11">
        <v>137</v>
      </c>
      <c r="AK46" s="11">
        <v>140</v>
      </c>
    </row>
    <row r="47" spans="2:37">
      <c r="C47" s="8">
        <v>2</v>
      </c>
      <c r="D47" s="11">
        <v>75</v>
      </c>
      <c r="E47" s="11">
        <v>103</v>
      </c>
      <c r="F47" s="11">
        <v>134</v>
      </c>
      <c r="G47" s="11">
        <v>150</v>
      </c>
      <c r="H47" s="11">
        <v>150</v>
      </c>
      <c r="I47" s="11">
        <v>153</v>
      </c>
      <c r="L47" s="11"/>
      <c r="M47" s="11"/>
      <c r="N47" s="8">
        <v>2</v>
      </c>
      <c r="O47" s="11">
        <v>131</v>
      </c>
      <c r="P47" s="11">
        <v>130</v>
      </c>
      <c r="Q47" s="11">
        <v>145</v>
      </c>
      <c r="R47" s="11">
        <v>144</v>
      </c>
      <c r="S47" s="11">
        <v>145</v>
      </c>
      <c r="T47" s="11">
        <v>142</v>
      </c>
      <c r="U47" s="11">
        <v>143</v>
      </c>
      <c r="W47" s="11"/>
      <c r="X47" s="11"/>
      <c r="Y47" s="8">
        <v>2</v>
      </c>
      <c r="Z47" s="11">
        <v>136</v>
      </c>
      <c r="AA47" s="11">
        <v>136</v>
      </c>
      <c r="AB47" s="11">
        <v>134</v>
      </c>
      <c r="AC47" s="11">
        <v>119</v>
      </c>
      <c r="AD47" s="11">
        <v>127</v>
      </c>
      <c r="AE47" s="11">
        <v>134</v>
      </c>
      <c r="AF47" s="11">
        <v>123</v>
      </c>
      <c r="AG47" s="11">
        <v>126</v>
      </c>
      <c r="AH47" s="11">
        <v>133</v>
      </c>
      <c r="AI47" s="11">
        <v>128</v>
      </c>
      <c r="AJ47" s="11">
        <v>133</v>
      </c>
      <c r="AK47" s="11">
        <v>137</v>
      </c>
    </row>
    <row r="48" spans="2:37">
      <c r="C48" s="8">
        <v>3</v>
      </c>
      <c r="D48" s="11">
        <v>75</v>
      </c>
      <c r="E48" s="11">
        <v>102</v>
      </c>
      <c r="F48" s="11">
        <v>135</v>
      </c>
      <c r="G48" s="11">
        <v>149</v>
      </c>
      <c r="H48" s="11">
        <v>151</v>
      </c>
      <c r="I48" s="11">
        <v>152</v>
      </c>
      <c r="L48" s="11"/>
      <c r="M48" s="11"/>
      <c r="N48" s="8">
        <v>3</v>
      </c>
      <c r="O48" s="11">
        <v>130</v>
      </c>
      <c r="P48" s="11">
        <v>130</v>
      </c>
      <c r="Q48" s="11">
        <v>145</v>
      </c>
      <c r="R48" s="11">
        <v>146</v>
      </c>
      <c r="S48" s="11">
        <v>146</v>
      </c>
      <c r="T48" s="11">
        <v>145</v>
      </c>
      <c r="U48" s="11">
        <v>143</v>
      </c>
      <c r="W48" s="11"/>
      <c r="X48" s="11"/>
      <c r="Y48" s="8">
        <v>3</v>
      </c>
      <c r="Z48" s="11">
        <v>135</v>
      </c>
      <c r="AA48" s="11">
        <v>135</v>
      </c>
      <c r="AB48" s="11">
        <v>134</v>
      </c>
      <c r="AC48" s="11">
        <v>118</v>
      </c>
      <c r="AD48" s="11">
        <v>128</v>
      </c>
      <c r="AE48" s="11">
        <v>135</v>
      </c>
      <c r="AF48" s="11">
        <v>126</v>
      </c>
      <c r="AG48" s="11">
        <v>128</v>
      </c>
      <c r="AH48" s="11">
        <v>131</v>
      </c>
      <c r="AI48" s="11">
        <v>132</v>
      </c>
      <c r="AJ48" s="11">
        <v>134</v>
      </c>
      <c r="AK48" s="11">
        <v>139</v>
      </c>
    </row>
    <row r="49" spans="2:37">
      <c r="C49" s="8">
        <v>4</v>
      </c>
      <c r="D49" s="11">
        <v>75</v>
      </c>
      <c r="E49" s="11">
        <v>103</v>
      </c>
      <c r="F49" s="11">
        <v>133</v>
      </c>
      <c r="G49" s="11">
        <v>149</v>
      </c>
      <c r="H49" s="11">
        <v>150</v>
      </c>
      <c r="I49" s="11">
        <v>152</v>
      </c>
      <c r="L49" s="11"/>
      <c r="M49" s="11"/>
      <c r="N49" s="8">
        <v>4</v>
      </c>
      <c r="O49" s="11">
        <v>130</v>
      </c>
      <c r="P49" s="11">
        <v>129</v>
      </c>
      <c r="Q49" s="11">
        <v>144</v>
      </c>
      <c r="R49" s="11">
        <v>146</v>
      </c>
      <c r="S49" s="11">
        <v>145</v>
      </c>
      <c r="T49" s="11">
        <v>144</v>
      </c>
      <c r="U49" s="11">
        <v>143</v>
      </c>
      <c r="W49" s="11"/>
      <c r="X49" s="11"/>
      <c r="Y49" s="8">
        <v>4</v>
      </c>
      <c r="Z49" s="11">
        <v>136</v>
      </c>
      <c r="AA49" s="11">
        <v>134</v>
      </c>
      <c r="AB49" s="11">
        <v>133</v>
      </c>
      <c r="AC49" s="11">
        <v>121</v>
      </c>
      <c r="AD49" s="11">
        <v>128</v>
      </c>
      <c r="AE49" s="11">
        <v>135</v>
      </c>
      <c r="AF49" s="11">
        <v>126</v>
      </c>
      <c r="AG49" s="11">
        <v>129</v>
      </c>
      <c r="AH49" s="11">
        <v>136</v>
      </c>
      <c r="AI49" s="11">
        <v>134</v>
      </c>
      <c r="AJ49" s="11">
        <v>135</v>
      </c>
      <c r="AK49" s="11">
        <v>139</v>
      </c>
    </row>
    <row r="50" spans="2:37">
      <c r="C50" s="8">
        <v>5</v>
      </c>
      <c r="D50" s="11">
        <v>75</v>
      </c>
      <c r="E50" s="11">
        <v>102.5</v>
      </c>
      <c r="F50" s="11">
        <v>135</v>
      </c>
      <c r="G50" s="11">
        <v>150</v>
      </c>
      <c r="H50" s="11">
        <v>150</v>
      </c>
      <c r="I50" s="11">
        <v>152</v>
      </c>
      <c r="L50" s="11"/>
      <c r="M50" s="11"/>
      <c r="N50" s="8">
        <v>5</v>
      </c>
      <c r="O50" s="11">
        <v>128</v>
      </c>
      <c r="P50" s="11">
        <v>129</v>
      </c>
      <c r="Q50" s="11">
        <v>146</v>
      </c>
      <c r="R50" s="11">
        <v>144</v>
      </c>
      <c r="S50" s="11">
        <v>146</v>
      </c>
      <c r="T50" s="11">
        <v>143</v>
      </c>
      <c r="U50" s="11">
        <v>144</v>
      </c>
      <c r="W50" s="11"/>
      <c r="X50" s="11"/>
      <c r="Y50" s="8">
        <v>5</v>
      </c>
      <c r="Z50" s="11">
        <v>136</v>
      </c>
      <c r="AA50" s="11">
        <v>135</v>
      </c>
      <c r="AB50" s="11">
        <v>134</v>
      </c>
      <c r="AC50" s="11">
        <v>119</v>
      </c>
      <c r="AD50" s="11">
        <v>128</v>
      </c>
      <c r="AE50" s="11">
        <v>135</v>
      </c>
      <c r="AF50" s="11">
        <v>126</v>
      </c>
      <c r="AG50" s="11">
        <v>129</v>
      </c>
      <c r="AH50" s="11">
        <v>131</v>
      </c>
      <c r="AI50" s="11">
        <v>131</v>
      </c>
      <c r="AJ50" s="11">
        <v>134</v>
      </c>
      <c r="AK50" s="11">
        <v>135</v>
      </c>
    </row>
    <row r="51" spans="2:37">
      <c r="C51" s="8">
        <v>6</v>
      </c>
      <c r="D51" s="11">
        <v>75.5</v>
      </c>
      <c r="E51" s="11">
        <v>103</v>
      </c>
      <c r="F51" s="11">
        <v>135</v>
      </c>
      <c r="G51" s="11">
        <v>152</v>
      </c>
      <c r="H51" s="11">
        <v>152</v>
      </c>
      <c r="I51" s="11">
        <v>154</v>
      </c>
      <c r="L51" s="11"/>
      <c r="M51" s="11"/>
      <c r="N51" s="8">
        <v>6</v>
      </c>
      <c r="O51" s="11">
        <v>132</v>
      </c>
      <c r="P51" s="11">
        <v>129</v>
      </c>
      <c r="Q51" s="11">
        <v>146</v>
      </c>
      <c r="R51" s="11">
        <v>143</v>
      </c>
      <c r="S51" s="11">
        <v>146</v>
      </c>
      <c r="T51" s="11">
        <v>145</v>
      </c>
      <c r="U51" s="11">
        <v>145</v>
      </c>
      <c r="W51" s="11"/>
      <c r="X51" s="11"/>
      <c r="Y51" s="8">
        <v>6</v>
      </c>
      <c r="Z51" s="11">
        <v>138</v>
      </c>
      <c r="AA51" s="11">
        <v>137</v>
      </c>
      <c r="AB51" s="11">
        <v>137</v>
      </c>
      <c r="AC51" s="11">
        <v>122</v>
      </c>
      <c r="AD51" s="11">
        <v>131</v>
      </c>
      <c r="AE51" s="11">
        <v>137</v>
      </c>
      <c r="AF51" s="11">
        <v>128</v>
      </c>
      <c r="AG51" s="11">
        <v>131</v>
      </c>
      <c r="AH51" s="11">
        <v>135</v>
      </c>
      <c r="AI51" s="11">
        <v>134</v>
      </c>
      <c r="AJ51" s="11">
        <v>135</v>
      </c>
      <c r="AK51" s="11">
        <v>140</v>
      </c>
    </row>
    <row r="52" spans="2:37">
      <c r="C52" s="8">
        <v>7</v>
      </c>
      <c r="D52" s="11"/>
      <c r="E52" s="11"/>
      <c r="F52" s="11"/>
      <c r="G52" s="11"/>
      <c r="H52" s="11"/>
      <c r="I52" s="11"/>
      <c r="L52" s="11"/>
      <c r="M52" s="11"/>
      <c r="N52" s="8">
        <v>7</v>
      </c>
      <c r="O52" s="11"/>
      <c r="P52" s="11"/>
      <c r="Q52" s="11"/>
      <c r="R52" s="11"/>
      <c r="S52" s="11"/>
      <c r="T52" s="11"/>
      <c r="U52" s="11"/>
      <c r="W52" s="11"/>
      <c r="X52" s="11"/>
      <c r="Y52" s="8">
        <v>7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2:37">
      <c r="C53" s="8">
        <v>8</v>
      </c>
      <c r="D53" s="11"/>
      <c r="E53" s="11"/>
      <c r="F53" s="11"/>
      <c r="G53" s="11"/>
      <c r="H53" s="11"/>
      <c r="I53" s="11"/>
      <c r="L53" s="11"/>
      <c r="M53" s="11"/>
      <c r="N53" s="8">
        <v>8</v>
      </c>
      <c r="O53" s="11"/>
      <c r="P53" s="11"/>
      <c r="Q53" s="11"/>
      <c r="R53" s="11"/>
      <c r="S53" s="11"/>
      <c r="T53" s="11"/>
      <c r="U53" s="11"/>
      <c r="W53" s="11"/>
      <c r="X53" s="11"/>
      <c r="Y53" s="8">
        <v>8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2:37">
      <c r="C54" s="8">
        <v>9</v>
      </c>
      <c r="D54" s="11"/>
      <c r="E54" s="11"/>
      <c r="F54" s="11"/>
      <c r="G54" s="11"/>
      <c r="H54" s="11"/>
      <c r="I54" s="11"/>
      <c r="L54" s="11"/>
      <c r="M54" s="11"/>
      <c r="N54" s="8">
        <v>9</v>
      </c>
      <c r="O54" s="11"/>
      <c r="P54" s="11"/>
      <c r="Q54" s="11"/>
      <c r="R54" s="11"/>
      <c r="S54" s="11"/>
      <c r="T54" s="11"/>
      <c r="U54" s="11"/>
      <c r="W54" s="11"/>
      <c r="X54" s="11"/>
      <c r="Y54" s="8">
        <v>9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2:37">
      <c r="C55" s="8">
        <v>10</v>
      </c>
      <c r="D55" s="11"/>
      <c r="E55" s="11"/>
      <c r="F55" s="11"/>
      <c r="G55" s="11"/>
      <c r="H55" s="11"/>
      <c r="I55" s="11"/>
      <c r="L55" s="11"/>
      <c r="M55" s="11"/>
      <c r="N55" s="8">
        <v>10</v>
      </c>
      <c r="O55" s="11"/>
      <c r="P55" s="11"/>
      <c r="Q55" s="11"/>
      <c r="R55" s="11"/>
      <c r="S55" s="11"/>
      <c r="T55" s="11"/>
      <c r="U55" s="11"/>
      <c r="W55" s="11"/>
      <c r="X55" s="11"/>
      <c r="Y55" s="8">
        <v>10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2:37">
      <c r="C56" s="8">
        <v>11</v>
      </c>
      <c r="D56" s="11"/>
      <c r="E56" s="11"/>
      <c r="F56" s="11"/>
      <c r="G56" s="11"/>
      <c r="H56" s="11"/>
      <c r="I56" s="11"/>
      <c r="L56" s="11"/>
      <c r="M56" s="11"/>
      <c r="N56" s="8">
        <v>11</v>
      </c>
      <c r="O56" s="11"/>
      <c r="P56" s="11"/>
      <c r="Q56" s="11"/>
      <c r="R56" s="11"/>
      <c r="S56" s="11"/>
      <c r="T56" s="11"/>
      <c r="U56" s="11"/>
      <c r="W56" s="11"/>
      <c r="X56" s="11"/>
      <c r="Y56" s="8">
        <v>11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2:37">
      <c r="C57" s="8">
        <v>12</v>
      </c>
      <c r="D57" s="11"/>
      <c r="E57" s="11"/>
      <c r="F57" s="11"/>
      <c r="G57" s="11"/>
      <c r="H57" s="11"/>
      <c r="I57" s="11"/>
      <c r="L57" s="11"/>
      <c r="M57" s="11"/>
      <c r="N57" s="8">
        <v>12</v>
      </c>
      <c r="O57" s="11"/>
      <c r="P57" s="11"/>
      <c r="Q57" s="11"/>
      <c r="R57" s="11"/>
      <c r="S57" s="11"/>
      <c r="T57" s="11"/>
      <c r="U57" s="11"/>
      <c r="W57" s="11"/>
      <c r="X57" s="11"/>
      <c r="Y57" s="8">
        <v>12</v>
      </c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2:37">
      <c r="B58" t="s">
        <v>21</v>
      </c>
      <c r="C58" s="6" t="s">
        <v>20</v>
      </c>
      <c r="D58" s="11"/>
      <c r="E58" s="11"/>
      <c r="F58" s="11"/>
      <c r="G58" s="11"/>
      <c r="H58" s="11"/>
      <c r="I58" s="11"/>
      <c r="L58" s="11"/>
      <c r="M58" s="11" t="str">
        <f t="shared" ref="M58:M121" si="5">B58</f>
        <v>Pcomp</v>
      </c>
      <c r="N58" s="6" t="s">
        <v>20</v>
      </c>
      <c r="O58" s="11"/>
      <c r="P58" s="11"/>
      <c r="Q58" s="11"/>
      <c r="R58" s="11"/>
      <c r="S58" s="11"/>
      <c r="T58" s="11"/>
      <c r="U58" s="11"/>
      <c r="W58" s="11"/>
      <c r="X58" s="11" t="str">
        <f>B58</f>
        <v>Pcomp</v>
      </c>
      <c r="Y58" s="6" t="s">
        <v>20</v>
      </c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2:37">
      <c r="C59" s="8">
        <v>1</v>
      </c>
      <c r="D59" s="11">
        <v>49</v>
      </c>
      <c r="E59" s="11">
        <v>76</v>
      </c>
      <c r="F59" s="11">
        <v>107</v>
      </c>
      <c r="G59" s="11">
        <v>124</v>
      </c>
      <c r="H59" s="11">
        <v>139</v>
      </c>
      <c r="I59" s="11">
        <v>149</v>
      </c>
      <c r="L59" s="11"/>
      <c r="M59" s="11"/>
      <c r="N59" s="8">
        <v>1</v>
      </c>
      <c r="O59" s="11">
        <v>104</v>
      </c>
      <c r="P59" s="11">
        <v>103</v>
      </c>
      <c r="Q59" s="11">
        <v>129</v>
      </c>
      <c r="R59" s="11">
        <v>120</v>
      </c>
      <c r="S59" s="11">
        <v>137</v>
      </c>
      <c r="T59" s="11">
        <v>135</v>
      </c>
      <c r="U59" s="11">
        <v>128</v>
      </c>
      <c r="W59" s="11"/>
      <c r="X59" s="11"/>
      <c r="Y59" s="8">
        <v>1</v>
      </c>
      <c r="Z59" s="11">
        <v>117</v>
      </c>
      <c r="AA59" s="11">
        <v>114.4</v>
      </c>
      <c r="AB59" s="11">
        <v>113.8</v>
      </c>
      <c r="AC59" s="11">
        <v>97.6</v>
      </c>
      <c r="AD59" s="11">
        <v>108.8</v>
      </c>
      <c r="AE59" s="11">
        <v>115</v>
      </c>
      <c r="AF59" s="11">
        <v>105.4</v>
      </c>
      <c r="AG59" s="11">
        <v>111.2</v>
      </c>
      <c r="AH59" s="11">
        <v>116</v>
      </c>
      <c r="AI59" s="11">
        <v>113</v>
      </c>
      <c r="AJ59" s="11">
        <v>114.7</v>
      </c>
      <c r="AK59" s="11">
        <v>117.2</v>
      </c>
    </row>
    <row r="60" spans="2:37">
      <c r="C60" s="8">
        <v>2</v>
      </c>
      <c r="D60" s="11">
        <v>49</v>
      </c>
      <c r="E60" s="11">
        <v>76</v>
      </c>
      <c r="F60" s="11">
        <v>107</v>
      </c>
      <c r="G60" s="11">
        <v>125</v>
      </c>
      <c r="H60" s="11">
        <v>139</v>
      </c>
      <c r="I60" s="11">
        <v>149</v>
      </c>
      <c r="L60" s="11"/>
      <c r="M60" s="11"/>
      <c r="N60" s="8">
        <v>2</v>
      </c>
      <c r="O60" s="11">
        <v>105</v>
      </c>
      <c r="P60" s="11">
        <v>104</v>
      </c>
      <c r="Q60" s="11">
        <v>129</v>
      </c>
      <c r="R60" s="11">
        <v>119</v>
      </c>
      <c r="S60" s="11">
        <v>137</v>
      </c>
      <c r="T60" s="11">
        <v>135</v>
      </c>
      <c r="U60" s="11">
        <v>127</v>
      </c>
      <c r="W60" s="11"/>
      <c r="X60" s="11"/>
      <c r="Y60" s="8">
        <v>2</v>
      </c>
      <c r="Z60" s="11">
        <v>115.3</v>
      </c>
      <c r="AA60" s="11">
        <v>115.1</v>
      </c>
      <c r="AB60" s="11">
        <v>115.2</v>
      </c>
      <c r="AC60" s="11">
        <v>97.4</v>
      </c>
      <c r="AD60" s="11">
        <v>106.7</v>
      </c>
      <c r="AE60" s="11">
        <v>115.1</v>
      </c>
      <c r="AF60" s="11">
        <v>103.1</v>
      </c>
      <c r="AG60" s="11">
        <v>109</v>
      </c>
      <c r="AH60" s="11">
        <v>115.2</v>
      </c>
      <c r="AI60" s="11">
        <v>110</v>
      </c>
      <c r="AJ60" s="11">
        <v>114</v>
      </c>
      <c r="AK60" s="11">
        <v>118.1</v>
      </c>
    </row>
    <row r="61" spans="2:37">
      <c r="C61" s="8">
        <v>3</v>
      </c>
      <c r="D61" s="11">
        <v>50</v>
      </c>
      <c r="E61" s="11">
        <v>76</v>
      </c>
      <c r="F61" s="11">
        <v>107</v>
      </c>
      <c r="G61" s="11">
        <v>125</v>
      </c>
      <c r="H61" s="11">
        <v>140</v>
      </c>
      <c r="I61" s="11">
        <v>150</v>
      </c>
      <c r="L61" s="11"/>
      <c r="M61" s="11"/>
      <c r="N61" s="8">
        <v>3</v>
      </c>
      <c r="O61" s="11">
        <v>104</v>
      </c>
      <c r="P61" s="11">
        <v>104</v>
      </c>
      <c r="Q61" s="11">
        <v>129</v>
      </c>
      <c r="R61" s="11">
        <v>120</v>
      </c>
      <c r="S61" s="11">
        <v>139</v>
      </c>
      <c r="T61" s="11">
        <v>135</v>
      </c>
      <c r="U61" s="11">
        <v>127</v>
      </c>
      <c r="W61" s="11"/>
      <c r="X61" s="11"/>
      <c r="Y61" s="8">
        <v>3</v>
      </c>
      <c r="Z61" s="11">
        <v>116.4</v>
      </c>
      <c r="AA61" s="11">
        <v>114.2</v>
      </c>
      <c r="AB61" s="11">
        <v>113.5</v>
      </c>
      <c r="AC61" s="11">
        <v>97</v>
      </c>
      <c r="AD61" s="11">
        <v>107.8</v>
      </c>
      <c r="AE61" s="11">
        <v>116.8</v>
      </c>
      <c r="AF61" s="11">
        <v>105.7</v>
      </c>
      <c r="AG61" s="11">
        <v>109.9</v>
      </c>
      <c r="AH61" s="11">
        <v>111</v>
      </c>
      <c r="AI61" s="11">
        <v>109</v>
      </c>
      <c r="AJ61" s="11">
        <v>113.3</v>
      </c>
      <c r="AK61" s="11">
        <v>117.8</v>
      </c>
    </row>
    <row r="62" spans="2:37">
      <c r="C62" s="8">
        <v>4</v>
      </c>
      <c r="D62" s="11">
        <v>49</v>
      </c>
      <c r="E62" s="11">
        <v>75.5</v>
      </c>
      <c r="F62" s="11">
        <v>107</v>
      </c>
      <c r="G62" s="11">
        <v>125</v>
      </c>
      <c r="H62" s="11">
        <v>140</v>
      </c>
      <c r="I62" s="11">
        <v>149</v>
      </c>
      <c r="L62" s="11"/>
      <c r="M62" s="11"/>
      <c r="N62" s="8">
        <v>4</v>
      </c>
      <c r="O62" s="11">
        <v>103</v>
      </c>
      <c r="P62" s="11">
        <v>102</v>
      </c>
      <c r="Q62" s="11">
        <v>128</v>
      </c>
      <c r="R62" s="11">
        <v>120</v>
      </c>
      <c r="S62" s="11">
        <v>135</v>
      </c>
      <c r="T62" s="11">
        <v>135</v>
      </c>
      <c r="U62" s="11">
        <v>126</v>
      </c>
      <c r="W62" s="11"/>
      <c r="X62" s="11"/>
      <c r="Y62" s="8">
        <v>4</v>
      </c>
      <c r="Z62" s="11">
        <v>116.2</v>
      </c>
      <c r="AA62" s="11">
        <v>113</v>
      </c>
      <c r="AB62" s="11">
        <v>112.7</v>
      </c>
      <c r="AC62" s="11">
        <v>96.1</v>
      </c>
      <c r="AD62" s="11">
        <v>106.1</v>
      </c>
      <c r="AE62" s="11">
        <v>114.6</v>
      </c>
      <c r="AF62" s="11">
        <v>104.4</v>
      </c>
      <c r="AG62" s="11">
        <v>109.9</v>
      </c>
      <c r="AH62" s="11">
        <v>114.5</v>
      </c>
      <c r="AI62" s="11">
        <v>112</v>
      </c>
      <c r="AJ62" s="11">
        <v>112.8</v>
      </c>
      <c r="AK62" s="11">
        <v>117.2</v>
      </c>
    </row>
    <row r="63" spans="2:37">
      <c r="C63" s="8">
        <v>5</v>
      </c>
      <c r="D63" s="11">
        <v>49</v>
      </c>
      <c r="E63" s="11">
        <v>75</v>
      </c>
      <c r="F63" s="11">
        <v>107</v>
      </c>
      <c r="G63" s="11">
        <v>125</v>
      </c>
      <c r="H63" s="11">
        <v>140</v>
      </c>
      <c r="I63" s="11">
        <v>148</v>
      </c>
      <c r="L63" s="11"/>
      <c r="M63" s="11"/>
      <c r="N63" s="8">
        <v>5</v>
      </c>
      <c r="O63" s="11">
        <v>102</v>
      </c>
      <c r="P63" s="11">
        <v>103</v>
      </c>
      <c r="Q63" s="11">
        <v>128</v>
      </c>
      <c r="R63" s="11">
        <v>119</v>
      </c>
      <c r="S63" s="11">
        <v>136</v>
      </c>
      <c r="T63" s="11">
        <v>133</v>
      </c>
      <c r="U63" s="11">
        <v>126</v>
      </c>
      <c r="W63" s="11"/>
      <c r="X63" s="11"/>
      <c r="Y63" s="8">
        <v>5</v>
      </c>
      <c r="Z63" s="11">
        <v>116.4</v>
      </c>
      <c r="AA63" s="11">
        <v>115.4</v>
      </c>
      <c r="AB63" s="11">
        <v>113.3</v>
      </c>
      <c r="AC63" s="11">
        <v>96.9</v>
      </c>
      <c r="AD63" s="11">
        <v>106.6</v>
      </c>
      <c r="AE63" s="11">
        <v>115.2</v>
      </c>
      <c r="AF63" s="11">
        <v>103.8</v>
      </c>
      <c r="AG63" s="11">
        <v>110.3</v>
      </c>
      <c r="AH63" s="11">
        <v>113.3</v>
      </c>
      <c r="AI63" s="11">
        <v>111</v>
      </c>
      <c r="AJ63" s="11">
        <v>114</v>
      </c>
      <c r="AK63" s="11">
        <v>116.8</v>
      </c>
    </row>
    <row r="64" spans="2:37">
      <c r="C64" s="8">
        <v>6</v>
      </c>
      <c r="D64" s="11">
        <v>50</v>
      </c>
      <c r="E64" s="11">
        <v>77</v>
      </c>
      <c r="F64" s="11">
        <v>107</v>
      </c>
      <c r="G64" s="11">
        <v>126</v>
      </c>
      <c r="H64" s="11">
        <v>140</v>
      </c>
      <c r="I64" s="11">
        <v>149</v>
      </c>
      <c r="L64" s="11"/>
      <c r="M64" s="11"/>
      <c r="N64" s="8">
        <v>6</v>
      </c>
      <c r="O64" s="11">
        <v>104</v>
      </c>
      <c r="P64" s="11">
        <v>104</v>
      </c>
      <c r="Q64" s="11">
        <v>128</v>
      </c>
      <c r="R64" s="11">
        <v>118</v>
      </c>
      <c r="S64" s="11">
        <v>136</v>
      </c>
      <c r="T64" s="11">
        <v>134</v>
      </c>
      <c r="U64" s="11">
        <v>128</v>
      </c>
      <c r="W64" s="11"/>
      <c r="X64" s="11"/>
      <c r="Y64" s="8">
        <v>6</v>
      </c>
      <c r="Z64" s="11">
        <v>117.1</v>
      </c>
      <c r="AA64" s="11">
        <v>115.4</v>
      </c>
      <c r="AB64" s="11">
        <v>116.2</v>
      </c>
      <c r="AC64" s="11">
        <v>97.5</v>
      </c>
      <c r="AD64" s="11">
        <v>107.2</v>
      </c>
      <c r="AE64" s="11">
        <v>116</v>
      </c>
      <c r="AF64" s="11">
        <v>106.4</v>
      </c>
      <c r="AG64" s="11">
        <v>110.5</v>
      </c>
      <c r="AH64" s="11">
        <v>116</v>
      </c>
      <c r="AI64" s="11">
        <v>111</v>
      </c>
      <c r="AJ64" s="11">
        <v>114.3</v>
      </c>
      <c r="AK64" s="11">
        <v>117</v>
      </c>
    </row>
    <row r="65" spans="2:37">
      <c r="C65" s="8">
        <v>7</v>
      </c>
      <c r="D65" s="11"/>
      <c r="E65" s="11"/>
      <c r="F65" s="11"/>
      <c r="G65" s="11"/>
      <c r="H65" s="11"/>
      <c r="I65" s="11"/>
      <c r="L65" s="11"/>
      <c r="M65" s="11"/>
      <c r="N65" s="8">
        <v>7</v>
      </c>
      <c r="O65" s="11"/>
      <c r="P65" s="11"/>
      <c r="Q65" s="11"/>
      <c r="R65" s="11"/>
      <c r="S65" s="11"/>
      <c r="T65" s="11"/>
      <c r="U65" s="11"/>
      <c r="W65" s="11"/>
      <c r="X65" s="11"/>
      <c r="Y65" s="8">
        <v>7</v>
      </c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2:37">
      <c r="C66" s="8">
        <v>8</v>
      </c>
      <c r="D66" s="11"/>
      <c r="E66" s="11"/>
      <c r="F66" s="11"/>
      <c r="G66" s="11"/>
      <c r="H66" s="11"/>
      <c r="I66" s="11"/>
      <c r="L66" s="11"/>
      <c r="M66" s="11"/>
      <c r="N66" s="8">
        <v>8</v>
      </c>
      <c r="O66" s="11"/>
      <c r="P66" s="11"/>
      <c r="Q66" s="11"/>
      <c r="R66" s="11"/>
      <c r="S66" s="11"/>
      <c r="T66" s="11"/>
      <c r="U66" s="11"/>
      <c r="W66" s="11"/>
      <c r="X66" s="11"/>
      <c r="Y66" s="8">
        <v>8</v>
      </c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2:37">
      <c r="C67" s="8">
        <v>9</v>
      </c>
      <c r="D67" s="11"/>
      <c r="E67" s="11"/>
      <c r="F67" s="11"/>
      <c r="G67" s="11"/>
      <c r="H67" s="11"/>
      <c r="I67" s="11"/>
      <c r="L67" s="11"/>
      <c r="M67" s="11"/>
      <c r="N67" s="8">
        <v>9</v>
      </c>
      <c r="O67" s="11"/>
      <c r="P67" s="11"/>
      <c r="Q67" s="11"/>
      <c r="R67" s="11"/>
      <c r="S67" s="11"/>
      <c r="T67" s="11"/>
      <c r="U67" s="11"/>
      <c r="W67" s="11"/>
      <c r="X67" s="11"/>
      <c r="Y67" s="8">
        <v>9</v>
      </c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2:37">
      <c r="C68" s="8">
        <v>10</v>
      </c>
      <c r="D68" s="11"/>
      <c r="E68" s="11"/>
      <c r="F68" s="11"/>
      <c r="G68" s="11"/>
      <c r="H68" s="11"/>
      <c r="I68" s="11"/>
      <c r="L68" s="11"/>
      <c r="M68" s="11"/>
      <c r="N68" s="8">
        <v>10</v>
      </c>
      <c r="O68" s="11"/>
      <c r="P68" s="11"/>
      <c r="Q68" s="11"/>
      <c r="R68" s="11"/>
      <c r="S68" s="11"/>
      <c r="T68" s="11"/>
      <c r="U68" s="11"/>
      <c r="W68" s="11"/>
      <c r="X68" s="11"/>
      <c r="Y68" s="8">
        <v>10</v>
      </c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2:37">
      <c r="C69" s="8">
        <v>11</v>
      </c>
      <c r="D69" s="11"/>
      <c r="E69" s="11"/>
      <c r="F69" s="11"/>
      <c r="G69" s="11"/>
      <c r="H69" s="11"/>
      <c r="I69" s="11"/>
      <c r="L69" s="11"/>
      <c r="M69" s="11"/>
      <c r="N69" s="8">
        <v>11</v>
      </c>
      <c r="O69" s="11"/>
      <c r="P69" s="11"/>
      <c r="Q69" s="11"/>
      <c r="R69" s="11"/>
      <c r="S69" s="11"/>
      <c r="T69" s="11"/>
      <c r="U69" s="11"/>
      <c r="W69" s="11"/>
      <c r="X69" s="11"/>
      <c r="Y69" s="8">
        <v>11</v>
      </c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2:37">
      <c r="C70" s="8">
        <v>12</v>
      </c>
      <c r="D70" s="11"/>
      <c r="E70" s="11"/>
      <c r="F70" s="11"/>
      <c r="G70" s="11"/>
      <c r="H70" s="11"/>
      <c r="I70" s="11"/>
      <c r="L70" s="11"/>
      <c r="M70" s="11"/>
      <c r="N70" s="8">
        <v>12</v>
      </c>
      <c r="O70" s="11"/>
      <c r="P70" s="11"/>
      <c r="Q70" s="11"/>
      <c r="R70" s="11"/>
      <c r="S70" s="11"/>
      <c r="T70" s="11"/>
      <c r="U70" s="11"/>
      <c r="W70" s="11"/>
      <c r="X70" s="11"/>
      <c r="Y70" s="8">
        <v>12</v>
      </c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2:37">
      <c r="B71" t="s">
        <v>22</v>
      </c>
      <c r="C71" s="6" t="s">
        <v>20</v>
      </c>
      <c r="D71" s="11"/>
      <c r="E71" s="11"/>
      <c r="F71" s="11"/>
      <c r="G71" s="11"/>
      <c r="H71" s="11"/>
      <c r="I71" s="11"/>
      <c r="L71" s="11"/>
      <c r="M71" s="11" t="str">
        <f t="shared" si="5"/>
        <v>IMEP</v>
      </c>
      <c r="N71" s="6" t="s">
        <v>20</v>
      </c>
      <c r="O71" s="11"/>
      <c r="P71" s="11"/>
      <c r="Q71" s="11"/>
      <c r="R71" s="11"/>
      <c r="S71" s="11"/>
      <c r="T71" s="11"/>
      <c r="U71" s="11"/>
      <c r="W71" s="11"/>
      <c r="X71" s="11" t="str">
        <f t="shared" ref="X71:X113" si="6">B71</f>
        <v>IMEP</v>
      </c>
      <c r="Y71" s="6" t="s">
        <v>20</v>
      </c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2:37" s="11" customFormat="1">
      <c r="C72" s="8">
        <v>1</v>
      </c>
      <c r="D72" s="11">
        <v>8.0299999999999994</v>
      </c>
      <c r="E72" s="11">
        <v>11.86</v>
      </c>
      <c r="F72" s="11">
        <v>15.29</v>
      </c>
      <c r="G72" s="11">
        <v>17.16</v>
      </c>
      <c r="H72" s="11">
        <v>18.350000000000001</v>
      </c>
      <c r="I72" s="11">
        <v>18.41</v>
      </c>
      <c r="N72" s="8">
        <v>1</v>
      </c>
      <c r="Y72" s="8">
        <v>1</v>
      </c>
      <c r="Z72" s="11">
        <v>14.4</v>
      </c>
      <c r="AA72" s="11">
        <v>13.6</v>
      </c>
      <c r="AB72" s="11">
        <v>13.2</v>
      </c>
      <c r="AC72" s="11">
        <v>11.9</v>
      </c>
      <c r="AD72" s="11">
        <v>13.5</v>
      </c>
      <c r="AE72" s="11">
        <v>13.8</v>
      </c>
      <c r="AF72" s="11">
        <v>13.5</v>
      </c>
      <c r="AG72" s="11">
        <v>13.8</v>
      </c>
      <c r="AH72" s="11">
        <v>14.1</v>
      </c>
      <c r="AI72" s="11">
        <v>14</v>
      </c>
      <c r="AJ72" s="11">
        <v>14.1</v>
      </c>
      <c r="AK72" s="11">
        <v>14.2</v>
      </c>
    </row>
    <row r="73" spans="2:37" s="11" customFormat="1">
      <c r="C73" s="8">
        <v>2</v>
      </c>
      <c r="D73" s="11">
        <v>7.73</v>
      </c>
      <c r="E73" s="11">
        <v>11.58</v>
      </c>
      <c r="F73" s="11">
        <v>14.99</v>
      </c>
      <c r="G73" s="11">
        <v>16.86</v>
      </c>
      <c r="H73" s="11">
        <v>18.07</v>
      </c>
      <c r="I73" s="11">
        <v>18.190000000000001</v>
      </c>
      <c r="N73" s="8">
        <v>2</v>
      </c>
      <c r="Y73" s="8">
        <v>2</v>
      </c>
      <c r="Z73" s="11">
        <v>13.8</v>
      </c>
      <c r="AA73" s="11">
        <v>13.2</v>
      </c>
      <c r="AB73" s="11">
        <v>13.7</v>
      </c>
      <c r="AC73" s="11">
        <v>11.5</v>
      </c>
      <c r="AD73" s="11">
        <v>13</v>
      </c>
      <c r="AE73" s="11">
        <v>13.6</v>
      </c>
      <c r="AF73" s="11">
        <v>13</v>
      </c>
      <c r="AG73" s="11">
        <v>13.7</v>
      </c>
      <c r="AH73" s="11">
        <v>13.9</v>
      </c>
      <c r="AI73" s="11">
        <v>13.4</v>
      </c>
      <c r="AJ73" s="11">
        <v>14</v>
      </c>
      <c r="AK73" s="11">
        <v>14.2</v>
      </c>
    </row>
    <row r="74" spans="2:37" s="11" customFormat="1">
      <c r="C74" s="8">
        <v>3</v>
      </c>
      <c r="D74" s="11">
        <v>7.95</v>
      </c>
      <c r="E74" s="11">
        <v>11.88</v>
      </c>
      <c r="F74" s="11">
        <v>15.28</v>
      </c>
      <c r="G74" s="11">
        <v>17.149999999999999</v>
      </c>
      <c r="H74" s="11">
        <v>18.37</v>
      </c>
      <c r="I74" s="11">
        <v>18.489999999999998</v>
      </c>
      <c r="N74" s="8">
        <v>3</v>
      </c>
      <c r="Y74" s="8">
        <v>3</v>
      </c>
      <c r="Z74" s="11">
        <v>14.1</v>
      </c>
      <c r="AA74" s="11">
        <v>13.4</v>
      </c>
      <c r="AB74" s="11">
        <v>13.6</v>
      </c>
      <c r="AC74" s="11">
        <v>11.8</v>
      </c>
      <c r="AD74" s="11">
        <v>13.4</v>
      </c>
      <c r="AE74" s="11">
        <v>14</v>
      </c>
      <c r="AF74" s="11">
        <v>13.2</v>
      </c>
      <c r="AG74" s="11">
        <v>13.7</v>
      </c>
      <c r="AH74" s="11">
        <v>13.6</v>
      </c>
      <c r="AI74" s="11">
        <v>13.9</v>
      </c>
      <c r="AJ74" s="11">
        <v>14</v>
      </c>
      <c r="AK74" s="11">
        <v>14.4</v>
      </c>
    </row>
    <row r="75" spans="2:37" s="11" customFormat="1">
      <c r="C75" s="8">
        <v>4</v>
      </c>
      <c r="D75" s="11">
        <v>7.86</v>
      </c>
      <c r="E75" s="11">
        <v>11.63</v>
      </c>
      <c r="F75" s="11">
        <v>15.04</v>
      </c>
      <c r="G75" s="11">
        <v>17.09</v>
      </c>
      <c r="H75" s="11">
        <v>18.29</v>
      </c>
      <c r="I75" s="11">
        <v>18.47</v>
      </c>
      <c r="N75" s="8">
        <v>4</v>
      </c>
      <c r="Y75" s="8">
        <v>4</v>
      </c>
      <c r="Z75" s="11">
        <v>14</v>
      </c>
      <c r="AA75" s="11">
        <v>13.2</v>
      </c>
      <c r="AB75" s="11">
        <v>13.7</v>
      </c>
      <c r="AC75" s="11">
        <v>12.3</v>
      </c>
      <c r="AD75" s="11">
        <v>13.9</v>
      </c>
      <c r="AE75" s="11">
        <v>14.4</v>
      </c>
      <c r="AF75" s="11">
        <v>13.9</v>
      </c>
      <c r="AG75" s="11">
        <v>14.5</v>
      </c>
      <c r="AH75" s="11">
        <v>14.2</v>
      </c>
      <c r="AI75" s="11">
        <v>14.2</v>
      </c>
      <c r="AJ75" s="11">
        <v>14.1</v>
      </c>
      <c r="AK75" s="11">
        <v>14.6</v>
      </c>
    </row>
    <row r="76" spans="2:37" s="11" customFormat="1">
      <c r="C76" s="8">
        <v>5</v>
      </c>
      <c r="D76" s="11">
        <v>7.78</v>
      </c>
      <c r="E76" s="11">
        <v>11.71</v>
      </c>
      <c r="F76" s="11">
        <v>15.22</v>
      </c>
      <c r="G76" s="11">
        <v>17</v>
      </c>
      <c r="H76" s="11">
        <v>18.12</v>
      </c>
      <c r="I76" s="11">
        <v>18.239999999999998</v>
      </c>
      <c r="N76" s="8">
        <v>5</v>
      </c>
      <c r="Y76" s="8">
        <v>5</v>
      </c>
      <c r="Z76" s="11">
        <v>14.1</v>
      </c>
      <c r="AA76" s="11">
        <v>13.7</v>
      </c>
      <c r="AB76" s="11">
        <v>13.8</v>
      </c>
      <c r="AC76" s="11">
        <v>11.8</v>
      </c>
      <c r="AD76" s="11">
        <v>13.5</v>
      </c>
      <c r="AE76" s="11">
        <v>13.9</v>
      </c>
      <c r="AF76" s="11">
        <v>13.3</v>
      </c>
      <c r="AG76" s="11">
        <v>14</v>
      </c>
      <c r="AH76" s="11">
        <v>13.5</v>
      </c>
      <c r="AI76" s="11">
        <v>13.7</v>
      </c>
      <c r="AJ76" s="11">
        <v>13.8</v>
      </c>
      <c r="AK76" s="11">
        <v>14</v>
      </c>
    </row>
    <row r="77" spans="2:37" s="11" customFormat="1">
      <c r="C77" s="8">
        <v>6</v>
      </c>
      <c r="D77" s="11">
        <v>8.01</v>
      </c>
      <c r="E77" s="11">
        <v>11.8</v>
      </c>
      <c r="F77" s="11">
        <v>15.13</v>
      </c>
      <c r="G77" s="11">
        <v>16.91</v>
      </c>
      <c r="H77" s="11">
        <v>18.2</v>
      </c>
      <c r="I77" s="11">
        <v>18.32</v>
      </c>
      <c r="N77" s="8">
        <v>6</v>
      </c>
      <c r="Y77" s="8">
        <v>6</v>
      </c>
      <c r="Z77" s="11">
        <v>14.4</v>
      </c>
      <c r="AA77" s="11">
        <v>13.7</v>
      </c>
      <c r="AB77" s="11">
        <v>13.7</v>
      </c>
      <c r="AC77" s="11">
        <v>12</v>
      </c>
      <c r="AD77" s="11">
        <v>13.5</v>
      </c>
      <c r="AE77" s="11">
        <v>14.2</v>
      </c>
      <c r="AF77" s="11">
        <v>13.8</v>
      </c>
      <c r="AG77" s="11">
        <v>14.2</v>
      </c>
      <c r="AH77" s="11">
        <v>14.1</v>
      </c>
      <c r="AI77" s="11">
        <v>13.8</v>
      </c>
      <c r="AJ77" s="11">
        <v>14.3</v>
      </c>
      <c r="AK77" s="11">
        <v>14.4</v>
      </c>
    </row>
    <row r="78" spans="2:37" s="11" customFormat="1">
      <c r="C78" s="8">
        <v>7</v>
      </c>
      <c r="N78" s="8">
        <v>7</v>
      </c>
      <c r="Y78" s="8">
        <v>7</v>
      </c>
    </row>
    <row r="79" spans="2:37" s="11" customFormat="1">
      <c r="C79" s="8">
        <v>8</v>
      </c>
      <c r="N79" s="8">
        <v>8</v>
      </c>
      <c r="Y79" s="8">
        <v>8</v>
      </c>
    </row>
    <row r="80" spans="2:37" s="11" customFormat="1">
      <c r="C80" s="8">
        <v>9</v>
      </c>
      <c r="N80" s="8">
        <v>9</v>
      </c>
      <c r="Y80" s="8">
        <v>9</v>
      </c>
    </row>
    <row r="81" spans="2:37" s="11" customFormat="1">
      <c r="C81" s="8">
        <v>10</v>
      </c>
      <c r="N81" s="8">
        <v>10</v>
      </c>
      <c r="Y81" s="8">
        <v>10</v>
      </c>
    </row>
    <row r="82" spans="2:37" s="11" customFormat="1">
      <c r="C82" s="8">
        <v>11</v>
      </c>
      <c r="N82" s="8">
        <v>11</v>
      </c>
      <c r="Y82" s="8">
        <v>11</v>
      </c>
    </row>
    <row r="83" spans="2:37" s="11" customFormat="1">
      <c r="C83" s="8">
        <v>12</v>
      </c>
      <c r="N83" s="8">
        <v>12</v>
      </c>
      <c r="Y83" s="8">
        <v>12</v>
      </c>
    </row>
    <row r="84" spans="2:37">
      <c r="B84" t="s">
        <v>23</v>
      </c>
      <c r="C84" s="6" t="s">
        <v>15</v>
      </c>
      <c r="D84" s="11"/>
      <c r="E84" s="11"/>
      <c r="F84" s="11"/>
      <c r="G84" s="11"/>
      <c r="H84" s="11"/>
      <c r="I84" s="11"/>
      <c r="L84" s="11"/>
      <c r="M84" s="11" t="str">
        <f t="shared" si="5"/>
        <v>Fuel Pump Index</v>
      </c>
      <c r="N84" s="6" t="s">
        <v>15</v>
      </c>
      <c r="O84" s="11"/>
      <c r="P84" s="11"/>
      <c r="Q84" s="11"/>
      <c r="R84" s="11"/>
      <c r="S84" s="11"/>
      <c r="T84" s="11"/>
      <c r="U84" s="11"/>
      <c r="W84" s="11"/>
      <c r="X84" s="11" t="str">
        <f t="shared" si="6"/>
        <v>Fuel Pump Index</v>
      </c>
      <c r="Y84" s="6" t="s">
        <v>15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2:37" s="11" customFormat="1">
      <c r="C85" s="8">
        <v>1</v>
      </c>
      <c r="D85" s="11">
        <v>42</v>
      </c>
      <c r="E85" s="11">
        <v>56</v>
      </c>
      <c r="F85" s="11">
        <v>70</v>
      </c>
      <c r="G85" s="11">
        <v>77</v>
      </c>
      <c r="H85" s="11">
        <v>85</v>
      </c>
      <c r="I85" s="11">
        <v>90</v>
      </c>
      <c r="N85" s="8">
        <v>1</v>
      </c>
      <c r="O85" s="11">
        <v>75</v>
      </c>
      <c r="P85" s="11">
        <v>73</v>
      </c>
      <c r="Q85" s="11">
        <v>84</v>
      </c>
      <c r="R85" s="11">
        <v>80</v>
      </c>
      <c r="S85" s="11">
        <v>89</v>
      </c>
      <c r="T85" s="11">
        <v>85</v>
      </c>
      <c r="U85" s="11">
        <v>81</v>
      </c>
      <c r="Y85" s="8">
        <v>1</v>
      </c>
      <c r="Z85" s="11">
        <v>80.5</v>
      </c>
      <c r="AA85" s="11">
        <v>73</v>
      </c>
      <c r="AB85" s="11">
        <v>83</v>
      </c>
      <c r="AC85" s="11">
        <v>71</v>
      </c>
      <c r="AD85" s="11">
        <v>79</v>
      </c>
      <c r="AE85" s="11">
        <v>79</v>
      </c>
      <c r="AF85" s="11">
        <v>79</v>
      </c>
      <c r="AG85" s="11">
        <v>82</v>
      </c>
      <c r="AH85" s="11">
        <v>82</v>
      </c>
      <c r="AI85" s="11">
        <v>82</v>
      </c>
      <c r="AJ85" s="11">
        <v>82</v>
      </c>
      <c r="AK85" s="11">
        <v>81</v>
      </c>
    </row>
    <row r="86" spans="2:37" s="11" customFormat="1">
      <c r="C86" s="8">
        <v>2</v>
      </c>
      <c r="D86" s="11">
        <v>42</v>
      </c>
      <c r="E86" s="11">
        <v>56</v>
      </c>
      <c r="F86" s="11">
        <v>70</v>
      </c>
      <c r="G86" s="11">
        <v>77</v>
      </c>
      <c r="H86" s="11">
        <v>85</v>
      </c>
      <c r="I86" s="11">
        <v>90</v>
      </c>
      <c r="N86" s="8">
        <v>2</v>
      </c>
      <c r="O86" s="11">
        <v>75</v>
      </c>
      <c r="P86" s="11">
        <v>72</v>
      </c>
      <c r="Q86" s="11">
        <v>84</v>
      </c>
      <c r="R86" s="11">
        <v>80</v>
      </c>
      <c r="S86" s="11">
        <v>88</v>
      </c>
      <c r="T86" s="11">
        <v>85</v>
      </c>
      <c r="U86" s="11">
        <v>81</v>
      </c>
      <c r="Y86" s="8">
        <v>2</v>
      </c>
      <c r="Z86" s="11">
        <v>81</v>
      </c>
      <c r="AA86" s="11">
        <v>71</v>
      </c>
      <c r="AB86" s="11">
        <v>80</v>
      </c>
      <c r="AC86" s="11">
        <v>71</v>
      </c>
      <c r="AD86" s="11">
        <v>76</v>
      </c>
      <c r="AE86" s="11">
        <v>79</v>
      </c>
      <c r="AF86" s="11">
        <v>78</v>
      </c>
      <c r="AG86" s="11">
        <v>81</v>
      </c>
      <c r="AH86" s="11">
        <v>80</v>
      </c>
      <c r="AI86" s="11">
        <v>79</v>
      </c>
      <c r="AJ86" s="11">
        <v>81</v>
      </c>
      <c r="AK86" s="11">
        <v>80</v>
      </c>
    </row>
    <row r="87" spans="2:37" s="11" customFormat="1">
      <c r="C87" s="8">
        <v>3</v>
      </c>
      <c r="D87" s="11">
        <v>42</v>
      </c>
      <c r="E87" s="11">
        <v>56</v>
      </c>
      <c r="F87" s="11">
        <v>70</v>
      </c>
      <c r="G87" s="11">
        <v>77</v>
      </c>
      <c r="H87" s="11">
        <v>85</v>
      </c>
      <c r="I87" s="11">
        <v>90</v>
      </c>
      <c r="N87" s="8">
        <v>3</v>
      </c>
      <c r="O87" s="11">
        <v>76</v>
      </c>
      <c r="P87" s="11">
        <v>73</v>
      </c>
      <c r="Q87" s="11">
        <v>84</v>
      </c>
      <c r="R87" s="11">
        <v>80</v>
      </c>
      <c r="S87" s="11">
        <v>88</v>
      </c>
      <c r="T87" s="11">
        <v>85</v>
      </c>
      <c r="U87" s="11">
        <v>81</v>
      </c>
      <c r="Y87" s="8">
        <v>3</v>
      </c>
      <c r="Z87" s="11">
        <v>80</v>
      </c>
      <c r="AA87" s="11">
        <v>74</v>
      </c>
      <c r="AB87" s="11">
        <v>80</v>
      </c>
      <c r="AC87" s="11">
        <v>70</v>
      </c>
      <c r="AD87" s="11">
        <v>76</v>
      </c>
      <c r="AE87" s="11">
        <v>79</v>
      </c>
      <c r="AF87" s="11">
        <v>78</v>
      </c>
      <c r="AG87" s="11">
        <v>81</v>
      </c>
      <c r="AH87" s="11">
        <v>80</v>
      </c>
      <c r="AI87" s="11">
        <v>81</v>
      </c>
      <c r="AJ87" s="11">
        <v>81</v>
      </c>
      <c r="AK87" s="11">
        <v>82</v>
      </c>
    </row>
    <row r="88" spans="2:37" s="11" customFormat="1">
      <c r="C88" s="8">
        <v>4</v>
      </c>
      <c r="D88" s="11">
        <v>42</v>
      </c>
      <c r="E88" s="11">
        <v>56</v>
      </c>
      <c r="F88" s="11">
        <v>70</v>
      </c>
      <c r="G88" s="11">
        <v>77</v>
      </c>
      <c r="H88" s="11">
        <v>85</v>
      </c>
      <c r="I88" s="11">
        <v>90</v>
      </c>
      <c r="N88" s="8">
        <v>4</v>
      </c>
      <c r="O88" s="11">
        <v>75</v>
      </c>
      <c r="P88" s="11">
        <v>72</v>
      </c>
      <c r="Q88" s="11">
        <v>84</v>
      </c>
      <c r="R88" s="11">
        <v>80</v>
      </c>
      <c r="S88" s="11">
        <v>88</v>
      </c>
      <c r="T88" s="11">
        <v>85</v>
      </c>
      <c r="U88" s="11">
        <v>81</v>
      </c>
      <c r="Y88" s="8">
        <v>4</v>
      </c>
      <c r="Z88" s="11">
        <v>80</v>
      </c>
      <c r="AA88" s="11">
        <v>71</v>
      </c>
      <c r="AB88" s="11">
        <v>79</v>
      </c>
      <c r="AC88" s="11">
        <v>71</v>
      </c>
      <c r="AD88" s="11">
        <v>78</v>
      </c>
      <c r="AE88" s="11">
        <v>79</v>
      </c>
      <c r="AF88" s="11">
        <v>78</v>
      </c>
      <c r="AG88" s="11">
        <v>82</v>
      </c>
      <c r="AH88" s="11">
        <v>82</v>
      </c>
      <c r="AI88" s="11">
        <v>82</v>
      </c>
      <c r="AJ88" s="11">
        <v>82</v>
      </c>
      <c r="AK88" s="11">
        <v>82</v>
      </c>
    </row>
    <row r="89" spans="2:37" s="11" customFormat="1">
      <c r="C89" s="8">
        <v>5</v>
      </c>
      <c r="D89" s="11">
        <v>42</v>
      </c>
      <c r="E89" s="11">
        <v>56</v>
      </c>
      <c r="F89" s="11">
        <v>70</v>
      </c>
      <c r="G89" s="11">
        <v>77</v>
      </c>
      <c r="H89" s="11">
        <v>85</v>
      </c>
      <c r="I89" s="11">
        <v>90</v>
      </c>
      <c r="N89" s="8">
        <v>5</v>
      </c>
      <c r="O89" s="11">
        <v>75</v>
      </c>
      <c r="P89" s="11">
        <v>72</v>
      </c>
      <c r="Q89" s="11">
        <v>85</v>
      </c>
      <c r="R89" s="11">
        <v>80</v>
      </c>
      <c r="S89" s="11">
        <v>88</v>
      </c>
      <c r="T89" s="11">
        <v>86</v>
      </c>
      <c r="U89" s="11">
        <v>81</v>
      </c>
      <c r="Y89" s="8">
        <v>5</v>
      </c>
      <c r="Z89" s="11">
        <v>80</v>
      </c>
      <c r="AA89" s="11">
        <v>71</v>
      </c>
      <c r="AB89" s="11">
        <v>80</v>
      </c>
      <c r="AC89" s="11">
        <v>71</v>
      </c>
      <c r="AD89" s="11">
        <v>77</v>
      </c>
      <c r="AE89" s="11">
        <v>79</v>
      </c>
      <c r="AF89" s="11">
        <v>78</v>
      </c>
      <c r="AG89" s="11">
        <v>81</v>
      </c>
      <c r="AH89" s="11">
        <v>80</v>
      </c>
      <c r="AI89" s="11">
        <v>80</v>
      </c>
      <c r="AJ89" s="11">
        <v>81</v>
      </c>
      <c r="AK89" s="11">
        <v>82</v>
      </c>
    </row>
    <row r="90" spans="2:37" s="11" customFormat="1">
      <c r="C90" s="8">
        <v>6</v>
      </c>
      <c r="D90" s="11">
        <v>42</v>
      </c>
      <c r="E90" s="11">
        <v>56</v>
      </c>
      <c r="F90" s="11">
        <v>70</v>
      </c>
      <c r="G90" s="11">
        <v>77</v>
      </c>
      <c r="H90" s="11">
        <v>85</v>
      </c>
      <c r="I90" s="11">
        <v>90</v>
      </c>
      <c r="N90" s="8">
        <v>6</v>
      </c>
      <c r="O90" s="11">
        <v>76</v>
      </c>
      <c r="P90" s="11">
        <v>72</v>
      </c>
      <c r="Q90" s="11">
        <v>84</v>
      </c>
      <c r="R90" s="11">
        <v>80</v>
      </c>
      <c r="S90" s="11">
        <v>88</v>
      </c>
      <c r="T90" s="11">
        <v>86</v>
      </c>
      <c r="U90" s="11">
        <v>81</v>
      </c>
      <c r="Y90" s="8">
        <v>6</v>
      </c>
      <c r="Z90" s="11">
        <v>80</v>
      </c>
      <c r="AA90" s="11">
        <v>74</v>
      </c>
      <c r="AB90" s="11">
        <v>80</v>
      </c>
      <c r="AC90" s="11">
        <v>72</v>
      </c>
      <c r="AD90" s="11">
        <v>76</v>
      </c>
      <c r="AE90" s="11">
        <v>79</v>
      </c>
      <c r="AF90" s="11">
        <v>78</v>
      </c>
      <c r="AG90" s="11">
        <v>81</v>
      </c>
      <c r="AH90" s="11">
        <v>80</v>
      </c>
      <c r="AI90" s="11">
        <v>79</v>
      </c>
      <c r="AJ90" s="11">
        <v>82</v>
      </c>
      <c r="AK90" s="11">
        <v>81</v>
      </c>
    </row>
    <row r="91" spans="2:37" s="11" customFormat="1">
      <c r="C91" s="8">
        <v>7</v>
      </c>
      <c r="N91" s="8">
        <v>7</v>
      </c>
      <c r="Y91" s="8">
        <v>7</v>
      </c>
    </row>
    <row r="92" spans="2:37" s="11" customFormat="1">
      <c r="C92" s="8">
        <v>8</v>
      </c>
      <c r="N92" s="8">
        <v>8</v>
      </c>
      <c r="Y92" s="8">
        <v>8</v>
      </c>
    </row>
    <row r="93" spans="2:37" s="11" customFormat="1">
      <c r="C93" s="8">
        <v>9</v>
      </c>
      <c r="N93" s="8">
        <v>9</v>
      </c>
      <c r="Y93" s="8">
        <v>9</v>
      </c>
    </row>
    <row r="94" spans="2:37" s="11" customFormat="1">
      <c r="C94" s="8">
        <v>10</v>
      </c>
      <c r="N94" s="8">
        <v>10</v>
      </c>
      <c r="Y94" s="8">
        <v>10</v>
      </c>
    </row>
    <row r="95" spans="2:37" s="11" customFormat="1">
      <c r="C95" s="8">
        <v>11</v>
      </c>
      <c r="N95" s="8">
        <v>11</v>
      </c>
      <c r="Y95" s="8">
        <v>11</v>
      </c>
    </row>
    <row r="96" spans="2:37" s="11" customFormat="1">
      <c r="C96" s="8">
        <v>12</v>
      </c>
      <c r="N96" s="8">
        <v>12</v>
      </c>
      <c r="Y96" s="8">
        <v>12</v>
      </c>
    </row>
    <row r="97" spans="2:37">
      <c r="B97" t="s">
        <v>24</v>
      </c>
      <c r="C97" s="6" t="s">
        <v>15</v>
      </c>
      <c r="D97" s="11"/>
      <c r="E97" s="11"/>
      <c r="F97" s="11"/>
      <c r="G97" s="11"/>
      <c r="H97" s="11"/>
      <c r="I97" s="11"/>
      <c r="L97" s="11"/>
      <c r="M97" s="11" t="str">
        <f t="shared" si="5"/>
        <v>VIT index</v>
      </c>
      <c r="N97" s="6" t="s">
        <v>15</v>
      </c>
      <c r="O97" s="11"/>
      <c r="P97" s="11"/>
      <c r="Q97" s="11"/>
      <c r="R97" s="11"/>
      <c r="S97" s="11"/>
      <c r="T97" s="11"/>
      <c r="U97" s="11"/>
      <c r="W97" s="11"/>
      <c r="X97" s="11" t="str">
        <f t="shared" si="6"/>
        <v>VIT index</v>
      </c>
      <c r="Y97" s="6" t="s">
        <v>15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2:37" s="11" customFormat="1">
      <c r="C98" s="8">
        <v>1</v>
      </c>
      <c r="D98" s="11">
        <v>1.5</v>
      </c>
      <c r="E98" s="11">
        <v>1.5</v>
      </c>
      <c r="F98" s="11">
        <v>2.5</v>
      </c>
      <c r="G98" s="11">
        <v>3</v>
      </c>
      <c r="H98" s="11">
        <v>0.7</v>
      </c>
      <c r="I98" s="11">
        <v>0</v>
      </c>
      <c r="N98" s="8">
        <v>1</v>
      </c>
      <c r="O98" s="11">
        <v>3</v>
      </c>
      <c r="P98" s="11">
        <v>3.6</v>
      </c>
      <c r="Q98" s="11">
        <v>2.9</v>
      </c>
      <c r="R98" s="11">
        <v>4.3</v>
      </c>
      <c r="S98" s="11">
        <v>0.8</v>
      </c>
      <c r="T98" s="11">
        <v>0.9</v>
      </c>
      <c r="U98" s="11">
        <v>4.2</v>
      </c>
      <c r="Y98" s="8">
        <v>1</v>
      </c>
      <c r="Z98" s="11">
        <v>3.4</v>
      </c>
      <c r="AA98" s="54">
        <v>3</v>
      </c>
      <c r="AB98" s="11">
        <v>3.4</v>
      </c>
      <c r="AC98" s="11">
        <v>3</v>
      </c>
      <c r="AD98" s="11">
        <v>3.8</v>
      </c>
      <c r="AE98" s="11">
        <v>3.7</v>
      </c>
      <c r="AF98" s="11">
        <v>3.7</v>
      </c>
      <c r="AG98" s="11">
        <v>3.8</v>
      </c>
      <c r="AH98" s="11">
        <v>3.8</v>
      </c>
      <c r="AI98" s="11">
        <v>4</v>
      </c>
      <c r="AJ98" s="11">
        <v>4</v>
      </c>
      <c r="AK98" s="11">
        <v>4.3</v>
      </c>
    </row>
    <row r="99" spans="2:37" s="11" customFormat="1">
      <c r="C99" s="8">
        <v>2</v>
      </c>
      <c r="D99" s="11">
        <v>1.5</v>
      </c>
      <c r="E99" s="11">
        <v>1.5</v>
      </c>
      <c r="F99" s="11">
        <v>2.5</v>
      </c>
      <c r="G99" s="11">
        <v>3</v>
      </c>
      <c r="H99" s="11">
        <v>0.7</v>
      </c>
      <c r="I99" s="11">
        <v>0</v>
      </c>
      <c r="N99" s="8">
        <v>2</v>
      </c>
      <c r="O99" s="11">
        <v>2.9</v>
      </c>
      <c r="P99" s="11">
        <v>3.6</v>
      </c>
      <c r="Q99" s="11">
        <v>2.9</v>
      </c>
      <c r="R99" s="11">
        <v>4.2</v>
      </c>
      <c r="S99" s="11">
        <v>0.8</v>
      </c>
      <c r="T99" s="11">
        <v>1</v>
      </c>
      <c r="U99" s="11">
        <v>4.2</v>
      </c>
      <c r="Y99" s="8">
        <v>2</v>
      </c>
      <c r="Z99" s="11">
        <v>3.7</v>
      </c>
      <c r="AA99" s="54">
        <v>3</v>
      </c>
      <c r="AB99" s="11">
        <v>3.7</v>
      </c>
      <c r="AC99" s="11">
        <v>3</v>
      </c>
      <c r="AD99" s="11">
        <v>3.6</v>
      </c>
      <c r="AE99" s="11">
        <v>3.5</v>
      </c>
      <c r="AF99" s="11">
        <v>3.6</v>
      </c>
      <c r="AG99" s="11">
        <v>3.5</v>
      </c>
      <c r="AH99" s="11">
        <v>3.8</v>
      </c>
      <c r="AI99" s="11">
        <v>4</v>
      </c>
      <c r="AJ99" s="11">
        <v>3.9</v>
      </c>
      <c r="AK99" s="11">
        <v>4.2</v>
      </c>
    </row>
    <row r="100" spans="2:37" s="11" customFormat="1">
      <c r="C100" s="8">
        <v>3</v>
      </c>
      <c r="D100" s="11">
        <v>1.4</v>
      </c>
      <c r="E100" s="11">
        <v>1.5</v>
      </c>
      <c r="F100" s="11">
        <v>2.4</v>
      </c>
      <c r="G100" s="11">
        <v>3</v>
      </c>
      <c r="H100" s="11">
        <v>0.7</v>
      </c>
      <c r="I100" s="11">
        <v>0</v>
      </c>
      <c r="N100" s="8">
        <v>3</v>
      </c>
      <c r="O100" s="11">
        <v>2.9</v>
      </c>
      <c r="P100" s="11">
        <v>3.5</v>
      </c>
      <c r="Q100" s="11">
        <v>2.9</v>
      </c>
      <c r="R100" s="11">
        <v>4.0999999999999996</v>
      </c>
      <c r="S100" s="11">
        <v>0.8</v>
      </c>
      <c r="T100" s="11">
        <v>0.9</v>
      </c>
      <c r="U100" s="11">
        <v>4.0999999999999996</v>
      </c>
      <c r="Y100" s="8">
        <v>3</v>
      </c>
      <c r="Z100" s="11">
        <v>3.2</v>
      </c>
      <c r="AA100" s="54">
        <v>3</v>
      </c>
      <c r="AB100" s="11">
        <v>3.2</v>
      </c>
      <c r="AC100" s="11">
        <v>2.8</v>
      </c>
      <c r="AD100" s="11">
        <v>3.1</v>
      </c>
      <c r="AE100" s="11">
        <v>3</v>
      </c>
      <c r="AF100" s="11">
        <v>3.2</v>
      </c>
      <c r="AG100" s="11">
        <v>3.1</v>
      </c>
      <c r="AH100" s="11">
        <v>3.1</v>
      </c>
      <c r="AI100" s="11">
        <v>3.5</v>
      </c>
      <c r="AJ100" s="11">
        <v>3.5</v>
      </c>
      <c r="AK100" s="11">
        <v>3.6</v>
      </c>
    </row>
    <row r="101" spans="2:37" s="11" customFormat="1">
      <c r="C101" s="8">
        <v>4</v>
      </c>
      <c r="D101" s="11">
        <v>1.5</v>
      </c>
      <c r="E101" s="11">
        <v>1.5</v>
      </c>
      <c r="F101" s="11">
        <v>2.5</v>
      </c>
      <c r="G101" s="11">
        <v>3</v>
      </c>
      <c r="H101" s="11">
        <v>0.7</v>
      </c>
      <c r="I101" s="11">
        <v>0</v>
      </c>
      <c r="N101" s="8">
        <v>4</v>
      </c>
      <c r="O101" s="11">
        <v>2.9</v>
      </c>
      <c r="P101" s="11">
        <v>3.6</v>
      </c>
      <c r="Q101" s="11">
        <v>3</v>
      </c>
      <c r="R101" s="11">
        <v>4.3</v>
      </c>
      <c r="S101" s="11">
        <v>0.8</v>
      </c>
      <c r="T101" s="11">
        <v>0.9</v>
      </c>
      <c r="U101" s="11">
        <v>4.2</v>
      </c>
      <c r="Y101" s="8">
        <v>4</v>
      </c>
      <c r="Z101" s="11">
        <v>3.1</v>
      </c>
      <c r="AA101" s="54">
        <v>3</v>
      </c>
      <c r="AB101" s="11">
        <v>3.3</v>
      </c>
      <c r="AC101" s="11">
        <v>2.6</v>
      </c>
      <c r="AD101" s="11">
        <v>3.2</v>
      </c>
      <c r="AE101" s="11">
        <v>3.1</v>
      </c>
      <c r="AF101" s="11">
        <v>3</v>
      </c>
      <c r="AG101" s="11">
        <v>3.1</v>
      </c>
      <c r="AH101" s="11">
        <v>3.4</v>
      </c>
      <c r="AI101" s="11">
        <v>3.6</v>
      </c>
      <c r="AJ101" s="11">
        <v>3.6</v>
      </c>
      <c r="AK101" s="11">
        <v>3.8</v>
      </c>
    </row>
    <row r="102" spans="2:37" s="11" customFormat="1">
      <c r="C102" s="8">
        <v>5</v>
      </c>
      <c r="D102" s="11">
        <v>1.7</v>
      </c>
      <c r="E102" s="11">
        <v>1.7</v>
      </c>
      <c r="F102" s="11">
        <v>2.6</v>
      </c>
      <c r="G102" s="11">
        <v>3.1</v>
      </c>
      <c r="H102" s="11">
        <v>0.9</v>
      </c>
      <c r="I102" s="11">
        <v>0</v>
      </c>
      <c r="N102" s="8">
        <v>5</v>
      </c>
      <c r="O102" s="11">
        <v>2.9</v>
      </c>
      <c r="P102" s="11">
        <v>3.7</v>
      </c>
      <c r="Q102" s="11">
        <v>2.9</v>
      </c>
      <c r="R102" s="11">
        <v>4.4000000000000004</v>
      </c>
      <c r="S102" s="11">
        <v>1</v>
      </c>
      <c r="T102" s="11">
        <v>1</v>
      </c>
      <c r="U102" s="11">
        <v>4.3</v>
      </c>
      <c r="Y102" s="8">
        <v>5</v>
      </c>
      <c r="Z102" s="11">
        <v>3.3</v>
      </c>
      <c r="AA102" s="54">
        <v>3</v>
      </c>
      <c r="AB102" s="11">
        <v>3.1</v>
      </c>
      <c r="AC102" s="11">
        <v>3.1</v>
      </c>
      <c r="AD102" s="11">
        <v>3.3</v>
      </c>
      <c r="AE102" s="11">
        <v>3.3</v>
      </c>
      <c r="AF102" s="11">
        <v>3.3</v>
      </c>
      <c r="AG102" s="11">
        <v>3.3</v>
      </c>
      <c r="AH102" s="11">
        <v>3.5</v>
      </c>
      <c r="AI102" s="11">
        <v>3.8</v>
      </c>
      <c r="AJ102" s="11">
        <v>3.7</v>
      </c>
      <c r="AK102" s="11">
        <v>4</v>
      </c>
    </row>
    <row r="103" spans="2:37" s="11" customFormat="1">
      <c r="C103" s="8">
        <v>6</v>
      </c>
      <c r="D103" s="11">
        <v>1.5</v>
      </c>
      <c r="E103" s="11">
        <v>1.5</v>
      </c>
      <c r="F103" s="11">
        <v>2.5</v>
      </c>
      <c r="G103" s="11">
        <v>3</v>
      </c>
      <c r="H103" s="11">
        <v>0.8</v>
      </c>
      <c r="I103" s="11">
        <v>0</v>
      </c>
      <c r="N103" s="8">
        <v>6</v>
      </c>
      <c r="O103" s="11">
        <v>3</v>
      </c>
      <c r="P103" s="11">
        <v>3.5</v>
      </c>
      <c r="Q103" s="11">
        <v>2.8</v>
      </c>
      <c r="R103" s="11">
        <v>4.3</v>
      </c>
      <c r="S103" s="11">
        <v>0.9</v>
      </c>
      <c r="T103" s="11">
        <v>0.9</v>
      </c>
      <c r="U103" s="11">
        <v>4.2</v>
      </c>
      <c r="Y103" s="8">
        <v>6</v>
      </c>
      <c r="Z103" s="11">
        <v>3.2</v>
      </c>
      <c r="AA103" s="54">
        <v>3</v>
      </c>
      <c r="AB103" s="11">
        <v>3.4</v>
      </c>
      <c r="AC103" s="11">
        <v>3.3</v>
      </c>
      <c r="AD103" s="11">
        <v>3.2</v>
      </c>
      <c r="AE103" s="11">
        <v>3.2</v>
      </c>
      <c r="AF103" s="11">
        <v>3.3</v>
      </c>
      <c r="AG103" s="11">
        <v>3.2</v>
      </c>
      <c r="AH103" s="11">
        <v>3.5</v>
      </c>
      <c r="AI103" s="11">
        <v>3.6</v>
      </c>
      <c r="AJ103" s="11">
        <v>3.7</v>
      </c>
      <c r="AK103" s="11">
        <v>3.9</v>
      </c>
    </row>
    <row r="104" spans="2:37" s="11" customFormat="1">
      <c r="C104" s="8">
        <v>7</v>
      </c>
      <c r="N104" s="8">
        <v>7</v>
      </c>
      <c r="Y104" s="8">
        <v>7</v>
      </c>
      <c r="AA104" s="54"/>
    </row>
    <row r="105" spans="2:37" s="11" customFormat="1">
      <c r="C105" s="8">
        <v>8</v>
      </c>
      <c r="N105" s="8">
        <v>8</v>
      </c>
      <c r="Y105" s="8">
        <v>8</v>
      </c>
    </row>
    <row r="106" spans="2:37" s="11" customFormat="1">
      <c r="C106" s="8">
        <v>9</v>
      </c>
      <c r="N106" s="8">
        <v>9</v>
      </c>
      <c r="Y106" s="8">
        <v>9</v>
      </c>
    </row>
    <row r="107" spans="2:37" s="11" customFormat="1">
      <c r="C107" s="8">
        <v>10</v>
      </c>
      <c r="N107" s="8">
        <v>10</v>
      </c>
      <c r="Y107" s="8">
        <v>10</v>
      </c>
    </row>
    <row r="108" spans="2:37" s="11" customFormat="1">
      <c r="C108" s="8">
        <v>11</v>
      </c>
      <c r="N108" s="8">
        <v>11</v>
      </c>
      <c r="Y108" s="8">
        <v>11</v>
      </c>
    </row>
    <row r="109" spans="2:37" s="11" customFormat="1">
      <c r="C109" s="8">
        <v>12</v>
      </c>
      <c r="N109" s="8">
        <v>12</v>
      </c>
      <c r="Y109" s="8">
        <v>12</v>
      </c>
    </row>
    <row r="110" spans="2:37">
      <c r="B110" t="s">
        <v>25</v>
      </c>
      <c r="C110" s="6" t="s">
        <v>26</v>
      </c>
      <c r="D110" s="11">
        <v>240.3</v>
      </c>
      <c r="E110" s="11">
        <v>261.7</v>
      </c>
      <c r="F110" s="11">
        <v>264.5</v>
      </c>
      <c r="G110" s="11">
        <v>272.5</v>
      </c>
      <c r="H110" s="11">
        <v>292.8</v>
      </c>
      <c r="I110" s="11">
        <v>309.5</v>
      </c>
      <c r="L110" s="11"/>
      <c r="M110" s="11" t="str">
        <f t="shared" si="5"/>
        <v>Exhaust Gas Outlet</v>
      </c>
      <c r="N110" s="6" t="s">
        <v>26</v>
      </c>
      <c r="O110" s="11">
        <v>303.3</v>
      </c>
      <c r="P110" s="11">
        <v>301.7</v>
      </c>
      <c r="Q110" s="11">
        <v>319.2</v>
      </c>
      <c r="R110" s="11">
        <v>310.8</v>
      </c>
      <c r="S110" s="11">
        <v>331.5</v>
      </c>
      <c r="T110" s="11">
        <v>328.2</v>
      </c>
      <c r="U110" s="11">
        <v>311.7</v>
      </c>
      <c r="W110" s="11"/>
      <c r="X110" s="11" t="str">
        <f t="shared" si="6"/>
        <v>Exhaust Gas Outlet</v>
      </c>
      <c r="Y110" s="6" t="s">
        <v>26</v>
      </c>
      <c r="Z110" s="11">
        <v>312</v>
      </c>
      <c r="AA110" s="11">
        <v>293</v>
      </c>
      <c r="AB110" s="11">
        <v>303</v>
      </c>
      <c r="AC110" s="11">
        <v>291</v>
      </c>
      <c r="AD110" s="11">
        <v>318</v>
      </c>
      <c r="AE110" s="11">
        <v>311</v>
      </c>
      <c r="AF110" s="11">
        <v>332</v>
      </c>
      <c r="AG110" s="11">
        <v>328</v>
      </c>
      <c r="AH110" s="11">
        <v>308</v>
      </c>
      <c r="AI110" s="11">
        <v>318</v>
      </c>
      <c r="AJ110" s="11">
        <v>313</v>
      </c>
      <c r="AK110" s="11">
        <v>308</v>
      </c>
    </row>
    <row r="111" spans="2:37">
      <c r="B111" t="s">
        <v>27</v>
      </c>
      <c r="C111" s="6" t="s">
        <v>26</v>
      </c>
      <c r="D111" s="11">
        <v>66.8</v>
      </c>
      <c r="E111" s="11">
        <v>71</v>
      </c>
      <c r="F111" s="11">
        <v>75</v>
      </c>
      <c r="G111" s="11">
        <v>75</v>
      </c>
      <c r="H111" s="11">
        <v>75.3</v>
      </c>
      <c r="I111" s="11">
        <v>75.3</v>
      </c>
      <c r="L111" s="11"/>
      <c r="M111" s="11" t="str">
        <f t="shared" si="5"/>
        <v>Cooling Water Outlet</v>
      </c>
      <c r="N111" s="6" t="s">
        <v>26</v>
      </c>
      <c r="O111" s="11">
        <v>80</v>
      </c>
      <c r="P111" s="11">
        <v>80</v>
      </c>
      <c r="Q111" s="11">
        <v>80</v>
      </c>
      <c r="R111" s="11">
        <v>80</v>
      </c>
      <c r="S111" s="11">
        <v>80</v>
      </c>
      <c r="T111" s="11">
        <v>80</v>
      </c>
      <c r="U111" s="11">
        <v>80</v>
      </c>
      <c r="W111" s="11"/>
      <c r="X111" s="11" t="str">
        <f t="shared" si="6"/>
        <v>Cooling Water Outlet</v>
      </c>
      <c r="Y111" s="6" t="s">
        <v>26</v>
      </c>
      <c r="Z111" s="11">
        <v>81</v>
      </c>
      <c r="AA111" s="11">
        <v>80</v>
      </c>
      <c r="AB111" s="11">
        <v>80</v>
      </c>
      <c r="AC111" s="11">
        <v>80</v>
      </c>
      <c r="AD111" s="11">
        <v>78</v>
      </c>
      <c r="AE111" s="11">
        <v>81</v>
      </c>
      <c r="AF111" s="11">
        <v>81</v>
      </c>
      <c r="AG111" s="11">
        <v>81</v>
      </c>
      <c r="AH111" s="11">
        <v>81</v>
      </c>
      <c r="AI111" s="11">
        <v>81</v>
      </c>
      <c r="AJ111" s="11">
        <v>81</v>
      </c>
      <c r="AK111" s="11">
        <v>80</v>
      </c>
    </row>
    <row r="112" spans="2:37">
      <c r="B112" t="s">
        <v>28</v>
      </c>
      <c r="C112" s="6" t="s">
        <v>26</v>
      </c>
      <c r="D112" s="11">
        <v>36</v>
      </c>
      <c r="E112" s="11">
        <v>38</v>
      </c>
      <c r="F112" s="11"/>
      <c r="G112" s="11">
        <v>40</v>
      </c>
      <c r="H112" s="11">
        <v>41</v>
      </c>
      <c r="I112" s="11">
        <v>42</v>
      </c>
      <c r="L112" s="11"/>
      <c r="M112" s="11" t="str">
        <f t="shared" si="5"/>
        <v>CAM Lub Oil Outlet</v>
      </c>
      <c r="N112" s="6" t="s">
        <v>26</v>
      </c>
      <c r="O112" s="11">
        <v>50</v>
      </c>
      <c r="P112" s="11">
        <v>49</v>
      </c>
      <c r="Q112" s="11">
        <v>50</v>
      </c>
      <c r="R112" s="11">
        <v>50</v>
      </c>
      <c r="S112" s="11">
        <v>51</v>
      </c>
      <c r="T112" s="11">
        <v>52</v>
      </c>
      <c r="U112" s="11">
        <v>50</v>
      </c>
      <c r="W112" s="11"/>
      <c r="X112" s="11" t="str">
        <f t="shared" si="6"/>
        <v>CAM Lub Oil Outlet</v>
      </c>
      <c r="Y112" s="6" t="s">
        <v>26</v>
      </c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2:37">
      <c r="B113" t="s">
        <v>29</v>
      </c>
      <c r="C113" s="6" t="s">
        <v>26</v>
      </c>
      <c r="D113" s="11">
        <v>43</v>
      </c>
      <c r="E113" s="11">
        <v>46</v>
      </c>
      <c r="F113" s="11">
        <v>46</v>
      </c>
      <c r="G113" s="11">
        <v>47</v>
      </c>
      <c r="H113" s="11">
        <v>48</v>
      </c>
      <c r="I113" s="11">
        <v>49</v>
      </c>
      <c r="L113" s="11"/>
      <c r="M113" s="11" t="str">
        <f t="shared" si="5"/>
        <v>Piston Cooling Oil Outlet</v>
      </c>
      <c r="N113" s="6" t="s">
        <v>26</v>
      </c>
      <c r="O113" s="11">
        <v>50.2</v>
      </c>
      <c r="P113" s="11">
        <v>50.2</v>
      </c>
      <c r="Q113" s="11">
        <v>51.7</v>
      </c>
      <c r="R113" s="11">
        <v>51</v>
      </c>
      <c r="S113" s="11">
        <v>52</v>
      </c>
      <c r="T113" s="11">
        <v>53</v>
      </c>
      <c r="U113" s="11">
        <v>51</v>
      </c>
      <c r="W113" s="11"/>
      <c r="X113" s="11" t="str">
        <f t="shared" si="6"/>
        <v>Piston Cooling Oil Outlet</v>
      </c>
      <c r="Y113" s="6" t="s">
        <v>26</v>
      </c>
      <c r="Z113" s="11">
        <v>51</v>
      </c>
      <c r="AA113" s="11">
        <v>50</v>
      </c>
      <c r="AB113" s="11">
        <v>50</v>
      </c>
      <c r="AC113" s="11">
        <v>50</v>
      </c>
      <c r="AD113" s="11">
        <v>51</v>
      </c>
      <c r="AE113" s="11">
        <v>51</v>
      </c>
      <c r="AF113" s="11">
        <v>52</v>
      </c>
      <c r="AG113" s="11">
        <v>52</v>
      </c>
      <c r="AH113" s="11">
        <v>51</v>
      </c>
      <c r="AI113" s="11">
        <v>51</v>
      </c>
      <c r="AJ113" s="11">
        <v>51</v>
      </c>
      <c r="AK113" s="11">
        <v>50</v>
      </c>
    </row>
    <row r="114" spans="2:37">
      <c r="D114" s="11"/>
      <c r="E114" s="11"/>
      <c r="F114" s="11"/>
      <c r="G114" s="11"/>
      <c r="H114" s="11"/>
      <c r="I114" s="11"/>
      <c r="L114" s="11"/>
      <c r="M114" s="11"/>
      <c r="N114" s="6"/>
      <c r="O114" s="11"/>
      <c r="P114" s="11"/>
      <c r="Q114" s="11"/>
      <c r="R114" s="11"/>
      <c r="S114" s="11"/>
      <c r="T114" s="11"/>
      <c r="U114" s="11"/>
      <c r="W114" s="11"/>
      <c r="X114" s="11"/>
      <c r="Y114" s="6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2:37">
      <c r="B115" s="1" t="s">
        <v>30</v>
      </c>
      <c r="D115" s="11"/>
      <c r="E115" s="11"/>
      <c r="F115" s="11"/>
      <c r="G115" s="11"/>
      <c r="H115" s="11"/>
      <c r="I115" s="11"/>
      <c r="L115" s="11"/>
      <c r="M115" s="1" t="str">
        <f t="shared" si="5"/>
        <v>Air Cooler</v>
      </c>
      <c r="N115" s="6"/>
      <c r="O115" s="11"/>
      <c r="P115" s="11"/>
      <c r="Q115" s="11"/>
      <c r="R115" s="11"/>
      <c r="S115" s="11"/>
      <c r="T115" s="11"/>
      <c r="U115" s="11"/>
      <c r="W115" s="11"/>
      <c r="X115" s="1" t="str">
        <f>B115</f>
        <v>Air Cooler</v>
      </c>
      <c r="Y115" s="6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2:37">
      <c r="B116" t="s">
        <v>49</v>
      </c>
      <c r="C116" s="6" t="s">
        <v>46</v>
      </c>
      <c r="D116" s="11"/>
      <c r="E116" s="11"/>
      <c r="F116" s="11"/>
      <c r="G116" s="11"/>
      <c r="H116" s="11"/>
      <c r="I116" s="11"/>
      <c r="L116" s="11"/>
      <c r="M116" s="11" t="str">
        <f t="shared" si="5"/>
        <v>AC Pressure Drop</v>
      </c>
      <c r="N116" s="6" t="s">
        <v>46</v>
      </c>
      <c r="O116" s="11"/>
      <c r="P116" s="11"/>
      <c r="Q116" s="11"/>
      <c r="R116" s="11"/>
      <c r="S116" s="11"/>
      <c r="T116" s="11"/>
      <c r="U116" s="11"/>
      <c r="W116" s="11"/>
      <c r="X116" s="11" t="str">
        <f>B116</f>
        <v>AC Pressure Drop</v>
      </c>
      <c r="Y116" s="6" t="s">
        <v>46</v>
      </c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2:37" s="11" customFormat="1">
      <c r="C117" s="8">
        <v>1</v>
      </c>
      <c r="D117" s="11">
        <v>65</v>
      </c>
      <c r="E117" s="11">
        <v>115</v>
      </c>
      <c r="F117" s="11">
        <v>155</v>
      </c>
      <c r="G117" s="11">
        <v>175</v>
      </c>
      <c r="H117" s="11">
        <v>195</v>
      </c>
      <c r="I117" s="11">
        <v>210</v>
      </c>
      <c r="N117" s="8">
        <v>1</v>
      </c>
      <c r="O117" s="11">
        <v>180</v>
      </c>
      <c r="P117" s="11">
        <v>170</v>
      </c>
      <c r="Q117" s="11">
        <v>200</v>
      </c>
      <c r="R117" s="11">
        <v>190</v>
      </c>
      <c r="S117" s="11">
        <v>205</v>
      </c>
      <c r="T117" s="11">
        <v>210</v>
      </c>
      <c r="U117" s="11">
        <v>195</v>
      </c>
      <c r="Y117" s="8">
        <v>1</v>
      </c>
      <c r="Z117" s="11">
        <v>95</v>
      </c>
      <c r="AA117" s="11">
        <v>90</v>
      </c>
      <c r="AB117" s="11">
        <v>100</v>
      </c>
      <c r="AC117" s="11">
        <v>160</v>
      </c>
      <c r="AD117" s="11">
        <v>90</v>
      </c>
      <c r="AE117" s="11">
        <v>95</v>
      </c>
      <c r="AF117" s="11">
        <v>90</v>
      </c>
      <c r="AG117" s="11">
        <v>90</v>
      </c>
      <c r="AH117" s="11">
        <v>90</v>
      </c>
      <c r="AI117" s="11">
        <v>90</v>
      </c>
      <c r="AJ117" s="11">
        <v>90</v>
      </c>
      <c r="AK117" s="11">
        <v>180</v>
      </c>
    </row>
    <row r="118" spans="2:37" s="11" customFormat="1">
      <c r="C118" s="8">
        <v>2</v>
      </c>
      <c r="D118" s="11">
        <v>65</v>
      </c>
      <c r="E118" s="11">
        <v>115</v>
      </c>
      <c r="F118" s="11">
        <v>160</v>
      </c>
      <c r="G118" s="11">
        <v>180</v>
      </c>
      <c r="H118" s="11">
        <v>195</v>
      </c>
      <c r="I118" s="11">
        <v>210</v>
      </c>
      <c r="N118" s="8">
        <v>2</v>
      </c>
      <c r="O118" s="11">
        <v>180</v>
      </c>
      <c r="P118" s="11">
        <v>170</v>
      </c>
      <c r="Q118" s="11">
        <v>200</v>
      </c>
      <c r="R118" s="11">
        <v>195</v>
      </c>
      <c r="S118" s="11">
        <v>205</v>
      </c>
      <c r="T118" s="11">
        <v>210</v>
      </c>
      <c r="U118" s="11">
        <v>195</v>
      </c>
      <c r="Y118" s="8">
        <v>2</v>
      </c>
      <c r="Z118" s="11">
        <v>100</v>
      </c>
      <c r="AA118" s="11">
        <v>95</v>
      </c>
      <c r="AB118" s="11">
        <v>130</v>
      </c>
      <c r="AC118" s="11">
        <v>155</v>
      </c>
      <c r="AD118" s="11">
        <v>90</v>
      </c>
      <c r="AE118" s="11">
        <v>90</v>
      </c>
      <c r="AF118" s="11">
        <v>85</v>
      </c>
      <c r="AG118" s="11">
        <v>85</v>
      </c>
      <c r="AH118" s="11">
        <v>90</v>
      </c>
      <c r="AI118" s="11">
        <v>90</v>
      </c>
      <c r="AJ118" s="11">
        <v>95</v>
      </c>
      <c r="AK118" s="11">
        <v>180</v>
      </c>
    </row>
    <row r="119" spans="2:37" s="11" customFormat="1">
      <c r="C119" s="8">
        <v>3</v>
      </c>
      <c r="N119" s="8">
        <v>3</v>
      </c>
      <c r="Y119" s="8">
        <v>3</v>
      </c>
    </row>
    <row r="120" spans="2:37" s="11" customFormat="1">
      <c r="C120" s="8">
        <v>4</v>
      </c>
      <c r="N120" s="8">
        <v>4</v>
      </c>
      <c r="Y120" s="8">
        <v>4</v>
      </c>
    </row>
    <row r="121" spans="2:37">
      <c r="B121" t="s">
        <v>51</v>
      </c>
      <c r="C121" s="6" t="s">
        <v>26</v>
      </c>
      <c r="D121" s="11"/>
      <c r="E121" s="11"/>
      <c r="F121" s="11"/>
      <c r="G121" s="11"/>
      <c r="H121" s="11"/>
      <c r="I121" s="11"/>
      <c r="L121" s="11"/>
      <c r="M121" s="11" t="str">
        <f t="shared" si="5"/>
        <v>Air Inlet Temperature</v>
      </c>
      <c r="N121" s="6" t="s">
        <v>26</v>
      </c>
      <c r="O121" s="11"/>
      <c r="P121" s="11"/>
      <c r="Q121" s="11"/>
      <c r="R121" s="11"/>
      <c r="S121" s="11"/>
      <c r="T121" s="11"/>
      <c r="U121" s="11"/>
      <c r="W121" s="11"/>
      <c r="X121" s="11" t="str">
        <f>B121</f>
        <v>Air Inlet Temperature</v>
      </c>
      <c r="Y121" s="6" t="s">
        <v>26</v>
      </c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2:37" s="11" customFormat="1">
      <c r="C122" s="8">
        <v>1</v>
      </c>
      <c r="D122" s="11">
        <v>33</v>
      </c>
      <c r="E122" s="11">
        <v>86</v>
      </c>
      <c r="F122" s="11">
        <v>133</v>
      </c>
      <c r="G122" s="11">
        <v>156</v>
      </c>
      <c r="H122" s="11">
        <v>175</v>
      </c>
      <c r="I122" s="11">
        <v>197</v>
      </c>
      <c r="N122" s="8">
        <v>1</v>
      </c>
      <c r="O122" s="11">
        <v>175</v>
      </c>
      <c r="P122" s="11">
        <v>167</v>
      </c>
      <c r="Q122" s="11">
        <v>195</v>
      </c>
      <c r="R122" s="11">
        <v>188</v>
      </c>
      <c r="S122" s="11">
        <v>210</v>
      </c>
      <c r="T122" s="11">
        <v>207</v>
      </c>
      <c r="U122" s="11">
        <v>190</v>
      </c>
      <c r="Y122" s="8">
        <v>1</v>
      </c>
      <c r="Z122" s="11">
        <v>180</v>
      </c>
      <c r="AA122" s="11">
        <v>155</v>
      </c>
      <c r="AB122" s="11">
        <v>170</v>
      </c>
      <c r="AC122" s="11">
        <v>135</v>
      </c>
      <c r="AD122" s="11">
        <v>170</v>
      </c>
      <c r="AE122" s="11">
        <v>170</v>
      </c>
      <c r="AF122" s="11">
        <v>175</v>
      </c>
      <c r="AG122" s="11">
        <v>180</v>
      </c>
      <c r="AH122" s="11">
        <v>185</v>
      </c>
      <c r="AI122" s="11">
        <v>175</v>
      </c>
      <c r="AJ122" s="11">
        <v>183</v>
      </c>
      <c r="AK122" s="11">
        <v>177</v>
      </c>
    </row>
    <row r="123" spans="2:37" s="11" customFormat="1">
      <c r="C123" s="8">
        <v>2</v>
      </c>
      <c r="D123" s="11">
        <v>35</v>
      </c>
      <c r="E123" s="11">
        <v>90</v>
      </c>
      <c r="F123" s="11">
        <v>135</v>
      </c>
      <c r="G123" s="11">
        <v>160</v>
      </c>
      <c r="H123" s="11">
        <v>177</v>
      </c>
      <c r="I123" s="11">
        <v>190</v>
      </c>
      <c r="N123" s="8">
        <v>2</v>
      </c>
      <c r="O123" s="11">
        <v>175</v>
      </c>
      <c r="P123" s="11">
        <v>167</v>
      </c>
      <c r="Q123" s="11">
        <v>199</v>
      </c>
      <c r="R123" s="11">
        <v>190</v>
      </c>
      <c r="S123" s="11">
        <v>210</v>
      </c>
      <c r="T123" s="11">
        <v>210</v>
      </c>
      <c r="U123" s="11">
        <v>190</v>
      </c>
      <c r="Y123" s="8">
        <v>2</v>
      </c>
      <c r="Z123" s="11">
        <v>180</v>
      </c>
      <c r="AA123" s="11">
        <v>150</v>
      </c>
      <c r="AB123" s="11">
        <v>165</v>
      </c>
      <c r="AC123" s="11">
        <v>135</v>
      </c>
      <c r="AD123" s="11">
        <v>165</v>
      </c>
      <c r="AE123" s="11">
        <v>170</v>
      </c>
      <c r="AF123" s="11">
        <v>173</v>
      </c>
      <c r="AG123" s="11">
        <v>185</v>
      </c>
      <c r="AH123" s="11">
        <v>180</v>
      </c>
      <c r="AI123" s="11">
        <v>165</v>
      </c>
      <c r="AJ123" s="11">
        <v>180</v>
      </c>
      <c r="AK123" s="11">
        <v>175</v>
      </c>
    </row>
    <row r="124" spans="2:37" s="11" customFormat="1">
      <c r="C124" s="8">
        <v>3</v>
      </c>
      <c r="N124" s="8">
        <v>3</v>
      </c>
      <c r="Y124" s="8">
        <v>3</v>
      </c>
    </row>
    <row r="125" spans="2:37" s="11" customFormat="1">
      <c r="C125" s="8">
        <v>4</v>
      </c>
      <c r="N125" s="8">
        <v>4</v>
      </c>
      <c r="Y125" s="8">
        <v>4</v>
      </c>
    </row>
    <row r="126" spans="2:37">
      <c r="B126" t="s">
        <v>50</v>
      </c>
      <c r="C126" s="6" t="s">
        <v>26</v>
      </c>
      <c r="D126" s="11"/>
      <c r="E126" s="11"/>
      <c r="F126" s="11"/>
      <c r="G126" s="11"/>
      <c r="H126" s="11"/>
      <c r="I126" s="11"/>
      <c r="L126" s="11"/>
      <c r="M126" s="11" t="str">
        <f t="shared" ref="M126:M153" si="7">B126</f>
        <v>Air Outlet Temperature</v>
      </c>
      <c r="N126" s="6" t="s">
        <v>26</v>
      </c>
      <c r="O126" s="11"/>
      <c r="P126" s="11"/>
      <c r="Q126" s="11"/>
      <c r="R126" s="11"/>
      <c r="S126" s="11"/>
      <c r="T126" s="11"/>
      <c r="U126" s="11"/>
      <c r="W126" s="11"/>
      <c r="X126" s="11" t="str">
        <f>B126</f>
        <v>Air Outlet Temperature</v>
      </c>
      <c r="Y126" s="6" t="s">
        <v>26</v>
      </c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2:37" s="11" customFormat="1">
      <c r="C127" s="8">
        <v>1</v>
      </c>
      <c r="D127" s="11">
        <v>27</v>
      </c>
      <c r="E127" s="11">
        <v>26</v>
      </c>
      <c r="F127" s="11">
        <v>28</v>
      </c>
      <c r="G127" s="11">
        <v>31</v>
      </c>
      <c r="H127" s="11">
        <v>34</v>
      </c>
      <c r="I127" s="11">
        <v>37</v>
      </c>
      <c r="N127" s="8">
        <v>1</v>
      </c>
      <c r="O127" s="11">
        <v>45</v>
      </c>
      <c r="P127" s="11">
        <v>44</v>
      </c>
      <c r="Q127" s="11">
        <v>47</v>
      </c>
      <c r="R127" s="11">
        <v>46</v>
      </c>
      <c r="S127" s="11">
        <v>50</v>
      </c>
      <c r="T127" s="11">
        <v>50</v>
      </c>
      <c r="U127" s="11">
        <v>46</v>
      </c>
      <c r="Y127" s="8">
        <v>1</v>
      </c>
      <c r="Z127" s="11">
        <v>43</v>
      </c>
      <c r="AA127" s="11">
        <v>41</v>
      </c>
      <c r="AB127" s="11">
        <v>43</v>
      </c>
      <c r="AC127" s="11">
        <v>40</v>
      </c>
      <c r="AD127" s="11">
        <v>46</v>
      </c>
      <c r="AE127" s="11">
        <v>43</v>
      </c>
      <c r="AF127" s="11">
        <v>42</v>
      </c>
      <c r="AG127" s="11">
        <v>41</v>
      </c>
      <c r="AH127" s="11">
        <v>41</v>
      </c>
      <c r="AI127" s="11">
        <v>42</v>
      </c>
      <c r="AJ127" s="11">
        <v>41</v>
      </c>
      <c r="AK127" s="11">
        <v>41</v>
      </c>
    </row>
    <row r="128" spans="2:37" s="11" customFormat="1">
      <c r="C128" s="8">
        <v>2</v>
      </c>
      <c r="D128" s="11">
        <v>28</v>
      </c>
      <c r="E128" s="11">
        <v>26</v>
      </c>
      <c r="F128" s="11">
        <v>28</v>
      </c>
      <c r="G128" s="11">
        <v>31</v>
      </c>
      <c r="H128" s="11">
        <v>34</v>
      </c>
      <c r="I128" s="11">
        <v>37</v>
      </c>
      <c r="N128" s="8">
        <v>2</v>
      </c>
      <c r="O128" s="11">
        <v>44</v>
      </c>
      <c r="P128" s="11">
        <v>43</v>
      </c>
      <c r="Q128" s="11">
        <v>47</v>
      </c>
      <c r="R128" s="11">
        <v>45</v>
      </c>
      <c r="S128" s="11">
        <v>49</v>
      </c>
      <c r="T128" s="11">
        <v>49</v>
      </c>
      <c r="U128" s="11">
        <v>46</v>
      </c>
      <c r="Y128" s="8">
        <v>2</v>
      </c>
      <c r="Z128" s="11">
        <v>42</v>
      </c>
      <c r="AA128" s="11">
        <v>40</v>
      </c>
      <c r="AB128" s="11">
        <v>42</v>
      </c>
      <c r="AC128" s="11">
        <v>39</v>
      </c>
      <c r="AD128" s="11">
        <v>43</v>
      </c>
      <c r="AE128" s="11">
        <v>41</v>
      </c>
      <c r="AF128" s="11">
        <v>41</v>
      </c>
      <c r="AG128" s="11">
        <v>41</v>
      </c>
      <c r="AH128" s="11">
        <v>41</v>
      </c>
      <c r="AI128" s="11">
        <v>41</v>
      </c>
      <c r="AJ128" s="11">
        <v>41</v>
      </c>
      <c r="AK128" s="11">
        <v>40</v>
      </c>
    </row>
    <row r="129" spans="2:37" s="11" customFormat="1">
      <c r="C129" s="8">
        <v>3</v>
      </c>
      <c r="N129" s="8">
        <v>3</v>
      </c>
      <c r="Y129" s="8">
        <v>3</v>
      </c>
    </row>
    <row r="130" spans="2:37" s="11" customFormat="1">
      <c r="C130" s="8">
        <v>4</v>
      </c>
      <c r="N130" s="8">
        <v>4</v>
      </c>
      <c r="Y130" s="8">
        <v>4</v>
      </c>
    </row>
    <row r="131" spans="2:37">
      <c r="B131" t="s">
        <v>52</v>
      </c>
      <c r="C131" s="6" t="s">
        <v>26</v>
      </c>
      <c r="D131" s="11"/>
      <c r="E131" s="11"/>
      <c r="F131" s="11"/>
      <c r="G131" s="11"/>
      <c r="H131" s="11"/>
      <c r="I131" s="11"/>
      <c r="L131" s="11"/>
      <c r="M131" s="11" t="str">
        <f t="shared" si="7"/>
        <v>Sea Water In Temperature</v>
      </c>
      <c r="N131" s="6" t="s">
        <v>26</v>
      </c>
      <c r="O131" s="11"/>
      <c r="P131" s="11"/>
      <c r="Q131" s="11"/>
      <c r="R131" s="11"/>
      <c r="S131" s="11"/>
      <c r="T131" s="11"/>
      <c r="U131" s="11"/>
      <c r="W131" s="11"/>
      <c r="X131" s="11" t="str">
        <f>B131</f>
        <v>Sea Water In Temperature</v>
      </c>
      <c r="Y131" s="6" t="s">
        <v>26</v>
      </c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2:37" s="11" customFormat="1">
      <c r="C132" s="8">
        <v>1</v>
      </c>
      <c r="D132" s="11">
        <v>27</v>
      </c>
      <c r="E132" s="11">
        <v>26</v>
      </c>
      <c r="F132" s="11">
        <v>26</v>
      </c>
      <c r="G132" s="11">
        <v>27</v>
      </c>
      <c r="H132" s="11">
        <v>27</v>
      </c>
      <c r="I132" s="11">
        <v>28</v>
      </c>
      <c r="N132" s="8">
        <v>1</v>
      </c>
      <c r="O132" s="11">
        <v>36</v>
      </c>
      <c r="P132" s="11">
        <v>36</v>
      </c>
      <c r="Q132" s="11">
        <v>36</v>
      </c>
      <c r="R132" s="11">
        <v>36</v>
      </c>
      <c r="S132" s="11">
        <v>36</v>
      </c>
      <c r="T132" s="11">
        <v>36</v>
      </c>
      <c r="U132" s="11">
        <v>36</v>
      </c>
      <c r="Y132" s="8">
        <v>1</v>
      </c>
      <c r="Z132" s="11">
        <v>36</v>
      </c>
      <c r="AA132" s="11">
        <v>36</v>
      </c>
      <c r="AB132" s="11">
        <v>36</v>
      </c>
      <c r="AC132" s="11">
        <v>36</v>
      </c>
      <c r="AD132" s="11">
        <v>39</v>
      </c>
      <c r="AE132" s="11">
        <v>38</v>
      </c>
      <c r="AF132" s="11">
        <v>36</v>
      </c>
      <c r="AG132" s="11">
        <v>34</v>
      </c>
      <c r="AH132" s="11">
        <v>34</v>
      </c>
      <c r="AI132" s="11">
        <v>33</v>
      </c>
      <c r="AJ132" s="11">
        <v>34</v>
      </c>
      <c r="AK132" s="11">
        <v>34</v>
      </c>
    </row>
    <row r="133" spans="2:37" s="11" customFormat="1">
      <c r="C133" s="8">
        <v>2</v>
      </c>
      <c r="D133" s="11">
        <v>27</v>
      </c>
      <c r="E133" s="11">
        <v>26</v>
      </c>
      <c r="F133" s="11">
        <v>26</v>
      </c>
      <c r="G133" s="11">
        <v>27</v>
      </c>
      <c r="H133" s="11">
        <v>27</v>
      </c>
      <c r="I133" s="11">
        <v>28</v>
      </c>
      <c r="N133" s="8">
        <v>2</v>
      </c>
      <c r="O133" s="11">
        <v>36</v>
      </c>
      <c r="P133" s="11">
        <v>36</v>
      </c>
      <c r="Q133" s="11">
        <v>36</v>
      </c>
      <c r="R133" s="11">
        <v>36</v>
      </c>
      <c r="S133" s="11">
        <v>36</v>
      </c>
      <c r="T133" s="11">
        <v>36</v>
      </c>
      <c r="U133" s="11">
        <v>36</v>
      </c>
      <c r="Y133" s="8">
        <v>2</v>
      </c>
      <c r="Z133" s="11">
        <v>36</v>
      </c>
      <c r="AA133" s="11">
        <v>36</v>
      </c>
      <c r="AB133" s="11">
        <v>36</v>
      </c>
      <c r="AC133" s="11">
        <v>36</v>
      </c>
      <c r="AD133" s="11">
        <v>39</v>
      </c>
      <c r="AE133" s="11">
        <v>38</v>
      </c>
      <c r="AF133" s="11">
        <v>36</v>
      </c>
      <c r="AG133" s="11">
        <v>34</v>
      </c>
      <c r="AH133" s="11">
        <v>34</v>
      </c>
      <c r="AI133" s="11">
        <v>33</v>
      </c>
      <c r="AJ133" s="11">
        <v>34</v>
      </c>
      <c r="AK133" s="11">
        <v>34</v>
      </c>
    </row>
    <row r="134" spans="2:37" s="11" customFormat="1">
      <c r="C134" s="8">
        <v>3</v>
      </c>
      <c r="N134" s="8">
        <v>3</v>
      </c>
      <c r="Y134" s="8">
        <v>3</v>
      </c>
    </row>
    <row r="135" spans="2:37" s="11" customFormat="1">
      <c r="C135" s="8">
        <v>4</v>
      </c>
      <c r="N135" s="8">
        <v>4</v>
      </c>
      <c r="Y135" s="8">
        <v>4</v>
      </c>
    </row>
    <row r="136" spans="2:37">
      <c r="B136" t="s">
        <v>53</v>
      </c>
      <c r="C136" s="6" t="s">
        <v>26</v>
      </c>
      <c r="D136" s="11"/>
      <c r="E136" s="11"/>
      <c r="F136" s="11"/>
      <c r="G136" s="11"/>
      <c r="H136" s="11"/>
      <c r="I136" s="11"/>
      <c r="L136" s="11"/>
      <c r="M136" s="11" t="str">
        <f t="shared" si="7"/>
        <v>Sea Water Out Temperature</v>
      </c>
      <c r="N136" s="6" t="s">
        <v>26</v>
      </c>
      <c r="O136" s="11"/>
      <c r="P136" s="11"/>
      <c r="Q136" s="11"/>
      <c r="R136" s="11"/>
      <c r="S136" s="11"/>
      <c r="T136" s="11"/>
      <c r="U136" s="11"/>
      <c r="W136" s="11"/>
      <c r="X136" s="11" t="str">
        <f>B136</f>
        <v>Sea Water Out Temperature</v>
      </c>
      <c r="Y136" s="6" t="s">
        <v>26</v>
      </c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2:37">
      <c r="C137" s="8">
        <v>1</v>
      </c>
      <c r="D137" s="11">
        <v>29</v>
      </c>
      <c r="E137" s="11">
        <v>33</v>
      </c>
      <c r="F137" s="11">
        <v>41</v>
      </c>
      <c r="G137" s="11">
        <v>45</v>
      </c>
      <c r="H137" s="11">
        <v>50</v>
      </c>
      <c r="I137" s="11">
        <v>55</v>
      </c>
      <c r="L137" s="11"/>
      <c r="M137" s="11"/>
      <c r="N137" s="8">
        <v>1</v>
      </c>
      <c r="O137" s="11">
        <v>53</v>
      </c>
      <c r="P137" s="11">
        <v>51</v>
      </c>
      <c r="Q137" s="11">
        <v>58</v>
      </c>
      <c r="R137" s="11">
        <v>56</v>
      </c>
      <c r="S137" s="11">
        <v>63</v>
      </c>
      <c r="T137" s="11">
        <v>62</v>
      </c>
      <c r="U137" s="11">
        <v>56</v>
      </c>
      <c r="W137" s="11"/>
      <c r="X137" s="11"/>
      <c r="Y137" s="8">
        <v>1</v>
      </c>
      <c r="Z137" s="11">
        <v>55</v>
      </c>
      <c r="AA137" s="11">
        <v>50</v>
      </c>
      <c r="AB137" s="11">
        <v>56</v>
      </c>
      <c r="AC137" s="11">
        <v>52</v>
      </c>
      <c r="AD137" s="11">
        <v>58</v>
      </c>
      <c r="AE137" s="11">
        <v>60</v>
      </c>
      <c r="AF137" s="11">
        <v>57</v>
      </c>
      <c r="AG137" s="11">
        <v>50</v>
      </c>
      <c r="AH137" s="11">
        <v>51</v>
      </c>
      <c r="AI137" s="11">
        <v>51</v>
      </c>
      <c r="AJ137" s="11">
        <v>51</v>
      </c>
      <c r="AK137" s="11">
        <v>52</v>
      </c>
    </row>
    <row r="138" spans="2:37">
      <c r="C138" s="8">
        <v>2</v>
      </c>
      <c r="D138" s="11">
        <v>28</v>
      </c>
      <c r="E138" s="11">
        <v>30</v>
      </c>
      <c r="F138" s="11">
        <v>37</v>
      </c>
      <c r="G138" s="11">
        <v>42</v>
      </c>
      <c r="H138" s="11">
        <v>47</v>
      </c>
      <c r="I138" s="11">
        <v>52</v>
      </c>
      <c r="L138" s="11"/>
      <c r="M138" s="11"/>
      <c r="N138" s="8">
        <v>2</v>
      </c>
      <c r="O138" s="11">
        <v>53</v>
      </c>
      <c r="P138" s="11">
        <v>50</v>
      </c>
      <c r="Q138" s="11">
        <v>57</v>
      </c>
      <c r="R138" s="11">
        <v>56</v>
      </c>
      <c r="S138" s="11">
        <v>62</v>
      </c>
      <c r="T138" s="11">
        <v>62</v>
      </c>
      <c r="U138" s="11">
        <v>55</v>
      </c>
      <c r="W138" s="11"/>
      <c r="X138" s="11"/>
      <c r="Y138" s="8">
        <v>2</v>
      </c>
      <c r="Z138" s="11">
        <v>53</v>
      </c>
      <c r="AA138" s="11">
        <v>50</v>
      </c>
      <c r="AB138" s="11">
        <v>56</v>
      </c>
      <c r="AC138" s="11">
        <v>51</v>
      </c>
      <c r="AD138" s="11">
        <v>56</v>
      </c>
      <c r="AE138" s="11">
        <v>58</v>
      </c>
      <c r="AF138" s="11">
        <v>55</v>
      </c>
      <c r="AG138" s="11">
        <v>50</v>
      </c>
      <c r="AH138" s="11">
        <v>51</v>
      </c>
      <c r="AI138" s="11">
        <v>51</v>
      </c>
      <c r="AJ138" s="11">
        <v>51</v>
      </c>
      <c r="AK138" s="11">
        <v>52</v>
      </c>
    </row>
    <row r="139" spans="2:37">
      <c r="C139" s="8">
        <v>3</v>
      </c>
      <c r="D139" s="11"/>
      <c r="E139" s="11"/>
      <c r="F139" s="11"/>
      <c r="G139" s="11"/>
      <c r="H139" s="11"/>
      <c r="I139" s="11"/>
      <c r="L139" s="11"/>
      <c r="M139" s="11"/>
      <c r="N139" s="8">
        <v>3</v>
      </c>
      <c r="O139" s="11"/>
      <c r="P139" s="11"/>
      <c r="Q139" s="11"/>
      <c r="R139" s="11"/>
      <c r="S139" s="11"/>
      <c r="T139" s="11"/>
      <c r="U139" s="11"/>
      <c r="W139" s="11"/>
      <c r="X139" s="11"/>
      <c r="Y139" s="8">
        <v>3</v>
      </c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2:37">
      <c r="C140" s="8">
        <v>4</v>
      </c>
      <c r="D140" s="11"/>
      <c r="E140" s="11"/>
      <c r="F140" s="11"/>
      <c r="G140" s="11"/>
      <c r="H140" s="11"/>
      <c r="I140" s="11"/>
      <c r="L140" s="11"/>
      <c r="M140" s="11"/>
      <c r="N140" s="8">
        <v>4</v>
      </c>
      <c r="O140" s="11"/>
      <c r="P140" s="11"/>
      <c r="Q140" s="11"/>
      <c r="R140" s="11"/>
      <c r="S140" s="11"/>
      <c r="T140" s="11"/>
      <c r="U140" s="11"/>
      <c r="W140" s="11"/>
      <c r="X140" s="11"/>
      <c r="Y140" s="8">
        <v>4</v>
      </c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2:37">
      <c r="D141" s="11"/>
      <c r="E141" s="11"/>
      <c r="F141" s="11"/>
      <c r="G141" s="11"/>
      <c r="H141" s="11"/>
      <c r="I141" s="11"/>
      <c r="L141" s="11"/>
      <c r="M141" s="11"/>
      <c r="N141" s="6"/>
      <c r="O141" s="11"/>
      <c r="P141" s="11"/>
      <c r="Q141" s="11"/>
      <c r="R141" s="11"/>
      <c r="S141" s="11"/>
      <c r="T141" s="11"/>
      <c r="U141" s="11"/>
      <c r="W141" s="11"/>
      <c r="X141" s="11"/>
      <c r="Y141" s="6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2:37">
      <c r="B142" s="1" t="s">
        <v>32</v>
      </c>
      <c r="D142" s="11"/>
      <c r="E142" s="11"/>
      <c r="F142" s="11"/>
      <c r="G142" s="11"/>
      <c r="H142" s="11"/>
      <c r="I142" s="11"/>
      <c r="L142" s="11"/>
      <c r="M142" s="1" t="str">
        <f t="shared" si="7"/>
        <v>Scavenge - Exhaust</v>
      </c>
      <c r="N142" s="6"/>
      <c r="O142" s="11"/>
      <c r="P142" s="11"/>
      <c r="Q142" s="11"/>
      <c r="R142" s="11"/>
      <c r="S142" s="11"/>
      <c r="T142" s="11"/>
      <c r="U142" s="11"/>
      <c r="W142" s="11"/>
      <c r="X142" s="1" t="str">
        <f>B142</f>
        <v>Scavenge - Exhaust</v>
      </c>
      <c r="Y142" s="6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2:37">
      <c r="B143" t="s">
        <v>33</v>
      </c>
      <c r="C143" s="6" t="s">
        <v>20</v>
      </c>
      <c r="D143" s="11">
        <v>0.37</v>
      </c>
      <c r="E143" s="11">
        <v>1.1200000000000001</v>
      </c>
      <c r="F143" s="11">
        <v>1.93</v>
      </c>
      <c r="G143" s="11">
        <v>2.4300000000000002</v>
      </c>
      <c r="H143" s="11">
        <v>2.8</v>
      </c>
      <c r="I143" s="11">
        <v>3.06</v>
      </c>
      <c r="L143" s="11"/>
      <c r="M143" s="11" t="str">
        <f t="shared" si="7"/>
        <v xml:space="preserve">Scavenge Pressure </v>
      </c>
      <c r="N143" s="6" t="s">
        <v>217</v>
      </c>
      <c r="O143" s="11">
        <v>2.1</v>
      </c>
      <c r="P143" s="11">
        <v>1.95</v>
      </c>
      <c r="Q143" s="11">
        <v>2.6</v>
      </c>
      <c r="R143" s="11">
        <v>2.39</v>
      </c>
      <c r="S143" s="11">
        <v>2.9</v>
      </c>
      <c r="T143" s="11">
        <v>2.85</v>
      </c>
      <c r="U143" s="11">
        <v>2.37</v>
      </c>
      <c r="W143" s="11"/>
      <c r="X143" s="11" t="str">
        <f>B143</f>
        <v xml:space="preserve">Scavenge Pressure </v>
      </c>
      <c r="Y143" s="6" t="s">
        <v>20</v>
      </c>
      <c r="Z143" s="11">
        <v>2.41</v>
      </c>
      <c r="AA143" s="11">
        <v>2.2999999999999998</v>
      </c>
      <c r="AB143" s="11">
        <v>2.2999999999999998</v>
      </c>
      <c r="AC143" s="11">
        <v>1.9</v>
      </c>
      <c r="AD143" s="11">
        <v>2.15</v>
      </c>
      <c r="AE143" s="11">
        <v>2.3199999999999998</v>
      </c>
      <c r="AF143" s="54">
        <v>2.2000000000000002</v>
      </c>
      <c r="AG143" s="11">
        <v>2.2400000000000002</v>
      </c>
      <c r="AH143" s="11">
        <v>2.33</v>
      </c>
      <c r="AI143" s="11">
        <v>2.29</v>
      </c>
      <c r="AJ143" s="11">
        <v>2.34</v>
      </c>
      <c r="AK143" s="11">
        <v>2.4</v>
      </c>
    </row>
    <row r="144" spans="2:37">
      <c r="B144" s="11" t="s">
        <v>34</v>
      </c>
      <c r="C144" s="6" t="s">
        <v>26</v>
      </c>
      <c r="D144" s="11">
        <v>32</v>
      </c>
      <c r="E144" s="11">
        <v>26</v>
      </c>
      <c r="F144" s="11">
        <v>28</v>
      </c>
      <c r="G144" s="11">
        <v>30</v>
      </c>
      <c r="H144" s="11">
        <v>34</v>
      </c>
      <c r="I144" s="11">
        <v>36</v>
      </c>
      <c r="L144" s="11"/>
      <c r="M144" s="11" t="str">
        <f t="shared" si="7"/>
        <v xml:space="preserve">Scavenge Temperature </v>
      </c>
      <c r="N144" s="6" t="s">
        <v>26</v>
      </c>
      <c r="O144" s="11">
        <v>42</v>
      </c>
      <c r="P144" s="11">
        <v>41</v>
      </c>
      <c r="Q144" s="11">
        <v>44</v>
      </c>
      <c r="R144" s="11">
        <v>42</v>
      </c>
      <c r="S144" s="11">
        <v>46</v>
      </c>
      <c r="T144" s="11">
        <v>46</v>
      </c>
      <c r="U144" s="11">
        <v>42</v>
      </c>
      <c r="W144" s="11"/>
      <c r="X144" s="11" t="str">
        <f>B144</f>
        <v xml:space="preserve">Scavenge Temperature </v>
      </c>
      <c r="Y144" s="6" t="s">
        <v>26</v>
      </c>
      <c r="Z144" s="11">
        <v>43</v>
      </c>
      <c r="AA144" s="11">
        <v>39</v>
      </c>
      <c r="AB144" s="11">
        <v>40</v>
      </c>
      <c r="AC144" s="11">
        <v>38</v>
      </c>
      <c r="AD144" s="11">
        <v>44</v>
      </c>
      <c r="AE144" s="11">
        <v>43</v>
      </c>
      <c r="AF144" s="11">
        <v>42</v>
      </c>
      <c r="AG144" s="11">
        <v>41</v>
      </c>
      <c r="AH144" s="11">
        <v>41</v>
      </c>
      <c r="AI144" s="11">
        <v>43</v>
      </c>
      <c r="AJ144" s="11">
        <v>41</v>
      </c>
      <c r="AK144" s="11">
        <v>44</v>
      </c>
    </row>
    <row r="145" spans="2:37">
      <c r="B145" s="11" t="s">
        <v>35</v>
      </c>
      <c r="C145" s="6" t="s">
        <v>20</v>
      </c>
      <c r="D145" s="11">
        <v>0.3</v>
      </c>
      <c r="E145" s="11">
        <v>0.97</v>
      </c>
      <c r="F145" s="11">
        <v>1.73</v>
      </c>
      <c r="G145" s="11">
        <v>2.14</v>
      </c>
      <c r="H145" s="11">
        <v>2.52</v>
      </c>
      <c r="I145" s="11">
        <v>2.82</v>
      </c>
      <c r="L145" s="11"/>
      <c r="M145" s="11" t="str">
        <f t="shared" si="7"/>
        <v xml:space="preserve">Exhaust Pressure </v>
      </c>
      <c r="N145" s="6" t="s">
        <v>217</v>
      </c>
      <c r="O145" s="11"/>
      <c r="P145" s="11"/>
      <c r="Q145" s="11"/>
      <c r="R145" s="11"/>
      <c r="S145" s="11"/>
      <c r="T145" s="11"/>
      <c r="U145" s="11"/>
      <c r="W145" s="11"/>
      <c r="X145" s="11" t="str">
        <f>B145</f>
        <v xml:space="preserve">Exhaust Pressure </v>
      </c>
      <c r="Y145" s="6" t="s">
        <v>20</v>
      </c>
      <c r="Z145" s="11">
        <v>2.15</v>
      </c>
      <c r="AA145" s="11">
        <v>2.1</v>
      </c>
      <c r="AB145" s="11">
        <v>2</v>
      </c>
      <c r="AC145" s="11">
        <v>1.45</v>
      </c>
      <c r="AD145" s="11">
        <v>1.9</v>
      </c>
      <c r="AE145" s="11">
        <v>2.1</v>
      </c>
      <c r="AF145" s="11">
        <v>2</v>
      </c>
      <c r="AG145" s="11">
        <v>1.9</v>
      </c>
      <c r="AH145" s="11">
        <v>2</v>
      </c>
      <c r="AI145" s="11">
        <v>1.9</v>
      </c>
      <c r="AJ145" s="11">
        <v>2</v>
      </c>
      <c r="AK145" s="11">
        <v>2.1</v>
      </c>
    </row>
    <row r="146" spans="2:37">
      <c r="D146" s="11"/>
      <c r="E146" s="11"/>
      <c r="F146" s="11"/>
      <c r="G146" s="11"/>
      <c r="H146" s="11"/>
      <c r="I146" s="11"/>
      <c r="L146" s="11"/>
      <c r="M146" s="11"/>
      <c r="N146" s="6"/>
      <c r="O146" s="11"/>
      <c r="P146" s="11"/>
      <c r="Q146" s="11"/>
      <c r="R146" s="11"/>
      <c r="S146" s="11"/>
      <c r="T146" s="11"/>
      <c r="U146" s="11"/>
      <c r="W146" s="11"/>
      <c r="X146" s="11"/>
      <c r="Y146" s="6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2:37">
      <c r="B147" s="1" t="s">
        <v>36</v>
      </c>
      <c r="D147" s="11"/>
      <c r="E147" s="11"/>
      <c r="F147" s="11"/>
      <c r="G147" s="11"/>
      <c r="H147" s="11"/>
      <c r="I147" s="11"/>
      <c r="L147" s="11"/>
      <c r="M147" s="1" t="str">
        <f t="shared" si="7"/>
        <v>Specific Fuel Consumption</v>
      </c>
      <c r="N147" s="6"/>
      <c r="O147" s="11"/>
      <c r="P147" s="11"/>
      <c r="Q147" s="11"/>
      <c r="R147" s="11"/>
      <c r="S147" s="11"/>
      <c r="T147" s="11"/>
      <c r="U147" s="11"/>
      <c r="W147" s="11"/>
      <c r="X147" s="1" t="str">
        <f>B147</f>
        <v>Specific Fuel Consumption</v>
      </c>
      <c r="Y147" s="6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2:37">
      <c r="B148" t="s">
        <v>37</v>
      </c>
      <c r="C148" s="6" t="s">
        <v>38</v>
      </c>
      <c r="D148" s="11">
        <v>789</v>
      </c>
      <c r="E148" s="11">
        <v>1472.4</v>
      </c>
      <c r="F148" s="11">
        <v>2185.5</v>
      </c>
      <c r="G148" s="11">
        <v>2624.1</v>
      </c>
      <c r="H148" s="11">
        <v>2942.28</v>
      </c>
      <c r="I148" s="11">
        <v>3260.4</v>
      </c>
      <c r="L148" s="11"/>
      <c r="M148" s="11" t="str">
        <f t="shared" si="7"/>
        <v>Fuel Consumption</v>
      </c>
      <c r="N148" s="6" t="s">
        <v>38</v>
      </c>
      <c r="O148" s="11"/>
      <c r="P148" s="11"/>
      <c r="Q148" s="11"/>
      <c r="R148" s="11"/>
      <c r="S148" s="11"/>
      <c r="T148" s="11"/>
      <c r="U148" s="11">
        <v>2852.82</v>
      </c>
      <c r="W148" s="11"/>
      <c r="X148" s="11" t="str">
        <f>B148</f>
        <v>Fuel Consumption</v>
      </c>
      <c r="Y148" s="6" t="s">
        <v>38</v>
      </c>
      <c r="Z148" s="11">
        <v>2645</v>
      </c>
      <c r="AA148" s="11">
        <v>2425</v>
      </c>
      <c r="AB148" s="11">
        <v>2457</v>
      </c>
      <c r="AC148" s="11">
        <v>1956</v>
      </c>
      <c r="AD148" s="11">
        <v>2660</v>
      </c>
      <c r="AE148" s="11">
        <v>2651</v>
      </c>
      <c r="AF148" s="11">
        <v>2583</v>
      </c>
      <c r="AG148" s="11">
        <v>2642</v>
      </c>
      <c r="AH148" s="11">
        <v>2654</v>
      </c>
      <c r="AI148" s="11">
        <v>2642</v>
      </c>
      <c r="AJ148" s="11">
        <v>2765</v>
      </c>
      <c r="AK148" s="11">
        <v>2746</v>
      </c>
    </row>
    <row r="149" spans="2:37">
      <c r="B149" t="s">
        <v>39</v>
      </c>
      <c r="C149" s="6" t="s">
        <v>40</v>
      </c>
      <c r="D149" s="11">
        <v>136.41</v>
      </c>
      <c r="E149" s="11">
        <v>129.56</v>
      </c>
      <c r="F149" s="11">
        <v>127.71</v>
      </c>
      <c r="G149" s="11">
        <v>127.26</v>
      </c>
      <c r="H149" s="11">
        <v>128.15</v>
      </c>
      <c r="I149" s="11">
        <v>129.76</v>
      </c>
      <c r="L149" s="11"/>
      <c r="M149" s="11" t="str">
        <f t="shared" si="7"/>
        <v>bsfc</v>
      </c>
      <c r="N149" s="6" t="s">
        <v>40</v>
      </c>
      <c r="O149" s="11"/>
      <c r="P149" s="11"/>
      <c r="Q149" s="11"/>
      <c r="R149" s="11"/>
      <c r="S149" s="11"/>
      <c r="T149" s="11"/>
      <c r="U149" s="11">
        <v>141</v>
      </c>
      <c r="W149" s="11"/>
      <c r="X149" s="11" t="str">
        <f>B149</f>
        <v>bsfc</v>
      </c>
      <c r="Y149" s="6" t="s">
        <v>40</v>
      </c>
      <c r="Z149" s="11">
        <v>152</v>
      </c>
      <c r="AA149" s="11">
        <v>152.19999999999999</v>
      </c>
      <c r="AB149" s="11">
        <v>148.80000000000001</v>
      </c>
      <c r="AC149" s="11">
        <v>149.4</v>
      </c>
      <c r="AD149" s="11">
        <v>163.19999999999999</v>
      </c>
      <c r="AE149" s="11">
        <v>154.19999999999999</v>
      </c>
      <c r="AF149" s="11">
        <v>156.80000000000001</v>
      </c>
      <c r="AG149" s="11">
        <v>153.19999999999999</v>
      </c>
      <c r="AH149" s="11">
        <v>154.6</v>
      </c>
      <c r="AI149" s="11">
        <v>154.80000000000001</v>
      </c>
      <c r="AJ149" s="11">
        <v>159.30000000000001</v>
      </c>
      <c r="AK149" s="11">
        <v>155.1</v>
      </c>
    </row>
    <row r="150" spans="2:37">
      <c r="B150" t="s">
        <v>41</v>
      </c>
      <c r="C150" s="6" t="s">
        <v>40</v>
      </c>
      <c r="D150" s="11">
        <v>134.19</v>
      </c>
      <c r="E150" s="11">
        <v>127.49</v>
      </c>
      <c r="F150" s="11">
        <v>125.65</v>
      </c>
      <c r="G150" s="11">
        <v>125.08</v>
      </c>
      <c r="H150" s="11">
        <v>125.98</v>
      </c>
      <c r="I150" s="11">
        <v>127.49</v>
      </c>
      <c r="L150" s="11"/>
      <c r="M150" s="11" t="str">
        <f t="shared" si="7"/>
        <v>bsfc corrected</v>
      </c>
      <c r="N150" s="6" t="s">
        <v>40</v>
      </c>
      <c r="O150" s="11"/>
      <c r="P150" s="11"/>
      <c r="Q150" s="11"/>
      <c r="R150" s="11"/>
      <c r="S150" s="11"/>
      <c r="T150" s="11"/>
      <c r="U150" s="11">
        <v>132.07</v>
      </c>
      <c r="W150" s="11"/>
      <c r="X150" s="11" t="str">
        <f>B150</f>
        <v>bsfc corrected</v>
      </c>
      <c r="Y150" s="6" t="s">
        <v>40</v>
      </c>
      <c r="Z150" s="11">
        <v>146.19999999999999</v>
      </c>
      <c r="AA150" s="11">
        <v>146.5</v>
      </c>
      <c r="AB150" s="11">
        <v>143.5</v>
      </c>
      <c r="AC150" s="11">
        <v>143.9</v>
      </c>
      <c r="AD150" s="11">
        <v>157.6</v>
      </c>
      <c r="AE150" s="11">
        <v>149.1</v>
      </c>
      <c r="AF150" s="11">
        <v>151.6</v>
      </c>
      <c r="AG150" s="11">
        <v>148.69999999999999</v>
      </c>
      <c r="AH150" s="11">
        <v>149.5</v>
      </c>
      <c r="AI150" s="11">
        <v>145.30000000000001</v>
      </c>
      <c r="AJ150" s="11">
        <v>149.5</v>
      </c>
      <c r="AK150" s="11">
        <v>149.6</v>
      </c>
    </row>
    <row r="151" spans="2:37">
      <c r="D151" s="11"/>
      <c r="E151" s="11"/>
      <c r="F151" s="11"/>
      <c r="G151" s="11"/>
      <c r="H151" s="11"/>
      <c r="I151" s="11"/>
      <c r="L151" s="11"/>
      <c r="M151" s="11"/>
      <c r="N151" s="6"/>
      <c r="O151" s="11"/>
      <c r="P151" s="11"/>
      <c r="Q151" s="11"/>
      <c r="R151" s="11"/>
      <c r="S151" s="11"/>
      <c r="T151" s="11"/>
      <c r="U151" s="11"/>
      <c r="W151" s="11"/>
      <c r="X151" s="11"/>
      <c r="Y151" s="6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2:37">
      <c r="B152" s="1" t="s">
        <v>42</v>
      </c>
      <c r="D152" s="11"/>
      <c r="E152" s="11"/>
      <c r="F152" s="11">
        <f>2185/3600</f>
        <v>0.6069444444444444</v>
      </c>
      <c r="G152" s="11"/>
      <c r="H152" s="11"/>
      <c r="I152" s="11"/>
      <c r="L152" s="11"/>
      <c r="M152" s="1" t="str">
        <f t="shared" si="7"/>
        <v>Turbocharger</v>
      </c>
      <c r="N152" s="6"/>
      <c r="O152" s="11"/>
      <c r="P152" s="11"/>
      <c r="Q152" s="11"/>
      <c r="R152" s="11"/>
      <c r="S152" s="11"/>
      <c r="T152" s="11"/>
      <c r="U152" s="11"/>
      <c r="W152" s="11"/>
      <c r="X152" s="1" t="str">
        <f>B152</f>
        <v>Turbocharger</v>
      </c>
      <c r="Y152" s="6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2:37">
      <c r="B153" t="s">
        <v>43</v>
      </c>
      <c r="C153" s="6" t="s">
        <v>14</v>
      </c>
      <c r="D153" s="11"/>
      <c r="E153" s="11"/>
      <c r="F153" s="11"/>
      <c r="G153" s="11"/>
      <c r="H153" s="11"/>
      <c r="I153" s="11"/>
      <c r="L153" s="11"/>
      <c r="M153" s="11" t="str">
        <f t="shared" si="7"/>
        <v xml:space="preserve">Speed </v>
      </c>
      <c r="N153" s="6" t="s">
        <v>14</v>
      </c>
      <c r="O153" s="11"/>
      <c r="P153" s="11"/>
      <c r="Q153" s="11"/>
      <c r="R153" s="11"/>
      <c r="S153" s="11"/>
      <c r="T153" s="11"/>
      <c r="U153" s="11"/>
      <c r="W153" s="11"/>
      <c r="X153" s="11" t="str">
        <f>B153</f>
        <v xml:space="preserve">Speed </v>
      </c>
      <c r="Y153" s="6" t="s">
        <v>14</v>
      </c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2:37">
      <c r="C154" s="8">
        <v>1</v>
      </c>
      <c r="D154" s="11">
        <v>5615</v>
      </c>
      <c r="E154" s="11">
        <v>9243</v>
      </c>
      <c r="F154" s="11">
        <v>11457</v>
      </c>
      <c r="G154" s="11">
        <v>12284</v>
      </c>
      <c r="H154" s="11">
        <v>12996</v>
      </c>
      <c r="I154" s="11">
        <v>13557</v>
      </c>
      <c r="L154" s="11"/>
      <c r="M154" s="11"/>
      <c r="N154" s="8">
        <v>1</v>
      </c>
      <c r="O154" s="11">
        <v>11860</v>
      </c>
      <c r="P154" s="11">
        <v>11594</v>
      </c>
      <c r="Q154" s="11">
        <v>12778</v>
      </c>
      <c r="R154" s="11">
        <v>12516</v>
      </c>
      <c r="S154" s="11">
        <v>13420</v>
      </c>
      <c r="T154" s="11">
        <v>13273</v>
      </c>
      <c r="U154" s="11">
        <v>12670</v>
      </c>
      <c r="W154" s="11"/>
      <c r="X154" s="11"/>
      <c r="Y154" s="8">
        <v>1</v>
      </c>
      <c r="Z154" s="11">
        <v>12400</v>
      </c>
      <c r="AA154" s="11">
        <v>12210</v>
      </c>
      <c r="AB154" s="11">
        <v>12190</v>
      </c>
      <c r="AC154" s="11">
        <v>11043</v>
      </c>
      <c r="AD154" s="11">
        <v>12100</v>
      </c>
      <c r="AE154" s="11">
        <v>12115</v>
      </c>
      <c r="AF154" s="11">
        <v>11910</v>
      </c>
      <c r="AG154" s="11">
        <v>12250</v>
      </c>
      <c r="AH154" s="11">
        <v>12300</v>
      </c>
      <c r="AI154" s="11">
        <v>12290</v>
      </c>
      <c r="AJ154" s="11">
        <v>12360</v>
      </c>
      <c r="AK154" s="11">
        <v>12340</v>
      </c>
    </row>
    <row r="155" spans="2:37">
      <c r="C155" s="8">
        <v>2</v>
      </c>
      <c r="D155" s="11">
        <v>5625</v>
      </c>
      <c r="E155" s="11">
        <v>9237</v>
      </c>
      <c r="F155" s="11">
        <v>11446</v>
      </c>
      <c r="G155" s="11">
        <v>12286</v>
      </c>
      <c r="H155" s="11">
        <v>12993</v>
      </c>
      <c r="I155" s="11">
        <v>13548</v>
      </c>
      <c r="L155" s="11"/>
      <c r="M155" s="11"/>
      <c r="N155" s="8">
        <v>2</v>
      </c>
      <c r="O155" s="11">
        <v>11890</v>
      </c>
      <c r="P155" s="11">
        <v>11618</v>
      </c>
      <c r="Q155" s="11">
        <v>12797</v>
      </c>
      <c r="R155" s="11">
        <v>12524</v>
      </c>
      <c r="S155" s="11">
        <v>13440</v>
      </c>
      <c r="T155" s="11">
        <v>13295</v>
      </c>
      <c r="U155" s="11">
        <v>12690</v>
      </c>
      <c r="W155" s="11"/>
      <c r="X155" s="11"/>
      <c r="Y155" s="8">
        <v>2</v>
      </c>
      <c r="Z155" s="11">
        <v>12420</v>
      </c>
      <c r="AA155" s="11">
        <v>12260</v>
      </c>
      <c r="AB155" s="11">
        <v>12230</v>
      </c>
      <c r="AC155" s="11">
        <v>11105</v>
      </c>
      <c r="AD155" s="11">
        <v>12155</v>
      </c>
      <c r="AE155" s="11">
        <v>12350</v>
      </c>
      <c r="AF155" s="11">
        <v>12430</v>
      </c>
      <c r="AG155" s="11">
        <v>12570</v>
      </c>
      <c r="AH155" s="11">
        <v>12330</v>
      </c>
      <c r="AI155" s="11">
        <v>12330</v>
      </c>
      <c r="AJ155" s="11">
        <v>12400</v>
      </c>
      <c r="AK155" s="11">
        <v>12380</v>
      </c>
    </row>
    <row r="156" spans="2:37">
      <c r="C156" s="8">
        <v>3</v>
      </c>
      <c r="D156" s="11"/>
      <c r="E156" s="11"/>
      <c r="F156" s="11"/>
      <c r="G156" s="11"/>
      <c r="H156" s="11"/>
      <c r="I156" s="11"/>
      <c r="L156" s="11"/>
      <c r="M156" s="11"/>
      <c r="N156" s="8">
        <v>3</v>
      </c>
      <c r="O156" s="11"/>
      <c r="P156" s="11"/>
      <c r="Q156" s="11"/>
      <c r="R156" s="11"/>
      <c r="S156" s="11"/>
      <c r="T156" s="11"/>
      <c r="U156" s="11"/>
      <c r="W156" s="11"/>
      <c r="X156" s="11"/>
      <c r="Y156" s="8">
        <v>3</v>
      </c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2:37">
      <c r="C157" s="8">
        <v>4</v>
      </c>
      <c r="D157" s="11"/>
      <c r="E157" s="11"/>
      <c r="F157" s="11"/>
      <c r="G157" s="11"/>
      <c r="H157" s="11"/>
      <c r="I157" s="11"/>
      <c r="L157" s="11"/>
      <c r="M157" s="11"/>
      <c r="N157" s="8">
        <v>4</v>
      </c>
      <c r="O157" s="11"/>
      <c r="P157" s="11"/>
      <c r="Q157" s="11"/>
      <c r="R157" s="11"/>
      <c r="S157" s="11"/>
      <c r="T157" s="11"/>
      <c r="U157" s="11"/>
      <c r="W157" s="11"/>
      <c r="X157" s="11"/>
      <c r="Y157" s="8">
        <v>4</v>
      </c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2:37">
      <c r="B158" t="s">
        <v>44</v>
      </c>
      <c r="C158" s="6" t="s">
        <v>26</v>
      </c>
      <c r="D158" s="11"/>
      <c r="E158" s="11"/>
      <c r="F158" s="11"/>
      <c r="G158" s="11"/>
      <c r="H158" s="11"/>
      <c r="I158" s="11"/>
      <c r="L158" s="11"/>
      <c r="M158" s="11" t="str">
        <f t="shared" ref="M158:M178" si="8">B158</f>
        <v>Blower Inlet Temperature</v>
      </c>
      <c r="N158" s="6" t="s">
        <v>26</v>
      </c>
      <c r="O158" s="11"/>
      <c r="P158" s="11"/>
      <c r="Q158" s="11"/>
      <c r="R158" s="11"/>
      <c r="S158" s="11"/>
      <c r="T158" s="11"/>
      <c r="U158" s="11"/>
      <c r="W158" s="11"/>
      <c r="X158" s="11" t="str">
        <f>B158</f>
        <v>Blower Inlet Temperature</v>
      </c>
      <c r="Y158" s="6" t="s">
        <v>26</v>
      </c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2:37">
      <c r="C159" s="8">
        <v>1</v>
      </c>
      <c r="D159" s="11">
        <v>13.7</v>
      </c>
      <c r="E159" s="11">
        <v>14.6</v>
      </c>
      <c r="F159" s="11">
        <v>15.6</v>
      </c>
      <c r="G159" s="11">
        <v>17.5</v>
      </c>
      <c r="H159" s="11">
        <v>16.7</v>
      </c>
      <c r="I159" s="11">
        <v>17.600000000000001</v>
      </c>
      <c r="L159" s="11"/>
      <c r="M159" s="11"/>
      <c r="N159" s="8">
        <v>1</v>
      </c>
      <c r="O159" s="11">
        <v>37</v>
      </c>
      <c r="P159" s="11">
        <v>37.5</v>
      </c>
      <c r="Q159" s="11">
        <v>37.5</v>
      </c>
      <c r="R159" s="11">
        <v>37.5</v>
      </c>
      <c r="S159" s="11">
        <v>37.5</v>
      </c>
      <c r="T159" s="11">
        <v>38.5</v>
      </c>
      <c r="U159" s="11">
        <v>38.5</v>
      </c>
      <c r="W159" s="11"/>
      <c r="X159" s="11"/>
      <c r="Y159" s="8">
        <v>1</v>
      </c>
      <c r="Z159" s="11">
        <v>31</v>
      </c>
      <c r="AA159" s="11">
        <v>28</v>
      </c>
      <c r="AB159" s="11">
        <v>30</v>
      </c>
      <c r="AC159" s="11">
        <v>24</v>
      </c>
      <c r="AD159" s="11">
        <v>38</v>
      </c>
      <c r="AE159" s="11">
        <v>28</v>
      </c>
      <c r="AF159" s="11">
        <v>33</v>
      </c>
      <c r="AG159" s="11">
        <v>36</v>
      </c>
      <c r="AH159" s="11">
        <v>35</v>
      </c>
      <c r="AI159" s="11">
        <v>39</v>
      </c>
      <c r="AJ159" s="11">
        <v>36</v>
      </c>
      <c r="AK159" s="11">
        <v>33</v>
      </c>
    </row>
    <row r="160" spans="2:37">
      <c r="C160" s="8">
        <v>2</v>
      </c>
      <c r="D160" s="11">
        <v>14.6</v>
      </c>
      <c r="E160" s="11">
        <v>15.8</v>
      </c>
      <c r="F160" s="11">
        <v>16.7</v>
      </c>
      <c r="G160" s="11">
        <v>19.2</v>
      </c>
      <c r="H160" s="11">
        <v>18.2</v>
      </c>
      <c r="I160" s="11">
        <v>19.5</v>
      </c>
      <c r="L160" s="11"/>
      <c r="M160" s="11"/>
      <c r="N160" s="8">
        <v>2</v>
      </c>
      <c r="O160" s="11">
        <v>36.5</v>
      </c>
      <c r="P160" s="11">
        <v>37</v>
      </c>
      <c r="Q160" s="11">
        <v>37</v>
      </c>
      <c r="R160" s="11">
        <v>37</v>
      </c>
      <c r="S160" s="11">
        <v>37</v>
      </c>
      <c r="T160" s="11">
        <v>38</v>
      </c>
      <c r="U160" s="11">
        <v>37.5</v>
      </c>
      <c r="W160" s="11"/>
      <c r="X160" s="11"/>
      <c r="Y160" s="8">
        <v>2</v>
      </c>
      <c r="Z160" s="11">
        <v>31</v>
      </c>
      <c r="AA160" s="11">
        <v>28</v>
      </c>
      <c r="AB160" s="11">
        <v>30</v>
      </c>
      <c r="AC160" s="11">
        <v>24</v>
      </c>
      <c r="AD160" s="11">
        <v>38</v>
      </c>
      <c r="AE160" s="11">
        <v>28</v>
      </c>
      <c r="AF160" s="11">
        <v>34</v>
      </c>
      <c r="AG160" s="11">
        <v>36</v>
      </c>
      <c r="AH160" s="11">
        <v>35</v>
      </c>
      <c r="AI160" s="11">
        <v>39</v>
      </c>
      <c r="AJ160" s="11">
        <v>36</v>
      </c>
      <c r="AK160" s="11">
        <v>33</v>
      </c>
    </row>
    <row r="161" spans="2:37">
      <c r="C161" s="8">
        <v>3</v>
      </c>
      <c r="D161" s="11"/>
      <c r="E161" s="11"/>
      <c r="F161" s="11"/>
      <c r="G161" s="11"/>
      <c r="H161" s="11"/>
      <c r="I161" s="11"/>
      <c r="L161" s="11"/>
      <c r="M161" s="11"/>
      <c r="N161" s="8">
        <v>3</v>
      </c>
      <c r="O161" s="11"/>
      <c r="P161" s="11"/>
      <c r="Q161" s="11"/>
      <c r="R161" s="11"/>
      <c r="S161" s="11"/>
      <c r="T161" s="11"/>
      <c r="U161" s="11"/>
      <c r="W161" s="11"/>
      <c r="X161" s="11"/>
      <c r="Y161" s="8">
        <v>3</v>
      </c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2:37">
      <c r="C162" s="8">
        <v>4</v>
      </c>
      <c r="D162" s="11"/>
      <c r="E162" s="11"/>
      <c r="F162" s="11"/>
      <c r="G162" s="11"/>
      <c r="H162" s="11"/>
      <c r="I162" s="11"/>
      <c r="L162" s="11"/>
      <c r="M162" s="11"/>
      <c r="N162" s="8">
        <v>4</v>
      </c>
      <c r="O162" s="11"/>
      <c r="P162" s="11"/>
      <c r="Q162" s="11"/>
      <c r="R162" s="11"/>
      <c r="S162" s="11"/>
      <c r="T162" s="11"/>
      <c r="U162" s="11"/>
      <c r="W162" s="11"/>
      <c r="X162" s="11"/>
      <c r="Y162" s="8">
        <v>4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2:37">
      <c r="B163" t="s">
        <v>45</v>
      </c>
      <c r="C163" s="6" t="s">
        <v>46</v>
      </c>
      <c r="D163" s="11"/>
      <c r="E163" s="11"/>
      <c r="F163" s="11"/>
      <c r="G163" s="11"/>
      <c r="H163" s="11"/>
      <c r="I163" s="11"/>
      <c r="L163" s="11"/>
      <c r="M163" s="11" t="str">
        <f t="shared" si="8"/>
        <v>Air Filter Pressure Drop</v>
      </c>
      <c r="N163" s="6" t="s">
        <v>46</v>
      </c>
      <c r="O163" s="11"/>
      <c r="P163" s="11"/>
      <c r="Q163" s="11"/>
      <c r="R163" s="11"/>
      <c r="S163" s="11"/>
      <c r="T163" s="11"/>
      <c r="U163" s="11"/>
      <c r="W163" s="11"/>
      <c r="X163" s="11" t="str">
        <f>B163</f>
        <v>Air Filter Pressure Drop</v>
      </c>
      <c r="Y163" s="6" t="s">
        <v>46</v>
      </c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2:37">
      <c r="C164" s="8">
        <v>1</v>
      </c>
      <c r="D164" s="11">
        <v>5</v>
      </c>
      <c r="E164" s="11">
        <v>13</v>
      </c>
      <c r="F164" s="11">
        <v>28</v>
      </c>
      <c r="G164" s="11">
        <v>32</v>
      </c>
      <c r="H164" s="11">
        <v>38</v>
      </c>
      <c r="I164" s="11">
        <v>45</v>
      </c>
      <c r="L164" s="11"/>
      <c r="M164" s="11"/>
      <c r="N164" s="8">
        <v>1</v>
      </c>
      <c r="O164" s="11">
        <v>45</v>
      </c>
      <c r="P164" s="11">
        <v>45</v>
      </c>
      <c r="Q164" s="11">
        <v>60</v>
      </c>
      <c r="R164" s="11">
        <v>50</v>
      </c>
      <c r="S164" s="11">
        <v>65</v>
      </c>
      <c r="T164" s="11">
        <v>65</v>
      </c>
      <c r="U164" s="11">
        <v>55</v>
      </c>
      <c r="W164" s="11"/>
      <c r="X164" s="11"/>
      <c r="Y164" s="8">
        <v>1</v>
      </c>
      <c r="Z164" s="11">
        <v>85</v>
      </c>
      <c r="AA164" s="11">
        <v>85</v>
      </c>
      <c r="AB164" s="11">
        <v>70</v>
      </c>
      <c r="AC164" s="11">
        <v>60</v>
      </c>
      <c r="AD164" s="11">
        <v>65</v>
      </c>
      <c r="AE164" s="11">
        <v>50</v>
      </c>
      <c r="AF164" s="11">
        <v>55</v>
      </c>
      <c r="AG164" s="11">
        <v>75</v>
      </c>
      <c r="AH164" s="11">
        <v>40</v>
      </c>
      <c r="AI164" s="11">
        <v>40</v>
      </c>
      <c r="AJ164" s="11">
        <v>45</v>
      </c>
      <c r="AK164" s="11">
        <v>50</v>
      </c>
    </row>
    <row r="165" spans="2:37">
      <c r="C165" s="8">
        <v>2</v>
      </c>
      <c r="D165" s="11">
        <v>5</v>
      </c>
      <c r="E165" s="11">
        <v>15</v>
      </c>
      <c r="F165" s="11">
        <v>28</v>
      </c>
      <c r="G165" s="11">
        <v>35</v>
      </c>
      <c r="H165" s="11">
        <v>42</v>
      </c>
      <c r="I165" s="11">
        <v>47</v>
      </c>
      <c r="L165" s="11"/>
      <c r="M165" s="11"/>
      <c r="N165" s="8">
        <v>2</v>
      </c>
      <c r="O165" s="11">
        <v>44</v>
      </c>
      <c r="P165" s="11">
        <v>42</v>
      </c>
      <c r="Q165" s="11">
        <v>55</v>
      </c>
      <c r="R165" s="11">
        <v>50</v>
      </c>
      <c r="S165" s="11">
        <v>65</v>
      </c>
      <c r="T165" s="11">
        <v>62</v>
      </c>
      <c r="U165" s="11">
        <v>50</v>
      </c>
      <c r="W165" s="11"/>
      <c r="X165" s="11"/>
      <c r="Y165" s="8">
        <v>2</v>
      </c>
      <c r="Z165" s="11">
        <v>80</v>
      </c>
      <c r="AA165" s="11">
        <v>80</v>
      </c>
      <c r="AB165" s="11">
        <v>75</v>
      </c>
      <c r="AC165" s="11">
        <v>70</v>
      </c>
      <c r="AD165" s="11">
        <v>55</v>
      </c>
      <c r="AE165" s="11">
        <v>45</v>
      </c>
      <c r="AF165" s="11">
        <v>56</v>
      </c>
      <c r="AG165" s="11">
        <v>80</v>
      </c>
      <c r="AH165" s="11">
        <v>35</v>
      </c>
      <c r="AI165" s="11">
        <v>40</v>
      </c>
      <c r="AJ165" s="11">
        <v>45</v>
      </c>
      <c r="AK165" s="11">
        <v>50</v>
      </c>
    </row>
    <row r="166" spans="2:37">
      <c r="C166" s="8">
        <v>3</v>
      </c>
      <c r="D166" s="11"/>
      <c r="E166" s="11"/>
      <c r="F166" s="11"/>
      <c r="G166" s="11"/>
      <c r="H166" s="11"/>
      <c r="I166" s="11"/>
      <c r="L166" s="11"/>
      <c r="M166" s="11"/>
      <c r="N166" s="8">
        <v>3</v>
      </c>
      <c r="O166" s="11"/>
      <c r="P166" s="11"/>
      <c r="Q166" s="11"/>
      <c r="R166" s="11"/>
      <c r="S166" s="11"/>
      <c r="T166" s="11"/>
      <c r="U166" s="11"/>
      <c r="W166" s="11"/>
      <c r="X166" s="11"/>
      <c r="Y166" s="8">
        <v>3</v>
      </c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2:37">
      <c r="C167" s="8">
        <v>4</v>
      </c>
      <c r="D167" s="11"/>
      <c r="E167" s="11"/>
      <c r="F167" s="11"/>
      <c r="G167" s="11"/>
      <c r="H167" s="11"/>
      <c r="I167" s="11"/>
      <c r="L167" s="11"/>
      <c r="M167" s="11"/>
      <c r="N167" s="8">
        <v>4</v>
      </c>
      <c r="O167" s="11"/>
      <c r="P167" s="11"/>
      <c r="Q167" s="11"/>
      <c r="R167" s="11"/>
      <c r="S167" s="11"/>
      <c r="T167" s="11"/>
      <c r="U167" s="11"/>
      <c r="W167" s="11"/>
      <c r="X167" s="11"/>
      <c r="Y167" s="8">
        <v>4</v>
      </c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2:37">
      <c r="B168" t="s">
        <v>47</v>
      </c>
      <c r="C168" s="6" t="s">
        <v>26</v>
      </c>
      <c r="D168" s="11"/>
      <c r="E168" s="11"/>
      <c r="F168" s="11"/>
      <c r="G168" s="11"/>
      <c r="H168" s="11"/>
      <c r="I168" s="11"/>
      <c r="L168" s="11"/>
      <c r="M168" s="11" t="str">
        <f t="shared" si="8"/>
        <v>Temperature Before Turbine</v>
      </c>
      <c r="N168" s="6" t="s">
        <v>26</v>
      </c>
      <c r="O168" s="11"/>
      <c r="P168" s="11"/>
      <c r="Q168" s="11"/>
      <c r="R168" s="11"/>
      <c r="S168" s="11"/>
      <c r="T168" s="11"/>
      <c r="U168" s="11"/>
      <c r="W168" s="11"/>
      <c r="X168" s="11" t="str">
        <f>B168</f>
        <v>Temperature Before Turbine</v>
      </c>
      <c r="Y168" s="6" t="s">
        <v>26</v>
      </c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2:37">
      <c r="C169" s="8">
        <v>1</v>
      </c>
      <c r="D169" s="11">
        <v>255</v>
      </c>
      <c r="E169" s="11">
        <v>308</v>
      </c>
      <c r="F169" s="11">
        <v>330</v>
      </c>
      <c r="G169" s="11">
        <v>350</v>
      </c>
      <c r="H169" s="11">
        <v>370</v>
      </c>
      <c r="I169" s="11">
        <v>390</v>
      </c>
      <c r="L169" s="11"/>
      <c r="M169" s="11"/>
      <c r="N169" s="8">
        <v>1</v>
      </c>
      <c r="O169" s="11">
        <v>370</v>
      </c>
      <c r="P169" s="11">
        <v>370</v>
      </c>
      <c r="Q169" s="11">
        <v>395</v>
      </c>
      <c r="R169" s="11">
        <v>380</v>
      </c>
      <c r="S169" s="11">
        <v>410</v>
      </c>
      <c r="T169" s="11">
        <v>405</v>
      </c>
      <c r="U169" s="11">
        <v>385</v>
      </c>
      <c r="W169" s="11"/>
      <c r="X169" s="11"/>
      <c r="Y169" s="8">
        <v>1</v>
      </c>
      <c r="Z169" s="11">
        <v>375</v>
      </c>
      <c r="AA169" s="11">
        <v>350</v>
      </c>
      <c r="AB169" s="11">
        <v>360</v>
      </c>
      <c r="AC169" s="11">
        <v>340</v>
      </c>
      <c r="AD169" s="11">
        <v>385</v>
      </c>
      <c r="AE169" s="11">
        <v>370</v>
      </c>
      <c r="AF169" s="11">
        <v>390</v>
      </c>
      <c r="AG169" s="11">
        <v>395</v>
      </c>
      <c r="AH169" s="11">
        <v>387</v>
      </c>
      <c r="AI169" s="11">
        <v>400</v>
      </c>
      <c r="AJ169" s="11">
        <v>396</v>
      </c>
      <c r="AK169" s="11">
        <v>375</v>
      </c>
    </row>
    <row r="170" spans="2:37">
      <c r="C170" s="8">
        <v>2</v>
      </c>
      <c r="D170" s="11">
        <v>270</v>
      </c>
      <c r="E170" s="11">
        <v>320</v>
      </c>
      <c r="F170" s="11">
        <v>340</v>
      </c>
      <c r="G170" s="11">
        <v>357</v>
      </c>
      <c r="H170" s="11">
        <v>380</v>
      </c>
      <c r="I170" s="11">
        <v>400</v>
      </c>
      <c r="L170" s="11"/>
      <c r="M170" s="11"/>
      <c r="N170" s="8">
        <v>2</v>
      </c>
      <c r="O170" s="11">
        <v>380</v>
      </c>
      <c r="P170" s="11">
        <v>375</v>
      </c>
      <c r="Q170" s="11">
        <v>399</v>
      </c>
      <c r="R170" s="11">
        <v>390</v>
      </c>
      <c r="S170" s="11">
        <v>415</v>
      </c>
      <c r="T170" s="11">
        <v>410</v>
      </c>
      <c r="U170" s="11">
        <v>390</v>
      </c>
      <c r="W170" s="11"/>
      <c r="X170" s="11"/>
      <c r="Y170" s="8">
        <v>2</v>
      </c>
      <c r="Z170" s="11">
        <v>380</v>
      </c>
      <c r="AA170" s="11">
        <v>350</v>
      </c>
      <c r="AB170" s="11">
        <v>370</v>
      </c>
      <c r="AC170" s="11">
        <v>345</v>
      </c>
      <c r="AD170" s="11">
        <v>385</v>
      </c>
      <c r="AE170" s="11">
        <v>380</v>
      </c>
      <c r="AF170" s="11">
        <v>400</v>
      </c>
      <c r="AG170" s="11">
        <v>400</v>
      </c>
      <c r="AH170" s="11">
        <v>390</v>
      </c>
      <c r="AI170" s="11">
        <v>402</v>
      </c>
      <c r="AJ170" s="11">
        <v>393</v>
      </c>
      <c r="AK170" s="11">
        <v>375</v>
      </c>
    </row>
    <row r="171" spans="2:37">
      <c r="C171" s="8">
        <v>3</v>
      </c>
      <c r="D171" s="11"/>
      <c r="E171" s="11"/>
      <c r="F171" s="11"/>
      <c r="G171" s="11"/>
      <c r="H171" s="11"/>
      <c r="I171" s="11"/>
      <c r="L171" s="11"/>
      <c r="M171" s="11"/>
      <c r="N171" s="8">
        <v>3</v>
      </c>
      <c r="O171" s="11"/>
      <c r="P171" s="11"/>
      <c r="Q171" s="11"/>
      <c r="R171" s="11"/>
      <c r="S171" s="11"/>
      <c r="T171" s="11"/>
      <c r="U171" s="11"/>
      <c r="W171" s="11"/>
      <c r="X171" s="11"/>
      <c r="Y171" s="8">
        <v>3</v>
      </c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2:37">
      <c r="C172" s="8">
        <v>4</v>
      </c>
      <c r="D172" s="11"/>
      <c r="E172" s="11"/>
      <c r="F172" s="11"/>
      <c r="G172" s="11"/>
      <c r="H172" s="11"/>
      <c r="I172" s="11"/>
      <c r="L172" s="11"/>
      <c r="M172" s="11"/>
      <c r="N172" s="8">
        <v>4</v>
      </c>
      <c r="O172" s="11"/>
      <c r="P172" s="11"/>
      <c r="Q172" s="11"/>
      <c r="R172" s="11"/>
      <c r="S172" s="11"/>
      <c r="T172" s="11"/>
      <c r="U172" s="11"/>
      <c r="W172" s="11"/>
      <c r="X172" s="11"/>
      <c r="Y172" s="8">
        <v>4</v>
      </c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2:37">
      <c r="B173" s="11" t="s">
        <v>48</v>
      </c>
      <c r="C173" s="6" t="s">
        <v>26</v>
      </c>
      <c r="D173" s="11"/>
      <c r="E173" s="11"/>
      <c r="F173" s="11"/>
      <c r="G173" s="11"/>
      <c r="H173" s="11"/>
      <c r="I173" s="11"/>
      <c r="L173" s="11"/>
      <c r="M173" s="11" t="str">
        <f t="shared" si="8"/>
        <v>Temperature After Turbine</v>
      </c>
      <c r="N173" s="6" t="s">
        <v>26</v>
      </c>
      <c r="O173" s="11"/>
      <c r="P173" s="11"/>
      <c r="Q173" s="11"/>
      <c r="R173" s="11"/>
      <c r="S173" s="11"/>
      <c r="T173" s="11"/>
      <c r="U173" s="11"/>
      <c r="W173" s="11"/>
      <c r="X173" s="11" t="str">
        <f>B173</f>
        <v>Temperature After Turbine</v>
      </c>
      <c r="Y173" s="6" t="s">
        <v>26</v>
      </c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2:37">
      <c r="C174" s="8">
        <v>1</v>
      </c>
      <c r="D174" s="11">
        <v>220</v>
      </c>
      <c r="E174" s="11">
        <v>213</v>
      </c>
      <c r="F174" s="11">
        <v>192</v>
      </c>
      <c r="G174" s="11">
        <v>192</v>
      </c>
      <c r="H174" s="11">
        <v>200</v>
      </c>
      <c r="I174" s="11">
        <v>210</v>
      </c>
      <c r="L174" s="11"/>
      <c r="M174" s="11"/>
      <c r="N174" s="8">
        <v>1</v>
      </c>
      <c r="O174" s="11">
        <v>220</v>
      </c>
      <c r="P174" s="11">
        <v>220</v>
      </c>
      <c r="Q174" s="11">
        <v>220</v>
      </c>
      <c r="R174" s="11">
        <v>220</v>
      </c>
      <c r="S174" s="11">
        <v>225</v>
      </c>
      <c r="T174" s="11">
        <v>225</v>
      </c>
      <c r="U174" s="11">
        <v>220</v>
      </c>
      <c r="W174" s="11"/>
      <c r="X174" s="11"/>
      <c r="Y174" s="8">
        <v>1</v>
      </c>
      <c r="Z174" s="11">
        <v>235</v>
      </c>
      <c r="AA174" s="11">
        <v>230</v>
      </c>
      <c r="AB174" s="11">
        <v>230</v>
      </c>
      <c r="AC174" s="11">
        <v>230</v>
      </c>
      <c r="AD174" s="11">
        <v>235</v>
      </c>
      <c r="AE174" s="11">
        <v>230</v>
      </c>
      <c r="AF174" s="11">
        <v>235</v>
      </c>
      <c r="AG174" s="11">
        <v>258</v>
      </c>
      <c r="AH174" s="11">
        <v>239</v>
      </c>
      <c r="AI174" s="11">
        <v>251</v>
      </c>
      <c r="AJ174" s="11">
        <v>245</v>
      </c>
      <c r="AK174" s="11">
        <v>241</v>
      </c>
    </row>
    <row r="175" spans="2:37">
      <c r="C175" s="8">
        <v>2</v>
      </c>
      <c r="D175" s="11">
        <v>228</v>
      </c>
      <c r="E175" s="11">
        <v>228</v>
      </c>
      <c r="F175" s="11">
        <v>202</v>
      </c>
      <c r="G175" s="11">
        <v>202</v>
      </c>
      <c r="H175" s="11">
        <v>210</v>
      </c>
      <c r="I175" s="11">
        <v>218</v>
      </c>
      <c r="L175" s="11"/>
      <c r="M175" s="11"/>
      <c r="N175" s="8">
        <v>2</v>
      </c>
      <c r="O175" s="11">
        <v>225</v>
      </c>
      <c r="P175" s="11">
        <v>230</v>
      </c>
      <c r="Q175" s="11">
        <v>225</v>
      </c>
      <c r="R175" s="11">
        <v>225</v>
      </c>
      <c r="S175" s="11">
        <v>230</v>
      </c>
      <c r="T175" s="11">
        <v>230</v>
      </c>
      <c r="U175" s="11">
        <v>225</v>
      </c>
      <c r="W175" s="11"/>
      <c r="X175" s="11"/>
      <c r="Y175" s="8">
        <v>2</v>
      </c>
      <c r="Z175" s="11">
        <v>230</v>
      </c>
      <c r="AA175" s="11">
        <v>200</v>
      </c>
      <c r="AB175" s="11">
        <v>230</v>
      </c>
      <c r="AC175" s="11">
        <v>235</v>
      </c>
      <c r="AD175" s="11">
        <v>250</v>
      </c>
      <c r="AE175" s="11">
        <v>230</v>
      </c>
      <c r="AF175" s="11">
        <v>260</v>
      </c>
      <c r="AG175" s="11">
        <v>255</v>
      </c>
      <c r="AH175" s="11">
        <v>242</v>
      </c>
      <c r="AI175" s="11">
        <v>254</v>
      </c>
      <c r="AJ175" s="11">
        <v>248</v>
      </c>
      <c r="AK175" s="11">
        <v>230</v>
      </c>
    </row>
    <row r="176" spans="2:37">
      <c r="C176" s="8">
        <v>3</v>
      </c>
      <c r="D176" s="11"/>
      <c r="E176" s="11"/>
      <c r="F176" s="11"/>
      <c r="G176" s="11"/>
      <c r="H176" s="11"/>
      <c r="I176" s="11"/>
      <c r="L176" s="11"/>
      <c r="M176" s="11"/>
      <c r="N176" s="8">
        <v>3</v>
      </c>
      <c r="O176" s="11"/>
      <c r="P176" s="11"/>
      <c r="Q176" s="11"/>
      <c r="R176" s="11"/>
      <c r="S176" s="11"/>
      <c r="T176" s="11"/>
      <c r="U176" s="11"/>
      <c r="W176" s="11"/>
      <c r="X176" s="11"/>
      <c r="Y176" s="8">
        <v>3</v>
      </c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2:37">
      <c r="C177" s="8">
        <v>4</v>
      </c>
      <c r="D177" s="11"/>
      <c r="E177" s="11"/>
      <c r="F177" s="11"/>
      <c r="G177" s="11"/>
      <c r="H177" s="11"/>
      <c r="I177" s="11"/>
      <c r="L177" s="11"/>
      <c r="M177" s="11"/>
      <c r="N177" s="8">
        <v>4</v>
      </c>
      <c r="O177" s="11"/>
      <c r="P177" s="11"/>
      <c r="Q177" s="11"/>
      <c r="R177" s="11"/>
      <c r="S177" s="11"/>
      <c r="T177" s="11"/>
      <c r="U177" s="11"/>
      <c r="W177" s="11"/>
      <c r="X177" s="11"/>
      <c r="Y177" s="8">
        <v>4</v>
      </c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2:37">
      <c r="B178" s="11" t="s">
        <v>122</v>
      </c>
      <c r="C178" s="6" t="s">
        <v>46</v>
      </c>
      <c r="D178" s="11"/>
      <c r="E178" s="11"/>
      <c r="F178" s="11"/>
      <c r="G178" s="11"/>
      <c r="H178" s="11"/>
      <c r="I178" s="11"/>
      <c r="L178" s="11"/>
      <c r="M178" s="11" t="str">
        <f t="shared" si="8"/>
        <v>Pressure After Turbine</v>
      </c>
      <c r="N178" s="6" t="s">
        <v>46</v>
      </c>
      <c r="O178" s="11"/>
      <c r="P178" s="11"/>
      <c r="Q178" s="11"/>
      <c r="R178" s="11"/>
      <c r="S178" s="11"/>
      <c r="T178" s="11"/>
      <c r="U178" s="11"/>
      <c r="W178" s="11"/>
      <c r="X178" s="11" t="str">
        <f>B178</f>
        <v>Pressure After Turbine</v>
      </c>
      <c r="Y178" s="6" t="s">
        <v>46</v>
      </c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2:37">
      <c r="C179" s="8">
        <v>1</v>
      </c>
      <c r="D179" s="11">
        <v>0</v>
      </c>
      <c r="E179" s="11">
        <v>30</v>
      </c>
      <c r="F179" s="11">
        <v>70</v>
      </c>
      <c r="G179" s="11">
        <v>140</v>
      </c>
      <c r="H179" s="11">
        <v>150</v>
      </c>
      <c r="I179" s="11">
        <v>220</v>
      </c>
      <c r="L179" s="11"/>
      <c r="M179" s="11"/>
      <c r="N179" s="8">
        <v>1</v>
      </c>
      <c r="O179" s="11">
        <v>150</v>
      </c>
      <c r="P179" s="11">
        <v>140</v>
      </c>
      <c r="Q179" s="11">
        <v>180</v>
      </c>
      <c r="R179" s="11">
        <v>180</v>
      </c>
      <c r="S179" s="11">
        <v>220</v>
      </c>
      <c r="T179" s="11">
        <v>220</v>
      </c>
      <c r="U179" s="11">
        <v>185</v>
      </c>
      <c r="W179" s="11"/>
      <c r="X179" s="11"/>
      <c r="Y179" s="8">
        <v>1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</row>
    <row r="180" spans="2:37">
      <c r="C180" s="8">
        <v>2</v>
      </c>
      <c r="D180" s="11">
        <v>0</v>
      </c>
      <c r="E180" s="11">
        <v>50</v>
      </c>
      <c r="F180" s="11">
        <v>90</v>
      </c>
      <c r="G180" s="11">
        <v>160</v>
      </c>
      <c r="H180" s="11">
        <v>170</v>
      </c>
      <c r="I180" s="11">
        <v>240</v>
      </c>
      <c r="L180" s="11"/>
      <c r="M180" s="11"/>
      <c r="N180" s="8">
        <v>2</v>
      </c>
      <c r="O180" s="11">
        <v>150</v>
      </c>
      <c r="P180" s="11">
        <v>140</v>
      </c>
      <c r="Q180" s="11">
        <v>180</v>
      </c>
      <c r="R180" s="11">
        <v>180</v>
      </c>
      <c r="S180" s="11">
        <v>220</v>
      </c>
      <c r="T180" s="11">
        <v>220</v>
      </c>
      <c r="U180" s="11">
        <v>185</v>
      </c>
      <c r="W180" s="11"/>
      <c r="X180" s="11"/>
      <c r="Y180" s="8">
        <v>2</v>
      </c>
      <c r="Z180" s="11"/>
      <c r="AA180" s="11"/>
      <c r="AB180" s="11"/>
      <c r="AC180" s="11"/>
      <c r="AD180" s="11"/>
    </row>
    <row r="181" spans="2:37">
      <c r="C181" s="8">
        <v>3</v>
      </c>
      <c r="D181" s="11"/>
      <c r="E181" s="11"/>
      <c r="F181" s="11"/>
      <c r="G181" s="11"/>
      <c r="H181" s="11"/>
      <c r="I181" s="11"/>
      <c r="L181" s="11"/>
      <c r="M181" s="11"/>
      <c r="N181" s="8">
        <v>3</v>
      </c>
      <c r="O181" s="11"/>
      <c r="P181" s="11"/>
      <c r="Q181" s="11"/>
      <c r="R181" s="11"/>
      <c r="S181" s="11"/>
      <c r="T181" s="11"/>
      <c r="U181" s="11"/>
      <c r="W181" s="11"/>
      <c r="X181" s="11"/>
      <c r="Y181" s="8">
        <v>3</v>
      </c>
      <c r="Z181" s="11"/>
      <c r="AA181" s="11"/>
      <c r="AB181" s="11"/>
      <c r="AC181" s="11"/>
      <c r="AD181" s="11"/>
    </row>
    <row r="182" spans="2:37">
      <c r="C182" s="8">
        <v>4</v>
      </c>
      <c r="D182" s="11"/>
      <c r="E182" s="11"/>
      <c r="F182" s="11"/>
      <c r="G182" s="11"/>
      <c r="H182" s="11"/>
      <c r="I182" s="11"/>
      <c r="L182" s="11"/>
      <c r="M182" s="11"/>
      <c r="N182" s="8">
        <v>4</v>
      </c>
      <c r="O182" s="11"/>
      <c r="P182" s="11"/>
      <c r="Q182" s="11"/>
      <c r="R182" s="11"/>
      <c r="S182" s="11"/>
      <c r="T182" s="11"/>
      <c r="U182" s="11"/>
      <c r="W182" s="11"/>
      <c r="X182" s="11"/>
      <c r="Y182" s="8">
        <v>4</v>
      </c>
      <c r="Z182" s="11"/>
      <c r="AA182" s="11"/>
      <c r="AB182" s="11"/>
      <c r="AC182" s="11"/>
      <c r="AD182" s="11"/>
    </row>
    <row r="183" spans="2:37"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11"/>
      <c r="AA183" s="11"/>
      <c r="AB183" s="11"/>
      <c r="AC183" s="11"/>
      <c r="AD183" s="11"/>
    </row>
    <row r="184" spans="2:37">
      <c r="B184" s="4" t="s">
        <v>58</v>
      </c>
      <c r="L184" s="11"/>
      <c r="M184" s="4" t="str">
        <f t="shared" ref="M184:M251" si="9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10">B184</f>
        <v>RESULTS</v>
      </c>
      <c r="Z184" s="11"/>
      <c r="AA184" s="11"/>
      <c r="AB184" s="11"/>
      <c r="AC184" s="11"/>
      <c r="AD184" s="11"/>
    </row>
    <row r="185" spans="2:37" s="13" customFormat="1">
      <c r="B185" s="21" t="str">
        <f>B21</f>
        <v>Load</v>
      </c>
      <c r="C185" s="21"/>
      <c r="D185" s="21">
        <f t="shared" ref="D185:I186" si="11">D21</f>
        <v>0.25</v>
      </c>
      <c r="E185" s="21">
        <f t="shared" si="11"/>
        <v>0.5</v>
      </c>
      <c r="F185" s="21">
        <f t="shared" si="11"/>
        <v>0.75</v>
      </c>
      <c r="G185" s="21">
        <f t="shared" si="11"/>
        <v>0.9</v>
      </c>
      <c r="H185" s="21">
        <f t="shared" si="11"/>
        <v>1</v>
      </c>
      <c r="I185" s="21">
        <f t="shared" si="11"/>
        <v>1.1000000000000001</v>
      </c>
      <c r="M185" s="21" t="str">
        <f t="shared" si="9"/>
        <v>Load</v>
      </c>
      <c r="N185" s="21"/>
      <c r="O185" s="21">
        <f t="shared" ref="O185:S186" si="12">O21</f>
        <v>0.75</v>
      </c>
      <c r="P185" s="21">
        <f t="shared" si="12"/>
        <v>0.75</v>
      </c>
      <c r="Q185" s="21">
        <f t="shared" si="12"/>
        <v>0.9</v>
      </c>
      <c r="R185" s="21">
        <f t="shared" si="12"/>
        <v>0.9</v>
      </c>
      <c r="S185" s="21">
        <f t="shared" si="12"/>
        <v>1</v>
      </c>
      <c r="X185" s="21" t="str">
        <f t="shared" si="10"/>
        <v>Load</v>
      </c>
      <c r="Y185" s="9"/>
      <c r="Z185" s="21">
        <f t="shared" ref="Z185:AD186" si="13">Z21</f>
        <v>0.75900000000000001</v>
      </c>
      <c r="AA185" s="21">
        <f t="shared" si="13"/>
        <v>0.69499999999999995</v>
      </c>
      <c r="AB185" s="21">
        <f t="shared" si="13"/>
        <v>0.72</v>
      </c>
      <c r="AC185" s="21">
        <f t="shared" si="13"/>
        <v>0.57099999999999995</v>
      </c>
      <c r="AD185" s="21">
        <f t="shared" si="13"/>
        <v>0.71099999999999997</v>
      </c>
      <c r="AE185" s="21">
        <f t="shared" ref="AE185:AI185" si="14">AE21</f>
        <v>0.75</v>
      </c>
      <c r="AF185" s="21">
        <f t="shared" si="14"/>
        <v>0.72</v>
      </c>
      <c r="AG185" s="21">
        <f t="shared" si="14"/>
        <v>0.753</v>
      </c>
      <c r="AH185" s="21">
        <f t="shared" si="14"/>
        <v>0.749</v>
      </c>
      <c r="AI185" s="21">
        <f t="shared" si="14"/>
        <v>0.745</v>
      </c>
      <c r="AJ185" s="21">
        <f t="shared" ref="AJ185:AK185" si="15">AJ21</f>
        <v>0.75800000000000001</v>
      </c>
      <c r="AK185" s="21">
        <f t="shared" si="15"/>
        <v>0.77300000000000002</v>
      </c>
    </row>
    <row r="186" spans="2:37" s="13" customFormat="1">
      <c r="B186" s="21" t="str">
        <f>B22</f>
        <v>DATE</v>
      </c>
      <c r="C186" s="21"/>
      <c r="D186" s="22">
        <f t="shared" si="11"/>
        <v>38763</v>
      </c>
      <c r="E186" s="22">
        <f t="shared" si="11"/>
        <v>38763</v>
      </c>
      <c r="F186" s="22">
        <f t="shared" si="11"/>
        <v>38763</v>
      </c>
      <c r="G186" s="22">
        <f t="shared" si="11"/>
        <v>38763</v>
      </c>
      <c r="H186" s="22">
        <f t="shared" si="11"/>
        <v>38763</v>
      </c>
      <c r="I186" s="22">
        <f t="shared" si="11"/>
        <v>38763</v>
      </c>
      <c r="M186" s="21" t="str">
        <f t="shared" si="9"/>
        <v>DATE</v>
      </c>
      <c r="N186" s="21"/>
      <c r="O186" s="22">
        <f t="shared" si="12"/>
        <v>38898</v>
      </c>
      <c r="P186" s="22">
        <f t="shared" si="12"/>
        <v>38898</v>
      </c>
      <c r="Q186" s="22">
        <f t="shared" si="12"/>
        <v>38898</v>
      </c>
      <c r="R186" s="22">
        <f t="shared" si="12"/>
        <v>38898</v>
      </c>
      <c r="S186" s="22">
        <f t="shared" si="12"/>
        <v>38898</v>
      </c>
      <c r="X186" s="21" t="str">
        <f t="shared" si="10"/>
        <v>DATE</v>
      </c>
      <c r="Y186" s="9"/>
      <c r="Z186" s="22">
        <f t="shared" si="13"/>
        <v>39111</v>
      </c>
      <c r="AA186" s="22">
        <f t="shared" si="13"/>
        <v>39136</v>
      </c>
      <c r="AB186" s="22">
        <f t="shared" si="13"/>
        <v>39172</v>
      </c>
      <c r="AC186" s="22">
        <f t="shared" si="13"/>
        <v>39198</v>
      </c>
      <c r="AD186" s="22">
        <f t="shared" si="13"/>
        <v>39227</v>
      </c>
      <c r="AE186" s="22">
        <f t="shared" ref="AE186:AI186" si="16">AE22</f>
        <v>39259</v>
      </c>
      <c r="AF186" s="22">
        <f t="shared" si="16"/>
        <v>39283</v>
      </c>
      <c r="AG186" s="22">
        <f t="shared" si="16"/>
        <v>39306</v>
      </c>
      <c r="AH186" s="22">
        <f t="shared" si="16"/>
        <v>39336</v>
      </c>
      <c r="AI186" s="22">
        <f t="shared" si="16"/>
        <v>39382</v>
      </c>
      <c r="AJ186" s="22">
        <f t="shared" ref="AJ186:AK186" si="17">AJ22</f>
        <v>39394</v>
      </c>
      <c r="AK186" s="22">
        <f t="shared" si="17"/>
        <v>39440</v>
      </c>
    </row>
    <row r="187" spans="2:37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57.4</v>
      </c>
      <c r="E187" s="13">
        <f>'INPUT DATA'!E27</f>
        <v>72.3</v>
      </c>
      <c r="F187" s="13">
        <f>'INPUT DATA'!F27</f>
        <v>82.6</v>
      </c>
      <c r="G187" s="13">
        <f>'INPUT DATA'!G27</f>
        <v>87.9</v>
      </c>
      <c r="H187" s="13">
        <f>'INPUT DATA'!H27</f>
        <v>91</v>
      </c>
      <c r="I187" s="13">
        <f>'INPUT DATA'!I27</f>
        <v>93.9</v>
      </c>
      <c r="M187" s="13" t="str">
        <f t="shared" si="9"/>
        <v>Engine Speed</v>
      </c>
      <c r="N187" s="13" t="str">
        <f>'INPUT DATA'!N27</f>
        <v>rpm</v>
      </c>
      <c r="O187" s="13">
        <f>'INPUT DATA'!O27</f>
        <v>85.9</v>
      </c>
      <c r="P187" s="13">
        <f>'INPUT DATA'!P27</f>
        <v>85.9</v>
      </c>
      <c r="Q187" s="13">
        <f>'INPUT DATA'!Q27</f>
        <v>90.9</v>
      </c>
      <c r="R187" s="13">
        <f>'INPUT DATA'!R27</f>
        <v>90.69</v>
      </c>
      <c r="S187" s="13">
        <f>'INPUT DATA'!S27</f>
        <v>94.09</v>
      </c>
      <c r="X187" s="13" t="str">
        <f t="shared" si="10"/>
        <v>Engine Speed</v>
      </c>
      <c r="Y187" s="9" t="str">
        <f t="shared" ref="Y187:Y218" si="18">N187</f>
        <v>rpm</v>
      </c>
      <c r="Z187" s="13">
        <f>'INPUT DATA'!Z27</f>
        <v>90.4</v>
      </c>
      <c r="AA187" s="13">
        <f>'INPUT DATA'!AA27</f>
        <v>87.2</v>
      </c>
      <c r="AB187" s="13">
        <f>'INPUT DATA'!AB27</f>
        <v>89.3</v>
      </c>
      <c r="AC187" s="13">
        <f>'INPUT DATA'!AC27</f>
        <v>82.1</v>
      </c>
      <c r="AD187" s="13">
        <f>'INPUT DATA'!AD27</f>
        <v>89.3</v>
      </c>
      <c r="AE187" s="13">
        <f>'INPUT DATA'!AE27</f>
        <v>90.4</v>
      </c>
      <c r="AF187" s="13">
        <f>'INPUT DATA'!AF27</f>
        <v>90.3</v>
      </c>
      <c r="AG187" s="13">
        <f>'INPUT DATA'!AG27</f>
        <v>90.7</v>
      </c>
      <c r="AH187" s="13">
        <f>'INPUT DATA'!AH27</f>
        <v>90.8</v>
      </c>
      <c r="AI187" s="13">
        <f>'INPUT DATA'!AI27</f>
        <v>90.8</v>
      </c>
      <c r="AJ187" s="13">
        <f>'INPUT DATA'!AJ27</f>
        <v>90.8</v>
      </c>
      <c r="AK187" s="13">
        <f>'INPUT DATA'!AK27</f>
        <v>90.8</v>
      </c>
    </row>
    <row r="188" spans="2:37" s="13" customFormat="1">
      <c r="B188" s="13" t="s">
        <v>92</v>
      </c>
      <c r="C188" s="13" t="s">
        <v>77</v>
      </c>
      <c r="D188" s="28">
        <f t="shared" ref="D188:H188" si="19">D23+273.15</f>
        <v>283.54999999999995</v>
      </c>
      <c r="E188" s="28">
        <f t="shared" si="19"/>
        <v>283.45</v>
      </c>
      <c r="F188" s="28">
        <f t="shared" si="19"/>
        <v>283.75</v>
      </c>
      <c r="G188" s="28">
        <f t="shared" si="19"/>
        <v>283.84999999999997</v>
      </c>
      <c r="H188" s="28">
        <f t="shared" si="19"/>
        <v>283.95</v>
      </c>
      <c r="I188" s="28">
        <f>I23+273.15</f>
        <v>283.84999999999997</v>
      </c>
      <c r="M188" s="13" t="str">
        <f t="shared" si="9"/>
        <v>E/R Temperature</v>
      </c>
      <c r="N188" s="13" t="s">
        <v>77</v>
      </c>
      <c r="O188" s="28">
        <f t="shared" ref="O188:S188" si="20">O23+273.15</f>
        <v>307.14999999999998</v>
      </c>
      <c r="P188" s="28">
        <f t="shared" si="20"/>
        <v>309.14999999999998</v>
      </c>
      <c r="Q188" s="28">
        <f t="shared" si="20"/>
        <v>308.14999999999998</v>
      </c>
      <c r="R188" s="28">
        <f t="shared" si="20"/>
        <v>308.14999999999998</v>
      </c>
      <c r="S188" s="28">
        <f t="shared" si="20"/>
        <v>308.14999999999998</v>
      </c>
      <c r="X188" s="13" t="str">
        <f t="shared" si="10"/>
        <v>E/R Temperature</v>
      </c>
      <c r="Y188" s="9" t="str">
        <f t="shared" si="18"/>
        <v>K</v>
      </c>
      <c r="Z188" s="28">
        <f t="shared" ref="Z188:AD188" si="21">Z23+273.15</f>
        <v>304.14999999999998</v>
      </c>
      <c r="AA188" s="28">
        <f t="shared" si="21"/>
        <v>291.14999999999998</v>
      </c>
      <c r="AB188" s="28">
        <f t="shared" si="21"/>
        <v>304.14999999999998</v>
      </c>
      <c r="AC188" s="28">
        <f t="shared" si="21"/>
        <v>297.14999999999998</v>
      </c>
      <c r="AD188" s="28">
        <f t="shared" si="21"/>
        <v>315.14999999999998</v>
      </c>
      <c r="AE188" s="28">
        <f t="shared" ref="AE188:AI188" si="22">AE23+273.15</f>
        <v>301.14999999999998</v>
      </c>
      <c r="AF188" s="28">
        <f t="shared" si="22"/>
        <v>308.14999999999998</v>
      </c>
      <c r="AG188" s="28">
        <f t="shared" si="22"/>
        <v>309.14999999999998</v>
      </c>
      <c r="AH188" s="28">
        <f t="shared" si="22"/>
        <v>309.14999999999998</v>
      </c>
      <c r="AI188" s="28">
        <f t="shared" si="22"/>
        <v>313.14999999999998</v>
      </c>
      <c r="AJ188" s="28">
        <f t="shared" ref="AJ188:AK188" si="23">AJ23+273.15</f>
        <v>309.14999999999998</v>
      </c>
      <c r="AK188" s="28">
        <f t="shared" si="23"/>
        <v>306.14999999999998</v>
      </c>
    </row>
    <row r="189" spans="2:37" s="13" customFormat="1">
      <c r="B189" s="13" t="s">
        <v>230</v>
      </c>
      <c r="C189" s="13" t="s">
        <v>94</v>
      </c>
      <c r="D189" s="28">
        <f>IF($C$24="mbar",D24,D24*1000*$J$5)</f>
        <v>1010.5837162</v>
      </c>
      <c r="E189" s="28">
        <f t="shared" ref="E189:I189" si="24">IF($C$24="mbar",E24,E24*1000*$J$5)</f>
        <v>1010.31707142</v>
      </c>
      <c r="F189" s="28">
        <f t="shared" si="24"/>
        <v>1009.65045947</v>
      </c>
      <c r="G189" s="28">
        <f t="shared" si="24"/>
        <v>1008.98384752</v>
      </c>
      <c r="H189" s="28">
        <f t="shared" si="24"/>
        <v>1008.98384752</v>
      </c>
      <c r="I189" s="28">
        <f t="shared" si="24"/>
        <v>1008.98384752</v>
      </c>
      <c r="M189" s="13" t="s">
        <v>230</v>
      </c>
      <c r="N189" s="13" t="s">
        <v>94</v>
      </c>
      <c r="O189" s="28">
        <f>IF($N$24="mbar",O24,O24*1000*$J$5)</f>
        <v>1014.98335507</v>
      </c>
      <c r="P189" s="28">
        <f>IF($N$24="mbar",P24,P24*1000*$J$5)</f>
        <v>1014.98335507</v>
      </c>
      <c r="Q189" s="28">
        <f t="shared" ref="Q189:S189" si="25">IF($N$24="mbar",Q24,Q24*1000*$J$5)</f>
        <v>1014.98335507</v>
      </c>
      <c r="R189" s="28">
        <f t="shared" si="25"/>
        <v>1014.98335507</v>
      </c>
      <c r="S189" s="28">
        <f t="shared" si="25"/>
        <v>1014.98335507</v>
      </c>
      <c r="T189" s="28"/>
      <c r="X189" s="13" t="s">
        <v>230</v>
      </c>
      <c r="Y189" s="13" t="s">
        <v>94</v>
      </c>
      <c r="Z189" s="28">
        <f>IF($Y$24="mbar",Z24,Z24*1000*$J$5)</f>
        <v>0</v>
      </c>
      <c r="AA189" s="28">
        <f t="shared" ref="AA189:AI189" si="26">IF($Y$24="mbar",AA24,AA24*1000*$J$5)</f>
        <v>0</v>
      </c>
      <c r="AB189" s="28">
        <f t="shared" si="26"/>
        <v>0</v>
      </c>
      <c r="AC189" s="28">
        <f t="shared" si="26"/>
        <v>0</v>
      </c>
      <c r="AD189" s="28">
        <f t="shared" si="26"/>
        <v>0</v>
      </c>
      <c r="AE189" s="28">
        <f t="shared" si="26"/>
        <v>0</v>
      </c>
      <c r="AF189" s="28">
        <f t="shared" si="26"/>
        <v>0</v>
      </c>
      <c r="AG189" s="28">
        <f t="shared" si="26"/>
        <v>0</v>
      </c>
      <c r="AH189" s="28">
        <f t="shared" si="26"/>
        <v>0</v>
      </c>
      <c r="AI189" s="28">
        <f t="shared" si="26"/>
        <v>0</v>
      </c>
      <c r="AJ189" s="28">
        <f t="shared" ref="AJ189:AK189" si="27">IF($Y$24="mbar",AJ24,AJ24*1000*$J$5)</f>
        <v>0</v>
      </c>
      <c r="AK189" s="28">
        <f t="shared" si="27"/>
        <v>0</v>
      </c>
    </row>
    <row r="190" spans="2:37" s="13" customFormat="1">
      <c r="B190" s="13" t="s">
        <v>22</v>
      </c>
      <c r="C190" s="13" t="s">
        <v>20</v>
      </c>
      <c r="D190" s="28">
        <f>IFERROR(AVERAGE(D72:D83)," ")</f>
        <v>7.8933333333333335</v>
      </c>
      <c r="E190" s="28">
        <f t="shared" ref="E190:I190" si="28">IFERROR(AVERAGE(E72:E83)," ")</f>
        <v>11.743333333333334</v>
      </c>
      <c r="F190" s="28">
        <f t="shared" si="28"/>
        <v>15.158333333333333</v>
      </c>
      <c r="G190" s="28">
        <f t="shared" si="28"/>
        <v>17.028333333333332</v>
      </c>
      <c r="H190" s="28">
        <f t="shared" si="28"/>
        <v>18.233333333333338</v>
      </c>
      <c r="I190" s="28">
        <f t="shared" si="28"/>
        <v>18.353333333333335</v>
      </c>
      <c r="M190" s="13" t="s">
        <v>22</v>
      </c>
      <c r="N190" s="13" t="s">
        <v>20</v>
      </c>
      <c r="O190" s="28" t="str">
        <f>IFERROR(AVERAGE(O72:O83)," ")</f>
        <v xml:space="preserve"> </v>
      </c>
      <c r="P190" s="28" t="str">
        <f t="shared" ref="P190:S190" si="29">IFERROR(AVERAGE(P72:P83)," ")</f>
        <v xml:space="preserve"> </v>
      </c>
      <c r="Q190" s="28" t="str">
        <f t="shared" si="29"/>
        <v xml:space="preserve"> </v>
      </c>
      <c r="R190" s="28" t="str">
        <f t="shared" si="29"/>
        <v xml:space="preserve"> </v>
      </c>
      <c r="S190" s="28" t="str">
        <f t="shared" si="29"/>
        <v xml:space="preserve"> </v>
      </c>
      <c r="T190" s="28"/>
      <c r="X190" s="13" t="s">
        <v>22</v>
      </c>
      <c r="Y190" s="13" t="s">
        <v>20</v>
      </c>
      <c r="Z190" s="28">
        <f t="shared" ref="Z190:AD190" si="30">AVERAGE(Z72:Z83)</f>
        <v>14.133333333333335</v>
      </c>
      <c r="AA190" s="28">
        <f t="shared" si="30"/>
        <v>13.466666666666667</v>
      </c>
      <c r="AB190" s="28">
        <f t="shared" si="30"/>
        <v>13.616666666666667</v>
      </c>
      <c r="AC190" s="28">
        <f t="shared" si="30"/>
        <v>11.883333333333333</v>
      </c>
      <c r="AD190" s="28">
        <f t="shared" si="30"/>
        <v>13.466666666666667</v>
      </c>
      <c r="AE190" s="28">
        <f t="shared" ref="AE190:AI190" si="31">AVERAGE(AE72:AE83)</f>
        <v>13.983333333333334</v>
      </c>
      <c r="AF190" s="28">
        <f t="shared" si="31"/>
        <v>13.450000000000001</v>
      </c>
      <c r="AG190" s="28">
        <f t="shared" si="31"/>
        <v>13.983333333333334</v>
      </c>
      <c r="AH190" s="28">
        <f t="shared" si="31"/>
        <v>13.899999999999999</v>
      </c>
      <c r="AI190" s="28">
        <f t="shared" si="31"/>
        <v>13.833333333333334</v>
      </c>
      <c r="AJ190" s="28">
        <f t="shared" ref="AJ190:AK190" si="32">AVERAGE(AJ72:AJ83)</f>
        <v>14.049999999999999</v>
      </c>
      <c r="AK190" s="28">
        <f t="shared" si="32"/>
        <v>14.300000000000002</v>
      </c>
    </row>
    <row r="191" spans="2:37" s="13" customFormat="1">
      <c r="B191" s="13" t="str">
        <f>B84</f>
        <v>Fuel Pump Index</v>
      </c>
      <c r="C191" s="13" t="str">
        <f>C84</f>
        <v>-</v>
      </c>
      <c r="D191" s="13">
        <f>AVERAGE(D85:D96)</f>
        <v>42</v>
      </c>
      <c r="E191" s="13">
        <f t="shared" ref="E191:I191" si="33">AVERAGE(E85:E96)</f>
        <v>56</v>
      </c>
      <c r="F191" s="13">
        <f t="shared" si="33"/>
        <v>70</v>
      </c>
      <c r="G191" s="13">
        <f t="shared" si="33"/>
        <v>77</v>
      </c>
      <c r="H191" s="13">
        <f t="shared" si="33"/>
        <v>85</v>
      </c>
      <c r="I191" s="13">
        <f t="shared" si="33"/>
        <v>90</v>
      </c>
      <c r="M191" s="13" t="str">
        <f>M84</f>
        <v>Fuel Pump Index</v>
      </c>
      <c r="N191" s="13" t="str">
        <f>N84</f>
        <v>-</v>
      </c>
      <c r="O191" s="13">
        <f>AVERAGE(O85:O96)</f>
        <v>75.333333333333329</v>
      </c>
      <c r="P191" s="13">
        <f t="shared" ref="P191:S191" si="34">AVERAGE(P85:P96)</f>
        <v>72.333333333333329</v>
      </c>
      <c r="Q191" s="13">
        <f t="shared" si="34"/>
        <v>84.166666666666671</v>
      </c>
      <c r="R191" s="13">
        <f t="shared" si="34"/>
        <v>80</v>
      </c>
      <c r="S191" s="13">
        <f t="shared" si="34"/>
        <v>88.166666666666671</v>
      </c>
      <c r="X191" s="13" t="str">
        <f>X84</f>
        <v>Fuel Pump Index</v>
      </c>
      <c r="Y191" s="13" t="str">
        <f>Y84</f>
        <v>-</v>
      </c>
      <c r="Z191" s="13">
        <f t="shared" ref="Z191:AD191" si="35">AVERAGE(Z85:Z96)</f>
        <v>80.25</v>
      </c>
      <c r="AA191" s="13">
        <f t="shared" si="35"/>
        <v>72.333333333333329</v>
      </c>
      <c r="AB191" s="13">
        <f t="shared" si="35"/>
        <v>80.333333333333329</v>
      </c>
      <c r="AC191" s="13">
        <f t="shared" si="35"/>
        <v>71</v>
      </c>
      <c r="AD191" s="13">
        <f t="shared" si="35"/>
        <v>77</v>
      </c>
      <c r="AE191" s="13">
        <f t="shared" ref="AE191:AI191" si="36">AVERAGE(AE85:AE96)</f>
        <v>79</v>
      </c>
      <c r="AF191" s="13">
        <f t="shared" si="36"/>
        <v>78.166666666666671</v>
      </c>
      <c r="AG191" s="13">
        <f t="shared" si="36"/>
        <v>81.333333333333329</v>
      </c>
      <c r="AH191" s="13">
        <f t="shared" si="36"/>
        <v>80.666666666666671</v>
      </c>
      <c r="AI191" s="13">
        <f t="shared" si="36"/>
        <v>80.5</v>
      </c>
      <c r="AJ191" s="13">
        <f t="shared" ref="AJ191:AK191" si="37">AVERAGE(AJ85:AJ96)</f>
        <v>81.5</v>
      </c>
      <c r="AK191" s="13">
        <f t="shared" si="37"/>
        <v>81.333333333333329</v>
      </c>
    </row>
    <row r="192" spans="2:37" s="13" customFormat="1">
      <c r="B192" s="13" t="str">
        <f t="shared" ref="B192:C192" si="38">B97</f>
        <v>VIT index</v>
      </c>
      <c r="C192" s="13" t="str">
        <f t="shared" si="38"/>
        <v>-</v>
      </c>
      <c r="D192" s="28">
        <f>AVERAGE(D98:D109)</f>
        <v>1.5166666666666668</v>
      </c>
      <c r="E192" s="28">
        <f t="shared" ref="E192:I192" si="39">AVERAGE(E98:E109)</f>
        <v>1.5333333333333332</v>
      </c>
      <c r="F192" s="28">
        <f t="shared" si="39"/>
        <v>2.5</v>
      </c>
      <c r="G192" s="28">
        <f t="shared" si="39"/>
        <v>3.0166666666666671</v>
      </c>
      <c r="H192" s="28">
        <f t="shared" si="39"/>
        <v>0.75</v>
      </c>
      <c r="I192" s="28">
        <f t="shared" si="39"/>
        <v>0</v>
      </c>
      <c r="M192" s="13" t="str">
        <f t="shared" ref="M192:N192" si="40">M97</f>
        <v>VIT index</v>
      </c>
      <c r="N192" s="13" t="str">
        <f t="shared" si="40"/>
        <v>-</v>
      </c>
      <c r="O192" s="13">
        <f>AVERAGE(O98:O109)</f>
        <v>2.9333333333333336</v>
      </c>
      <c r="P192" s="13">
        <f t="shared" ref="P192:S192" si="41">AVERAGE(P98:P109)</f>
        <v>3.5833333333333335</v>
      </c>
      <c r="Q192" s="13">
        <f t="shared" si="41"/>
        <v>2.9</v>
      </c>
      <c r="R192" s="13">
        <f t="shared" si="41"/>
        <v>4.2666666666666666</v>
      </c>
      <c r="S192" s="13">
        <f t="shared" si="41"/>
        <v>0.85000000000000009</v>
      </c>
      <c r="X192" s="13" t="str">
        <f t="shared" ref="X192:Y192" si="42">X97</f>
        <v>VIT index</v>
      </c>
      <c r="Y192" s="13" t="str">
        <f t="shared" si="42"/>
        <v>-</v>
      </c>
      <c r="Z192" s="13">
        <f t="shared" ref="Z192:AD192" si="43">AVERAGE(Z98:Z109)</f>
        <v>3.3166666666666664</v>
      </c>
      <c r="AA192" s="13">
        <f t="shared" si="43"/>
        <v>3</v>
      </c>
      <c r="AB192" s="13">
        <f t="shared" si="43"/>
        <v>3.35</v>
      </c>
      <c r="AC192" s="13">
        <f t="shared" si="43"/>
        <v>2.9666666666666668</v>
      </c>
      <c r="AD192" s="13">
        <f t="shared" si="43"/>
        <v>3.3666666666666667</v>
      </c>
      <c r="AE192" s="13">
        <f t="shared" ref="AE192:AI192" si="44">AVERAGE(AE98:AE109)</f>
        <v>3.2999999999999994</v>
      </c>
      <c r="AF192" s="13">
        <f t="shared" si="44"/>
        <v>3.35</v>
      </c>
      <c r="AG192" s="13">
        <f t="shared" si="44"/>
        <v>3.3333333333333335</v>
      </c>
      <c r="AH192" s="13">
        <f t="shared" si="44"/>
        <v>3.5166666666666671</v>
      </c>
      <c r="AI192" s="13">
        <f t="shared" si="44"/>
        <v>3.75</v>
      </c>
      <c r="AJ192" s="13">
        <f t="shared" ref="AJ192:AK192" si="45">AVERAGE(AJ98:AJ109)</f>
        <v>3.7333333333333329</v>
      </c>
      <c r="AK192" s="13">
        <f t="shared" si="45"/>
        <v>3.9666666666666663</v>
      </c>
    </row>
    <row r="193" spans="2:37" s="11" customFormat="1">
      <c r="B193" s="13" t="s">
        <v>45</v>
      </c>
      <c r="C193" s="62" t="str">
        <f>C163</f>
        <v>mmW</v>
      </c>
      <c r="D193" s="11">
        <f t="shared" ref="D193:H193" si="46">AVERAGE(D164:D167)</f>
        <v>5</v>
      </c>
      <c r="E193" s="11">
        <f t="shared" si="46"/>
        <v>14</v>
      </c>
      <c r="F193" s="11">
        <f t="shared" si="46"/>
        <v>28</v>
      </c>
      <c r="G193" s="11">
        <f t="shared" si="46"/>
        <v>33.5</v>
      </c>
      <c r="H193" s="11">
        <f t="shared" si="46"/>
        <v>40</v>
      </c>
      <c r="I193" s="11">
        <f>AVERAGE(I164:I167)</f>
        <v>46</v>
      </c>
      <c r="M193" s="13" t="str">
        <f t="shared" si="9"/>
        <v>Air Filter Pressure Drop</v>
      </c>
      <c r="N193" s="6" t="s">
        <v>46</v>
      </c>
      <c r="O193" s="11">
        <f t="shared" ref="O193:S193" si="47">AVERAGE(O164:O167)</f>
        <v>44.5</v>
      </c>
      <c r="P193" s="11">
        <f t="shared" si="47"/>
        <v>43.5</v>
      </c>
      <c r="Q193" s="11">
        <f t="shared" si="47"/>
        <v>57.5</v>
      </c>
      <c r="R193" s="11">
        <f t="shared" si="47"/>
        <v>50</v>
      </c>
      <c r="S193" s="11">
        <f t="shared" si="47"/>
        <v>65</v>
      </c>
      <c r="X193" s="13" t="str">
        <f t="shared" si="10"/>
        <v>Air Filter Pressure Drop</v>
      </c>
      <c r="Y193" s="9" t="str">
        <f t="shared" si="18"/>
        <v>mmW</v>
      </c>
      <c r="Z193" s="11">
        <f t="shared" ref="Z193:AD193" si="48">AVERAGE(Z164:Z167)</f>
        <v>82.5</v>
      </c>
      <c r="AA193" s="11">
        <f t="shared" si="48"/>
        <v>82.5</v>
      </c>
      <c r="AB193" s="11">
        <f t="shared" si="48"/>
        <v>72.5</v>
      </c>
      <c r="AC193" s="11">
        <f t="shared" si="48"/>
        <v>65</v>
      </c>
      <c r="AD193" s="11">
        <f t="shared" si="48"/>
        <v>60</v>
      </c>
      <c r="AE193" s="11">
        <f t="shared" ref="AE193:AI193" si="49">AVERAGE(AE164:AE167)</f>
        <v>47.5</v>
      </c>
      <c r="AF193" s="11">
        <f t="shared" si="49"/>
        <v>55.5</v>
      </c>
      <c r="AG193" s="11">
        <f t="shared" si="49"/>
        <v>77.5</v>
      </c>
      <c r="AH193" s="11">
        <f t="shared" si="49"/>
        <v>37.5</v>
      </c>
      <c r="AI193" s="11">
        <f t="shared" si="49"/>
        <v>40</v>
      </c>
      <c r="AJ193" s="11">
        <f t="shared" ref="AJ193:AK193" si="50">AVERAGE(AJ164:AJ167)</f>
        <v>45</v>
      </c>
      <c r="AK193" s="11">
        <f t="shared" si="50"/>
        <v>50</v>
      </c>
    </row>
    <row r="194" spans="2:37" s="11" customFormat="1">
      <c r="B194" s="13" t="s">
        <v>45</v>
      </c>
      <c r="C194" s="6" t="s">
        <v>20</v>
      </c>
      <c r="D194" s="11">
        <f>IF($C$193="mmW",D193*$J$6,IF($C$193="mbar",D193*0.001,IF($C$193="mmHg",D193*$J$5," ")))</f>
        <v>4.9033249999999996E-4</v>
      </c>
      <c r="E194" s="11">
        <f t="shared" ref="E194:I194" si="51">IF($C$193="mmW",E193*$J$6,IF($C$193="mbar",E193*0.001,IF($C$193="mmHg",E193*$J$5," ")))</f>
        <v>1.372931E-3</v>
      </c>
      <c r="F194" s="11">
        <f t="shared" si="51"/>
        <v>2.745862E-3</v>
      </c>
      <c r="G194" s="11">
        <f t="shared" si="51"/>
        <v>3.28522775E-3</v>
      </c>
      <c r="H194" s="11">
        <f t="shared" si="51"/>
        <v>3.9226599999999997E-3</v>
      </c>
      <c r="I194" s="11">
        <f t="shared" si="51"/>
        <v>4.5110590000000004E-3</v>
      </c>
      <c r="M194" s="13" t="str">
        <f t="shared" si="9"/>
        <v>Air Filter Pressure Drop</v>
      </c>
      <c r="N194" s="6" t="s">
        <v>20</v>
      </c>
      <c r="O194" s="11">
        <f>IF($N$193="mmW",O193*$J$6,IF($N$193="mbar",O193*0.001,IF($N$193="mmHg",O193*$J$5," ")))</f>
        <v>4.3639592499999996E-3</v>
      </c>
      <c r="P194" s="11">
        <f t="shared" ref="P194:S194" si="52">IF($N$193="mmW",P193*$J$6,IF($N$193="mbar",P193*0.001,IF($N$193="mmHg",P193*$J$5," ")))</f>
        <v>4.2658927499999999E-3</v>
      </c>
      <c r="Q194" s="11">
        <f t="shared" si="52"/>
        <v>5.6388237499999999E-3</v>
      </c>
      <c r="R194" s="11">
        <f t="shared" si="52"/>
        <v>4.903325E-3</v>
      </c>
      <c r="S194" s="11">
        <f t="shared" si="52"/>
        <v>6.3743224999999997E-3</v>
      </c>
      <c r="X194" s="13" t="str">
        <f t="shared" si="10"/>
        <v>Air Filter Pressure Drop</v>
      </c>
      <c r="Y194" s="9" t="str">
        <f t="shared" si="18"/>
        <v>bar</v>
      </c>
      <c r="Z194" s="11">
        <f>IF($Y$193="mmW",Z193*$J$6,IF($Y$193="mbar",Z193*0.001,IF($Y$193="mmHg",Z193*$J$5," ")))</f>
        <v>8.0904862500000008E-3</v>
      </c>
      <c r="AA194" s="11">
        <f t="shared" ref="AA194:AI194" si="53">IF($Y$193="mmW",AA193*$J$6,IF($Y$193="mbar",AA193*0.001,IF($Y$193="mmHg",AA193*$J$5," ")))</f>
        <v>8.0904862500000008E-3</v>
      </c>
      <c r="AB194" s="11">
        <f t="shared" si="53"/>
        <v>7.1098212500000004E-3</v>
      </c>
      <c r="AC194" s="11">
        <f t="shared" si="53"/>
        <v>6.3743224999999997E-3</v>
      </c>
      <c r="AD194" s="11">
        <f t="shared" si="53"/>
        <v>5.8839900000000004E-3</v>
      </c>
      <c r="AE194" s="11">
        <f t="shared" si="53"/>
        <v>4.6581587500000004E-3</v>
      </c>
      <c r="AF194" s="11">
        <f t="shared" si="53"/>
        <v>5.4426907499999996E-3</v>
      </c>
      <c r="AG194" s="11">
        <f t="shared" si="53"/>
        <v>7.6001537499999997E-3</v>
      </c>
      <c r="AH194" s="11">
        <f t="shared" si="53"/>
        <v>3.67749375E-3</v>
      </c>
      <c r="AI194" s="11">
        <f t="shared" si="53"/>
        <v>3.9226599999999997E-3</v>
      </c>
      <c r="AJ194" s="11">
        <f t="shared" ref="AJ194:AK194" si="54">IF($Y$193="mmW",AJ193*$J$6,IF($Y$193="mbar",AJ193*0.001,IF($Y$193="mmHg",AJ193*$J$5," ")))</f>
        <v>4.4129924999999999E-3</v>
      </c>
      <c r="AK194" s="11">
        <f t="shared" si="54"/>
        <v>4.903325E-3</v>
      </c>
    </row>
    <row r="195" spans="2:37" s="11" customFormat="1">
      <c r="B195" s="11" t="s">
        <v>44</v>
      </c>
      <c r="C195" s="6" t="s">
        <v>26</v>
      </c>
      <c r="D195" s="11">
        <f t="shared" ref="D195:H195" si="55">AVERAGE(D159:D162)</f>
        <v>14.149999999999999</v>
      </c>
      <c r="E195" s="11">
        <f t="shared" si="55"/>
        <v>15.2</v>
      </c>
      <c r="F195" s="11">
        <f t="shared" si="55"/>
        <v>16.149999999999999</v>
      </c>
      <c r="G195" s="11">
        <f t="shared" si="55"/>
        <v>18.350000000000001</v>
      </c>
      <c r="H195" s="11">
        <f t="shared" si="55"/>
        <v>17.45</v>
      </c>
      <c r="I195" s="11">
        <f>AVERAGE(I159:I162)</f>
        <v>18.55</v>
      </c>
      <c r="M195" s="11" t="str">
        <f t="shared" si="9"/>
        <v>Blower Inlet Temperature</v>
      </c>
      <c r="N195" s="6" t="s">
        <v>26</v>
      </c>
      <c r="O195" s="11">
        <f t="shared" ref="O195:S195" si="56">AVERAGE(O159:O162)</f>
        <v>36.75</v>
      </c>
      <c r="P195" s="11">
        <f t="shared" si="56"/>
        <v>37.25</v>
      </c>
      <c r="Q195" s="11">
        <f t="shared" si="56"/>
        <v>37.25</v>
      </c>
      <c r="R195" s="11">
        <f t="shared" si="56"/>
        <v>37.25</v>
      </c>
      <c r="S195" s="11">
        <f t="shared" si="56"/>
        <v>37.25</v>
      </c>
      <c r="X195" s="11" t="str">
        <f t="shared" si="10"/>
        <v>Blower Inlet Temperature</v>
      </c>
      <c r="Y195" s="9" t="str">
        <f t="shared" si="18"/>
        <v>°C</v>
      </c>
      <c r="Z195" s="11">
        <f t="shared" ref="Z195:AD195" si="57">AVERAGE(Z159:Z162)</f>
        <v>31</v>
      </c>
      <c r="AA195" s="11">
        <f t="shared" si="57"/>
        <v>28</v>
      </c>
      <c r="AB195" s="11">
        <f t="shared" si="57"/>
        <v>30</v>
      </c>
      <c r="AC195" s="11">
        <f t="shared" si="57"/>
        <v>24</v>
      </c>
      <c r="AD195" s="11">
        <f t="shared" si="57"/>
        <v>38</v>
      </c>
      <c r="AE195" s="11">
        <f t="shared" ref="AE195:AI195" si="58">AVERAGE(AE159:AE162)</f>
        <v>28</v>
      </c>
      <c r="AF195" s="11">
        <f t="shared" si="58"/>
        <v>33.5</v>
      </c>
      <c r="AG195" s="11">
        <f t="shared" si="58"/>
        <v>36</v>
      </c>
      <c r="AH195" s="11">
        <f t="shared" si="58"/>
        <v>35</v>
      </c>
      <c r="AI195" s="11">
        <f t="shared" si="58"/>
        <v>39</v>
      </c>
      <c r="AJ195" s="11">
        <f t="shared" ref="AJ195:AK195" si="59">AVERAGE(AJ159:AJ162)</f>
        <v>36</v>
      </c>
      <c r="AK195" s="11">
        <f t="shared" si="59"/>
        <v>33</v>
      </c>
    </row>
    <row r="196" spans="2:37" s="11" customFormat="1">
      <c r="B196" s="14" t="s">
        <v>160</v>
      </c>
      <c r="C196" s="6" t="s">
        <v>26</v>
      </c>
      <c r="D196" s="11">
        <f t="shared" ref="D196:H196" si="60">AVERAGE(D169:D172)</f>
        <v>262.5</v>
      </c>
      <c r="E196" s="11">
        <f t="shared" si="60"/>
        <v>314</v>
      </c>
      <c r="F196" s="11">
        <f t="shared" si="60"/>
        <v>335</v>
      </c>
      <c r="G196" s="11">
        <f t="shared" si="60"/>
        <v>353.5</v>
      </c>
      <c r="H196" s="11">
        <f t="shared" si="60"/>
        <v>375</v>
      </c>
      <c r="I196" s="11">
        <f>AVERAGE(I169:I172)</f>
        <v>395</v>
      </c>
      <c r="M196" s="14" t="str">
        <f t="shared" si="9"/>
        <v>Turbine inlet Temperature</v>
      </c>
      <c r="N196" s="6" t="s">
        <v>26</v>
      </c>
      <c r="O196" s="11">
        <f t="shared" ref="O196:S196" si="61">AVERAGE(O169:O172)</f>
        <v>375</v>
      </c>
      <c r="P196" s="11">
        <f t="shared" si="61"/>
        <v>372.5</v>
      </c>
      <c r="Q196" s="11">
        <f t="shared" si="61"/>
        <v>397</v>
      </c>
      <c r="R196" s="11">
        <f t="shared" si="61"/>
        <v>385</v>
      </c>
      <c r="S196" s="11">
        <f t="shared" si="61"/>
        <v>412.5</v>
      </c>
      <c r="X196" s="14" t="str">
        <f t="shared" si="10"/>
        <v>Turbine inlet Temperature</v>
      </c>
      <c r="Y196" s="9" t="str">
        <f t="shared" si="18"/>
        <v>°C</v>
      </c>
      <c r="Z196" s="11">
        <f t="shared" ref="Z196:AD196" si="62">AVERAGE(Z169:Z172)</f>
        <v>377.5</v>
      </c>
      <c r="AA196" s="11">
        <f t="shared" si="62"/>
        <v>350</v>
      </c>
      <c r="AB196" s="11">
        <f t="shared" si="62"/>
        <v>365</v>
      </c>
      <c r="AC196" s="11">
        <f t="shared" si="62"/>
        <v>342.5</v>
      </c>
      <c r="AD196" s="11">
        <f t="shared" si="62"/>
        <v>385</v>
      </c>
      <c r="AE196" s="11">
        <f t="shared" ref="AE196:AI196" si="63">AVERAGE(AE169:AE172)</f>
        <v>375</v>
      </c>
      <c r="AF196" s="11">
        <f t="shared" si="63"/>
        <v>395</v>
      </c>
      <c r="AG196" s="11">
        <f t="shared" si="63"/>
        <v>397.5</v>
      </c>
      <c r="AH196" s="11">
        <f t="shared" si="63"/>
        <v>388.5</v>
      </c>
      <c r="AI196" s="11">
        <f t="shared" si="63"/>
        <v>401</v>
      </c>
      <c r="AJ196" s="11">
        <f t="shared" ref="AJ196:AK196" si="64">AVERAGE(AJ169:AJ172)</f>
        <v>394.5</v>
      </c>
      <c r="AK196" s="11">
        <f t="shared" si="64"/>
        <v>375</v>
      </c>
    </row>
    <row r="197" spans="2:37" s="11" customFormat="1">
      <c r="B197" s="14" t="s">
        <v>95</v>
      </c>
      <c r="C197" s="6" t="s">
        <v>26</v>
      </c>
      <c r="D197" s="11">
        <f t="shared" ref="D197:H197" si="65">AVERAGE(D174:D177)</f>
        <v>224</v>
      </c>
      <c r="E197" s="11">
        <f t="shared" si="65"/>
        <v>220.5</v>
      </c>
      <c r="F197" s="11">
        <f t="shared" si="65"/>
        <v>197</v>
      </c>
      <c r="G197" s="11">
        <f t="shared" si="65"/>
        <v>197</v>
      </c>
      <c r="H197" s="11">
        <f t="shared" si="65"/>
        <v>205</v>
      </c>
      <c r="I197" s="11">
        <f>AVERAGE(I174:I177)</f>
        <v>214</v>
      </c>
      <c r="M197" s="14" t="str">
        <f t="shared" si="9"/>
        <v>Turbine outlet Temperature</v>
      </c>
      <c r="N197" s="6" t="s">
        <v>26</v>
      </c>
      <c r="O197" s="11">
        <f t="shared" ref="O197:S197" si="66">AVERAGE(O174:O177)</f>
        <v>222.5</v>
      </c>
      <c r="P197" s="11">
        <f t="shared" si="66"/>
        <v>225</v>
      </c>
      <c r="Q197" s="11">
        <f t="shared" si="66"/>
        <v>222.5</v>
      </c>
      <c r="R197" s="11">
        <f t="shared" si="66"/>
        <v>222.5</v>
      </c>
      <c r="S197" s="11">
        <f t="shared" si="66"/>
        <v>227.5</v>
      </c>
      <c r="X197" s="14" t="str">
        <f t="shared" si="10"/>
        <v>Turbine outlet Temperature</v>
      </c>
      <c r="Y197" s="9" t="str">
        <f t="shared" si="18"/>
        <v>°C</v>
      </c>
      <c r="Z197" s="11">
        <f t="shared" ref="Z197:AD197" si="67">AVERAGE(Z174:Z177)</f>
        <v>232.5</v>
      </c>
      <c r="AA197" s="11">
        <f t="shared" si="67"/>
        <v>215</v>
      </c>
      <c r="AB197" s="11">
        <f t="shared" si="67"/>
        <v>230</v>
      </c>
      <c r="AC197" s="11">
        <f t="shared" si="67"/>
        <v>232.5</v>
      </c>
      <c r="AD197" s="11">
        <f t="shared" si="67"/>
        <v>242.5</v>
      </c>
      <c r="AE197" s="11">
        <f t="shared" ref="AE197:AI197" si="68">AVERAGE(AE174:AE177)</f>
        <v>230</v>
      </c>
      <c r="AF197" s="11">
        <f t="shared" si="68"/>
        <v>247.5</v>
      </c>
      <c r="AG197" s="11">
        <f t="shared" si="68"/>
        <v>256.5</v>
      </c>
      <c r="AH197" s="11">
        <f t="shared" si="68"/>
        <v>240.5</v>
      </c>
      <c r="AI197" s="11">
        <f t="shared" si="68"/>
        <v>252.5</v>
      </c>
      <c r="AJ197" s="11">
        <f t="shared" ref="AJ197:AK197" si="69">AVERAGE(AJ174:AJ177)</f>
        <v>246.5</v>
      </c>
      <c r="AK197" s="11">
        <f t="shared" si="69"/>
        <v>235.5</v>
      </c>
    </row>
    <row r="198" spans="2:37" s="11" customFormat="1">
      <c r="B198" s="15" t="s">
        <v>97</v>
      </c>
      <c r="C198" s="62" t="str">
        <f>C178</f>
        <v>mmW</v>
      </c>
      <c r="D198" s="11">
        <f t="shared" ref="D198:H198" si="70">AVERAGE(D179:D182)</f>
        <v>0</v>
      </c>
      <c r="E198" s="11">
        <f t="shared" si="70"/>
        <v>40</v>
      </c>
      <c r="F198" s="11">
        <f t="shared" si="70"/>
        <v>80</v>
      </c>
      <c r="G198" s="11">
        <f t="shared" si="70"/>
        <v>150</v>
      </c>
      <c r="H198" s="11">
        <f t="shared" si="70"/>
        <v>160</v>
      </c>
      <c r="I198" s="11">
        <f>AVERAGE(I179:I182)</f>
        <v>230</v>
      </c>
      <c r="M198" s="15" t="str">
        <f t="shared" si="9"/>
        <v xml:space="preserve">Exhaust Backpressure </v>
      </c>
      <c r="N198" s="6" t="s">
        <v>46</v>
      </c>
      <c r="O198" s="11">
        <f t="shared" ref="O198:S198" si="71">AVERAGE(O179:O182)</f>
        <v>150</v>
      </c>
      <c r="P198" s="11">
        <f t="shared" si="71"/>
        <v>140</v>
      </c>
      <c r="Q198" s="11">
        <f t="shared" si="71"/>
        <v>180</v>
      </c>
      <c r="R198" s="11">
        <f t="shared" si="71"/>
        <v>180</v>
      </c>
      <c r="S198" s="11">
        <f t="shared" si="71"/>
        <v>220</v>
      </c>
      <c r="X198" s="15" t="str">
        <f t="shared" si="10"/>
        <v xml:space="preserve">Exhaust Backpressure </v>
      </c>
      <c r="Y198" s="9" t="str">
        <f t="shared" si="18"/>
        <v>mmW</v>
      </c>
      <c r="Z198" s="11">
        <f t="shared" ref="Z198:AD198" si="72">AVERAGE(Z179:Z182)</f>
        <v>0</v>
      </c>
      <c r="AA198" s="11">
        <f t="shared" si="72"/>
        <v>0</v>
      </c>
      <c r="AB198" s="11">
        <f t="shared" si="72"/>
        <v>0</v>
      </c>
      <c r="AC198" s="11">
        <f t="shared" si="72"/>
        <v>0</v>
      </c>
      <c r="AD198" s="11">
        <f t="shared" si="72"/>
        <v>0</v>
      </c>
      <c r="AE198" s="11">
        <f t="shared" ref="AE198:AI198" si="73">AVERAGE(AE179:AE182)</f>
        <v>0</v>
      </c>
      <c r="AF198" s="11">
        <f t="shared" si="73"/>
        <v>0</v>
      </c>
      <c r="AG198" s="11">
        <f t="shared" si="73"/>
        <v>0</v>
      </c>
      <c r="AH198" s="11">
        <f t="shared" si="73"/>
        <v>0</v>
      </c>
      <c r="AI198" s="11">
        <f t="shared" si="73"/>
        <v>0</v>
      </c>
      <c r="AJ198" s="11">
        <f t="shared" ref="AJ198:AK198" si="74">AVERAGE(AJ179:AJ182)</f>
        <v>0</v>
      </c>
      <c r="AK198" s="11">
        <f t="shared" si="74"/>
        <v>0</v>
      </c>
    </row>
    <row r="199" spans="2:37" s="11" customFormat="1">
      <c r="B199" s="15" t="s">
        <v>97</v>
      </c>
      <c r="C199" s="6" t="s">
        <v>20</v>
      </c>
      <c r="D199" s="11">
        <f>IF($C$198="mmW",D198*$J$6,IF($C$198="mbar",D198*0.001,D198*$J$5))</f>
        <v>0</v>
      </c>
      <c r="E199" s="11">
        <f t="shared" ref="E199:I199" si="75">IF($C$198="mmW",E198*$J$6,IF($C$198="mbar",E198*0.001,E198*$J$5))</f>
        <v>3.9226599999999997E-3</v>
      </c>
      <c r="F199" s="11">
        <f t="shared" si="75"/>
        <v>7.8453199999999994E-3</v>
      </c>
      <c r="G199" s="11">
        <f t="shared" si="75"/>
        <v>1.4709975E-2</v>
      </c>
      <c r="H199" s="11">
        <f t="shared" si="75"/>
        <v>1.5690639999999999E-2</v>
      </c>
      <c r="I199" s="11">
        <f t="shared" si="75"/>
        <v>2.2555295E-2</v>
      </c>
      <c r="M199" s="15" t="str">
        <f t="shared" si="9"/>
        <v xml:space="preserve">Exhaust Backpressure </v>
      </c>
      <c r="N199" s="6" t="s">
        <v>20</v>
      </c>
      <c r="O199" s="11">
        <f>IF($N$198="mmW",O198*$J$6,IF($N$198="mbar",O198*0.001,O198*$J$5))</f>
        <v>1.4709975E-2</v>
      </c>
      <c r="P199" s="11">
        <f t="shared" ref="P199:S199" si="76">IF($N$198="mmW",P198*$J$6,IF($N$198="mbar",P198*0.001,P198*$J$5))</f>
        <v>1.372931E-2</v>
      </c>
      <c r="Q199" s="11">
        <f t="shared" si="76"/>
        <v>1.7651969999999999E-2</v>
      </c>
      <c r="R199" s="11">
        <f t="shared" si="76"/>
        <v>1.7651969999999999E-2</v>
      </c>
      <c r="S199" s="11">
        <f t="shared" si="76"/>
        <v>2.1574630000000001E-2</v>
      </c>
      <c r="X199" s="15" t="str">
        <f t="shared" si="10"/>
        <v xml:space="preserve">Exhaust Backpressure </v>
      </c>
      <c r="Y199" s="9" t="str">
        <f t="shared" si="18"/>
        <v>bar</v>
      </c>
      <c r="Z199" s="11">
        <f>IF($Y$198="mmW",Z198*$J$6,IF($Y$198="mbar",Z198*0.001,Z198*$J$5))</f>
        <v>0</v>
      </c>
      <c r="AA199" s="11">
        <f t="shared" ref="AA199:AI199" si="77">IF($Y$198="mmW",AA198*$J$6,IF($Y$198="mbar",AA198*0.001,AA198*$J$5))</f>
        <v>0</v>
      </c>
      <c r="AB199" s="11">
        <f t="shared" si="77"/>
        <v>0</v>
      </c>
      <c r="AC199" s="11">
        <f t="shared" si="77"/>
        <v>0</v>
      </c>
      <c r="AD199" s="11">
        <f t="shared" si="77"/>
        <v>0</v>
      </c>
      <c r="AE199" s="11">
        <f t="shared" si="77"/>
        <v>0</v>
      </c>
      <c r="AF199" s="11">
        <f t="shared" si="77"/>
        <v>0</v>
      </c>
      <c r="AG199" s="11">
        <f t="shared" si="77"/>
        <v>0</v>
      </c>
      <c r="AH199" s="11">
        <f t="shared" si="77"/>
        <v>0</v>
      </c>
      <c r="AI199" s="11">
        <f t="shared" si="77"/>
        <v>0</v>
      </c>
      <c r="AJ199" s="11">
        <f t="shared" ref="AJ199:AK199" si="78">IF($Y$198="mmW",AJ198*$J$6,IF($Y$198="mbar",AJ198*0.001,AJ198*$J$5))</f>
        <v>0</v>
      </c>
      <c r="AK199" s="11">
        <f t="shared" si="78"/>
        <v>0</v>
      </c>
    </row>
    <row r="200" spans="2:37" s="11" customFormat="1">
      <c r="B200" s="15" t="s">
        <v>96</v>
      </c>
      <c r="C200" s="6" t="s">
        <v>20</v>
      </c>
      <c r="D200" s="11">
        <f>IF($C$143="bar",D143,IF($C$143="kg/cm2",D143*$J$4,D143*$J$7))</f>
        <v>0.37</v>
      </c>
      <c r="E200" s="11">
        <f t="shared" ref="E200:I200" si="79">IF($C$143="bar",E143,IF($C$143="kg/cm2",E143*$J$4,E143*$J$7))</f>
        <v>1.1200000000000001</v>
      </c>
      <c r="F200" s="11">
        <f t="shared" si="79"/>
        <v>1.93</v>
      </c>
      <c r="G200" s="11">
        <f t="shared" si="79"/>
        <v>2.4300000000000002</v>
      </c>
      <c r="H200" s="11">
        <f t="shared" si="79"/>
        <v>2.8</v>
      </c>
      <c r="I200" s="11">
        <f t="shared" si="79"/>
        <v>3.06</v>
      </c>
      <c r="M200" s="15" t="str">
        <f t="shared" si="9"/>
        <v>Scavenge pressure (gauge)</v>
      </c>
      <c r="N200" s="6" t="s">
        <v>20</v>
      </c>
      <c r="O200" s="11">
        <f>IF($N$143="bar",O143,IF($N$143="kg/cm2",O143*$J$4,O143*$J$7))</f>
        <v>2.0593965000000001</v>
      </c>
      <c r="P200" s="11">
        <f t="shared" ref="P200:S200" si="80">IF($N$143="bar",P143,IF($N$143="kg/cm2",P143*$J$4,P143*$J$7))</f>
        <v>1.9122967499999999</v>
      </c>
      <c r="Q200" s="11">
        <f t="shared" si="80"/>
        <v>2.5497290000000001</v>
      </c>
      <c r="R200" s="11">
        <f t="shared" si="80"/>
        <v>2.3437893500000002</v>
      </c>
      <c r="S200" s="11">
        <f t="shared" si="80"/>
        <v>2.8439285000000001</v>
      </c>
      <c r="X200" s="15" t="str">
        <f t="shared" si="10"/>
        <v>Scavenge pressure (gauge)</v>
      </c>
      <c r="Y200" s="9" t="str">
        <f t="shared" si="18"/>
        <v>bar</v>
      </c>
      <c r="Z200" s="11">
        <f>IF($Y$143="bar",Z143,IF($Y$143="kg/cm2",Z143*$J$4,Z143*$J$7))</f>
        <v>2.41</v>
      </c>
      <c r="AA200" s="11">
        <f t="shared" ref="AA200:AI200" si="81">IF($Y$143="bar",AA143,IF($Y$143="kg/cm2",AA143*$J$4,AA143*$J$7))</f>
        <v>2.2999999999999998</v>
      </c>
      <c r="AB200" s="11">
        <f t="shared" si="81"/>
        <v>2.2999999999999998</v>
      </c>
      <c r="AC200" s="11">
        <f t="shared" si="81"/>
        <v>1.9</v>
      </c>
      <c r="AD200" s="11">
        <f t="shared" si="81"/>
        <v>2.15</v>
      </c>
      <c r="AE200" s="11">
        <f t="shared" si="81"/>
        <v>2.3199999999999998</v>
      </c>
      <c r="AF200" s="11">
        <f t="shared" si="81"/>
        <v>2.2000000000000002</v>
      </c>
      <c r="AG200" s="11">
        <f t="shared" si="81"/>
        <v>2.2400000000000002</v>
      </c>
      <c r="AH200" s="11">
        <f t="shared" si="81"/>
        <v>2.33</v>
      </c>
      <c r="AI200" s="11">
        <f t="shared" si="81"/>
        <v>2.29</v>
      </c>
      <c r="AJ200" s="11">
        <f t="shared" ref="AJ200:AK200" si="82">IF($Y$143="bar",AJ143,IF($Y$143="kg/cm2",AJ143*$J$4,AJ143*$J$7))</f>
        <v>2.34</v>
      </c>
      <c r="AK200" s="11">
        <f t="shared" si="82"/>
        <v>2.4</v>
      </c>
    </row>
    <row r="201" spans="2:37" s="11" customFormat="1">
      <c r="B201" s="15" t="s">
        <v>98</v>
      </c>
      <c r="C201" s="6" t="s">
        <v>20</v>
      </c>
      <c r="D201" s="11">
        <f t="shared" ref="D201:I201" si="83">IF($C$145="bar",D145,IF($C$145="kg/cm2",D145*$J$4,D145*$J$7))</f>
        <v>0.3</v>
      </c>
      <c r="E201" s="11">
        <f t="shared" si="83"/>
        <v>0.97</v>
      </c>
      <c r="F201" s="11">
        <f t="shared" si="83"/>
        <v>1.73</v>
      </c>
      <c r="G201" s="11">
        <f t="shared" si="83"/>
        <v>2.14</v>
      </c>
      <c r="H201" s="11">
        <f t="shared" si="83"/>
        <v>2.52</v>
      </c>
      <c r="I201" s="11">
        <f t="shared" si="83"/>
        <v>2.82</v>
      </c>
      <c r="M201" s="15" t="str">
        <f t="shared" si="9"/>
        <v>Exhaust rec. Pressure (gauge)</v>
      </c>
      <c r="N201" s="6" t="s">
        <v>20</v>
      </c>
      <c r="O201" s="11">
        <f>IF($N$145="bar",O145,IF($N$145="kg/cm2",O145*$J$4,O145*$J$7))</f>
        <v>0</v>
      </c>
      <c r="P201" s="11">
        <f t="shared" ref="P201:S201" si="84">IF($N$145="bar",P145,IF($N$145="kg/cm2",P145*$J$4,P145*$J$7))</f>
        <v>0</v>
      </c>
      <c r="Q201" s="11">
        <f t="shared" si="84"/>
        <v>0</v>
      </c>
      <c r="R201" s="11">
        <f t="shared" si="84"/>
        <v>0</v>
      </c>
      <c r="S201" s="11">
        <f t="shared" si="84"/>
        <v>0</v>
      </c>
      <c r="X201" s="15" t="str">
        <f t="shared" si="10"/>
        <v>Exhaust rec. Pressure (gauge)</v>
      </c>
      <c r="Y201" s="9" t="str">
        <f t="shared" si="18"/>
        <v>bar</v>
      </c>
      <c r="Z201" s="11">
        <f>IF($Y$145="bar",Z145,IF($Y$145="kg/cm2",Z145*$J$4,Z145*$J$7))</f>
        <v>2.15</v>
      </c>
      <c r="AA201" s="11">
        <f t="shared" ref="AA201:AI201" si="85">IF($Y$145="bar",AA145,IF($Y$145="kg/cm2",AA145*$J$4,AA145*$J$7))</f>
        <v>2.1</v>
      </c>
      <c r="AB201" s="11">
        <f t="shared" si="85"/>
        <v>2</v>
      </c>
      <c r="AC201" s="11">
        <f t="shared" si="85"/>
        <v>1.45</v>
      </c>
      <c r="AD201" s="11">
        <f t="shared" si="85"/>
        <v>1.9</v>
      </c>
      <c r="AE201" s="11">
        <f t="shared" si="85"/>
        <v>2.1</v>
      </c>
      <c r="AF201" s="11">
        <f t="shared" si="85"/>
        <v>2</v>
      </c>
      <c r="AG201" s="11">
        <f t="shared" si="85"/>
        <v>1.9</v>
      </c>
      <c r="AH201" s="11">
        <f t="shared" si="85"/>
        <v>2</v>
      </c>
      <c r="AI201" s="11">
        <f t="shared" si="85"/>
        <v>1.9</v>
      </c>
      <c r="AJ201" s="11">
        <f t="shared" ref="AJ201:AK201" si="86">IF($Y$145="bar",AJ145,IF($Y$145="kg/cm2",AJ145*$J$4,AJ145*$J$7))</f>
        <v>2</v>
      </c>
      <c r="AK201" s="11">
        <f t="shared" si="86"/>
        <v>2.1</v>
      </c>
    </row>
    <row r="202" spans="2:37" s="11" customFormat="1">
      <c r="B202" s="15" t="s">
        <v>99</v>
      </c>
      <c r="C202" s="6" t="s">
        <v>100</v>
      </c>
      <c r="D202" s="9">
        <f>IF($C$42="kJ/kg",D42,$J$9*D42)</f>
        <v>41960.109599999996</v>
      </c>
      <c r="E202" s="9">
        <f t="shared" ref="E202:I202" si="87">IF($C$42="kJ/kg",E42,$J$9*E42)</f>
        <v>41960.109599999996</v>
      </c>
      <c r="F202" s="9">
        <f t="shared" si="87"/>
        <v>41960.109599999996</v>
      </c>
      <c r="G202" s="9">
        <f t="shared" si="87"/>
        <v>41960.109599999996</v>
      </c>
      <c r="H202" s="9">
        <f t="shared" si="87"/>
        <v>41960.109599999996</v>
      </c>
      <c r="I202" s="9">
        <f t="shared" si="87"/>
        <v>41960.109599999996</v>
      </c>
      <c r="M202" s="15" t="str">
        <f t="shared" si="9"/>
        <v>Heating Value</v>
      </c>
      <c r="N202" s="6" t="s">
        <v>100</v>
      </c>
      <c r="O202" s="9">
        <f>IF($N$42="kJ/kg",O42,$J$9*O42)</f>
        <v>0</v>
      </c>
      <c r="P202" s="9">
        <f t="shared" ref="P202:S202" si="88">IF($N$42="kJ/kg",P42,$J$9*P42)</f>
        <v>0</v>
      </c>
      <c r="Q202" s="9">
        <f t="shared" si="88"/>
        <v>0</v>
      </c>
      <c r="R202" s="9">
        <f t="shared" si="88"/>
        <v>0</v>
      </c>
      <c r="S202" s="9">
        <f t="shared" si="88"/>
        <v>0</v>
      </c>
      <c r="X202" s="15" t="str">
        <f t="shared" si="10"/>
        <v>Heating Value</v>
      </c>
      <c r="Y202" s="9" t="str">
        <f t="shared" si="18"/>
        <v>kJ/kg</v>
      </c>
      <c r="Z202" s="9">
        <f>IF($Y$42="kJ/kg",Z42,$J$9*Z42)</f>
        <v>41090</v>
      </c>
      <c r="AA202" s="9">
        <f t="shared" ref="AA202:AI202" si="89">IF($Y$42="kJ/kg",AA42,$J$9*AA42)</f>
        <v>41090</v>
      </c>
      <c r="AB202" s="9">
        <f t="shared" si="89"/>
        <v>41170</v>
      </c>
      <c r="AC202" s="9">
        <f t="shared" si="89"/>
        <v>41140</v>
      </c>
      <c r="AD202" s="9">
        <f t="shared" si="89"/>
        <v>41250</v>
      </c>
      <c r="AE202" s="9">
        <f t="shared" si="89"/>
        <v>41310</v>
      </c>
      <c r="AF202" s="9">
        <f t="shared" si="89"/>
        <v>41310</v>
      </c>
      <c r="AG202" s="9">
        <f t="shared" si="89"/>
        <v>41470</v>
      </c>
      <c r="AH202" s="9">
        <f t="shared" si="89"/>
        <v>41280</v>
      </c>
      <c r="AI202" s="9">
        <f t="shared" si="89"/>
        <v>40100</v>
      </c>
      <c r="AJ202" s="9">
        <f t="shared" ref="AJ202:AK202" si="90">IF($Y$42="kJ/kg",AJ42,$J$9*AJ42)</f>
        <v>40100</v>
      </c>
      <c r="AK202" s="9">
        <f t="shared" si="90"/>
        <v>41190</v>
      </c>
    </row>
    <row r="203" spans="2:37" s="11" customFormat="1">
      <c r="B203" s="15" t="s">
        <v>105</v>
      </c>
      <c r="C203" s="6" t="s">
        <v>26</v>
      </c>
      <c r="D203" s="11">
        <f t="shared" ref="D203:H203" si="91">AVERAGE(D122:D125)</f>
        <v>34</v>
      </c>
      <c r="E203" s="11">
        <f t="shared" si="91"/>
        <v>88</v>
      </c>
      <c r="F203" s="11">
        <f t="shared" si="91"/>
        <v>134</v>
      </c>
      <c r="G203" s="11">
        <f t="shared" si="91"/>
        <v>158</v>
      </c>
      <c r="H203" s="11">
        <f t="shared" si="91"/>
        <v>176</v>
      </c>
      <c r="I203" s="11">
        <f>AVERAGE(I122:I125)</f>
        <v>193.5</v>
      </c>
      <c r="M203" s="15" t="str">
        <f t="shared" si="9"/>
        <v xml:space="preserve">Air Cooler Air Inlet </v>
      </c>
      <c r="N203" s="6" t="s">
        <v>26</v>
      </c>
      <c r="O203" s="11">
        <f t="shared" ref="O203:S203" si="92">AVERAGE(O122:O125)</f>
        <v>175</v>
      </c>
      <c r="P203" s="11">
        <f t="shared" si="92"/>
        <v>167</v>
      </c>
      <c r="Q203" s="11">
        <f t="shared" si="92"/>
        <v>197</v>
      </c>
      <c r="R203" s="11">
        <f t="shared" si="92"/>
        <v>189</v>
      </c>
      <c r="S203" s="11">
        <f t="shared" si="92"/>
        <v>210</v>
      </c>
      <c r="X203" s="15" t="str">
        <f t="shared" si="10"/>
        <v xml:space="preserve">Air Cooler Air Inlet </v>
      </c>
      <c r="Y203" s="9" t="str">
        <f t="shared" si="18"/>
        <v>°C</v>
      </c>
      <c r="Z203" s="11">
        <f t="shared" ref="Z203:AD203" si="93">AVERAGE(Z122:Z125)</f>
        <v>180</v>
      </c>
      <c r="AA203" s="11">
        <f t="shared" si="93"/>
        <v>152.5</v>
      </c>
      <c r="AB203" s="11">
        <f t="shared" si="93"/>
        <v>167.5</v>
      </c>
      <c r="AC203" s="11">
        <f t="shared" si="93"/>
        <v>135</v>
      </c>
      <c r="AD203" s="11">
        <f t="shared" si="93"/>
        <v>167.5</v>
      </c>
      <c r="AE203" s="11">
        <f t="shared" ref="AE203:AI203" si="94">AVERAGE(AE122:AE125)</f>
        <v>170</v>
      </c>
      <c r="AF203" s="11">
        <f t="shared" si="94"/>
        <v>174</v>
      </c>
      <c r="AG203" s="11">
        <f t="shared" si="94"/>
        <v>182.5</v>
      </c>
      <c r="AH203" s="11">
        <f t="shared" si="94"/>
        <v>182.5</v>
      </c>
      <c r="AI203" s="11">
        <f t="shared" si="94"/>
        <v>170</v>
      </c>
      <c r="AJ203" s="11">
        <f t="shared" ref="AJ203:AK203" si="95">AVERAGE(AJ122:AJ125)</f>
        <v>181.5</v>
      </c>
      <c r="AK203" s="11">
        <f t="shared" si="95"/>
        <v>176</v>
      </c>
    </row>
    <row r="204" spans="2:37" s="11" customFormat="1">
      <c r="B204" s="15" t="s">
        <v>108</v>
      </c>
      <c r="C204" s="62" t="str">
        <f>C116</f>
        <v>mmW</v>
      </c>
      <c r="D204" s="11">
        <f t="shared" ref="D204:I204" si="96">AVERAGE(D117:D120)</f>
        <v>65</v>
      </c>
      <c r="E204" s="11">
        <f t="shared" si="96"/>
        <v>115</v>
      </c>
      <c r="F204" s="11">
        <f t="shared" si="96"/>
        <v>157.5</v>
      </c>
      <c r="G204" s="11">
        <f t="shared" si="96"/>
        <v>177.5</v>
      </c>
      <c r="H204" s="11">
        <f t="shared" si="96"/>
        <v>195</v>
      </c>
      <c r="I204" s="11">
        <f t="shared" si="96"/>
        <v>210</v>
      </c>
      <c r="M204" s="15" t="str">
        <f>B204</f>
        <v>Air Cooler Pressure Drop</v>
      </c>
      <c r="N204" s="6" t="str">
        <f>N116</f>
        <v>mmW</v>
      </c>
      <c r="O204" s="11">
        <f>AVERAGE(O117:O120)</f>
        <v>180</v>
      </c>
      <c r="P204" s="11">
        <f>AVERAGE(P117:P120)</f>
        <v>170</v>
      </c>
      <c r="Q204" s="11">
        <f>AVERAGE(Q117:Q120)</f>
        <v>200</v>
      </c>
      <c r="R204" s="11">
        <f>AVERAGE(R117:R120)</f>
        <v>192.5</v>
      </c>
      <c r="S204" s="11">
        <f>AVERAGE(S117:S120)</f>
        <v>205</v>
      </c>
      <c r="X204" s="15" t="str">
        <f>B204</f>
        <v>Air Cooler Pressure Drop</v>
      </c>
      <c r="Y204" s="9" t="str">
        <f>N204</f>
        <v>mmW</v>
      </c>
      <c r="Z204" s="11">
        <f t="shared" ref="Z204:AI204" si="97">AVERAGE(Z117:Z120)</f>
        <v>97.5</v>
      </c>
      <c r="AA204" s="11">
        <f t="shared" si="97"/>
        <v>92.5</v>
      </c>
      <c r="AB204" s="11">
        <f t="shared" si="97"/>
        <v>115</v>
      </c>
      <c r="AC204" s="11">
        <f t="shared" si="97"/>
        <v>157.5</v>
      </c>
      <c r="AD204" s="11">
        <f t="shared" si="97"/>
        <v>90</v>
      </c>
      <c r="AE204" s="11">
        <f t="shared" si="97"/>
        <v>92.5</v>
      </c>
      <c r="AF204" s="11">
        <f t="shared" si="97"/>
        <v>87.5</v>
      </c>
      <c r="AG204" s="11">
        <f t="shared" si="97"/>
        <v>87.5</v>
      </c>
      <c r="AH204" s="11">
        <f t="shared" si="97"/>
        <v>90</v>
      </c>
      <c r="AI204" s="11">
        <f t="shared" si="97"/>
        <v>90</v>
      </c>
      <c r="AJ204" s="11">
        <f t="shared" ref="AJ204:AK204" si="98">AVERAGE(AJ117:AJ120)</f>
        <v>92.5</v>
      </c>
      <c r="AK204" s="11">
        <f t="shared" si="98"/>
        <v>180</v>
      </c>
    </row>
    <row r="205" spans="2:37" s="11" customFormat="1">
      <c r="B205" s="15" t="s">
        <v>108</v>
      </c>
      <c r="C205" s="6" t="s">
        <v>20</v>
      </c>
      <c r="D205" s="11">
        <f t="shared" ref="D205:I205" si="99">IF($C$204="mmW",D204*$J$6,IF($C$204="mbar",D204*0.001,IF($C$204="mmHg",D204*$J$5," ")))</f>
        <v>6.3743224999999997E-3</v>
      </c>
      <c r="E205" s="11">
        <f t="shared" si="99"/>
        <v>1.12776475E-2</v>
      </c>
      <c r="F205" s="11">
        <f t="shared" si="99"/>
        <v>1.5445473750000001E-2</v>
      </c>
      <c r="G205" s="11">
        <f t="shared" si="99"/>
        <v>1.7406803750000002E-2</v>
      </c>
      <c r="H205" s="11">
        <f t="shared" si="99"/>
        <v>1.9122967500000001E-2</v>
      </c>
      <c r="I205" s="11">
        <f t="shared" si="99"/>
        <v>2.0593964999999999E-2</v>
      </c>
      <c r="M205" s="15" t="str">
        <f>B205</f>
        <v>Air Cooler Pressure Drop</v>
      </c>
      <c r="N205" s="6" t="s">
        <v>20</v>
      </c>
      <c r="O205" s="11">
        <f>IF($N$204="mmW",O204*$J$6,IF($N$204="mbar",O204*0.001,IF($N$204="mmHg",O204*$J$5," ")))</f>
        <v>1.7651969999999999E-2</v>
      </c>
      <c r="P205" s="11">
        <f>IF($N$204="mmW",P204*$J$6,IF($N$204="mbar",P204*0.001,IF($N$204="mmHg",P204*$J$5," ")))</f>
        <v>1.6671305000000001E-2</v>
      </c>
      <c r="Q205" s="11">
        <f>IF($N$204="mmW",Q204*$J$6,IF($N$204="mbar",Q204*0.001,IF($N$204="mmHg",Q204*$J$5," ")))</f>
        <v>1.96133E-2</v>
      </c>
      <c r="R205" s="11">
        <f>IF($N$204="mmW",R204*$J$6,IF($N$204="mbar",R204*0.001,IF($N$204="mmHg",R204*$J$5," ")))</f>
        <v>1.8877801249999999E-2</v>
      </c>
      <c r="S205" s="11">
        <f>IF($N$204="mmW",S204*$J$6,IF($N$204="mbar",S204*0.001,IF($N$204="mmHg",S204*$J$5," ")))</f>
        <v>2.0103632499999999E-2</v>
      </c>
      <c r="X205" s="15" t="str">
        <f>B205</f>
        <v>Air Cooler Pressure Drop</v>
      </c>
      <c r="Y205" s="9" t="s">
        <v>20</v>
      </c>
      <c r="Z205" s="11">
        <f t="shared" ref="Z205:AI205" si="100">IF($Y$204="mmW",Z204*$J$6,IF($Y$204="mbar",Z204*0.001,IF($Y$204="mmHg",Z204*$J$5," ")))</f>
        <v>9.5614837500000004E-3</v>
      </c>
      <c r="AA205" s="11">
        <f t="shared" si="100"/>
        <v>9.0711512499999994E-3</v>
      </c>
      <c r="AB205" s="11">
        <f t="shared" si="100"/>
        <v>1.12776475E-2</v>
      </c>
      <c r="AC205" s="11">
        <f t="shared" si="100"/>
        <v>1.5445473750000001E-2</v>
      </c>
      <c r="AD205" s="11">
        <f t="shared" si="100"/>
        <v>8.8259849999999997E-3</v>
      </c>
      <c r="AE205" s="11">
        <f t="shared" si="100"/>
        <v>9.0711512499999994E-3</v>
      </c>
      <c r="AF205" s="11">
        <f t="shared" si="100"/>
        <v>8.5808187500000001E-3</v>
      </c>
      <c r="AG205" s="11">
        <f t="shared" si="100"/>
        <v>8.5808187500000001E-3</v>
      </c>
      <c r="AH205" s="11">
        <f t="shared" si="100"/>
        <v>8.8259849999999997E-3</v>
      </c>
      <c r="AI205" s="11">
        <f t="shared" si="100"/>
        <v>8.8259849999999997E-3</v>
      </c>
      <c r="AJ205" s="11">
        <f t="shared" ref="AJ205:AK205" si="101">IF($Y$204="mmW",AJ204*$J$6,IF($Y$204="mbar",AJ204*0.001,IF($Y$204="mmHg",AJ204*$J$5," ")))</f>
        <v>9.0711512499999994E-3</v>
      </c>
      <c r="AK205" s="11">
        <f t="shared" si="101"/>
        <v>1.7651969999999999E-2</v>
      </c>
    </row>
    <row r="206" spans="2:37" s="11" customFormat="1">
      <c r="B206" s="15" t="s">
        <v>110</v>
      </c>
      <c r="C206" s="6" t="s">
        <v>14</v>
      </c>
      <c r="D206" s="11">
        <f t="shared" ref="D206:I206" si="102">AVERAGE(D154:D157)</f>
        <v>5620</v>
      </c>
      <c r="E206" s="11">
        <f t="shared" si="102"/>
        <v>9240</v>
      </c>
      <c r="F206" s="11">
        <f t="shared" si="102"/>
        <v>11451.5</v>
      </c>
      <c r="G206" s="11">
        <f t="shared" si="102"/>
        <v>12285</v>
      </c>
      <c r="H206" s="11">
        <f t="shared" si="102"/>
        <v>12994.5</v>
      </c>
      <c r="I206" s="11">
        <f t="shared" si="102"/>
        <v>13552.5</v>
      </c>
      <c r="M206" s="15" t="str">
        <f t="shared" si="9"/>
        <v>TC Speed</v>
      </c>
      <c r="N206" s="6" t="s">
        <v>14</v>
      </c>
      <c r="O206" s="11">
        <f>AVERAGE(O154:O157)</f>
        <v>11875</v>
      </c>
      <c r="P206" s="11">
        <f>AVERAGE(P154:P157)</f>
        <v>11606</v>
      </c>
      <c r="Q206" s="11">
        <f>AVERAGE(Q154:Q157)</f>
        <v>12787.5</v>
      </c>
      <c r="R206" s="11">
        <f>AVERAGE(R154:R157)</f>
        <v>12520</v>
      </c>
      <c r="S206" s="11">
        <f>AVERAGE(S154:S157)</f>
        <v>13430</v>
      </c>
      <c r="X206" s="15" t="str">
        <f t="shared" si="10"/>
        <v>TC Speed</v>
      </c>
      <c r="Y206" s="9" t="str">
        <f t="shared" si="18"/>
        <v>rpm</v>
      </c>
      <c r="Z206" s="11">
        <f t="shared" ref="Z206:AI206" si="103">AVERAGE(Z154:Z157)</f>
        <v>12410</v>
      </c>
      <c r="AA206" s="11">
        <f t="shared" si="103"/>
        <v>12235</v>
      </c>
      <c r="AB206" s="11">
        <f t="shared" si="103"/>
        <v>12210</v>
      </c>
      <c r="AC206" s="11">
        <f t="shared" si="103"/>
        <v>11074</v>
      </c>
      <c r="AD206" s="11">
        <f t="shared" si="103"/>
        <v>12127.5</v>
      </c>
      <c r="AE206" s="11">
        <f t="shared" si="103"/>
        <v>12232.5</v>
      </c>
      <c r="AF206" s="11">
        <f t="shared" si="103"/>
        <v>12170</v>
      </c>
      <c r="AG206" s="11">
        <f t="shared" si="103"/>
        <v>12410</v>
      </c>
      <c r="AH206" s="11">
        <f t="shared" si="103"/>
        <v>12315</v>
      </c>
      <c r="AI206" s="11">
        <f t="shared" si="103"/>
        <v>12310</v>
      </c>
      <c r="AJ206" s="11">
        <f t="shared" ref="AJ206:AK206" si="104">AVERAGE(AJ154:AJ157)</f>
        <v>12380</v>
      </c>
      <c r="AK206" s="11">
        <f t="shared" si="104"/>
        <v>12360</v>
      </c>
    </row>
    <row r="207" spans="2:37" s="11" customFormat="1">
      <c r="B207" s="15" t="s">
        <v>120</v>
      </c>
      <c r="C207" s="6" t="s">
        <v>26</v>
      </c>
      <c r="D207" s="11">
        <f t="shared" ref="D207:I207" si="105">AVERAGE(D132:D135)</f>
        <v>27</v>
      </c>
      <c r="E207" s="11">
        <f t="shared" si="105"/>
        <v>26</v>
      </c>
      <c r="F207" s="11">
        <f t="shared" si="105"/>
        <v>26</v>
      </c>
      <c r="G207" s="11">
        <f t="shared" si="105"/>
        <v>27</v>
      </c>
      <c r="H207" s="11">
        <f t="shared" si="105"/>
        <v>27</v>
      </c>
      <c r="I207" s="11">
        <f t="shared" si="105"/>
        <v>28</v>
      </c>
      <c r="M207" s="15" t="s">
        <v>120</v>
      </c>
      <c r="N207" s="6" t="s">
        <v>26</v>
      </c>
      <c r="O207" s="11">
        <f>AVERAGE(O132:O135)</f>
        <v>36</v>
      </c>
      <c r="P207" s="11">
        <f>AVERAGE(P132:P135)</f>
        <v>36</v>
      </c>
      <c r="Q207" s="11">
        <f>AVERAGE(Q132:Q135)</f>
        <v>36</v>
      </c>
      <c r="R207" s="11">
        <f>AVERAGE(R132:R135)</f>
        <v>36</v>
      </c>
      <c r="S207" s="11">
        <f>AVERAGE(S132:S135)</f>
        <v>36</v>
      </c>
      <c r="X207" s="15" t="s">
        <v>120</v>
      </c>
      <c r="Y207" s="6" t="s">
        <v>26</v>
      </c>
      <c r="Z207" s="11">
        <f t="shared" ref="Z207:AI207" si="106">AVERAGE(Z132:Z135)</f>
        <v>36</v>
      </c>
      <c r="AA207" s="11">
        <f t="shared" si="106"/>
        <v>36</v>
      </c>
      <c r="AB207" s="11">
        <f t="shared" si="106"/>
        <v>36</v>
      </c>
      <c r="AC207" s="11">
        <f t="shared" si="106"/>
        <v>36</v>
      </c>
      <c r="AD207" s="11">
        <f t="shared" si="106"/>
        <v>39</v>
      </c>
      <c r="AE207" s="11">
        <f t="shared" si="106"/>
        <v>38</v>
      </c>
      <c r="AF207" s="11">
        <f t="shared" si="106"/>
        <v>36</v>
      </c>
      <c r="AG207" s="11">
        <f t="shared" si="106"/>
        <v>34</v>
      </c>
      <c r="AH207" s="11">
        <f t="shared" si="106"/>
        <v>34</v>
      </c>
      <c r="AI207" s="11">
        <f t="shared" si="106"/>
        <v>33</v>
      </c>
      <c r="AJ207" s="11">
        <f t="shared" ref="AJ207:AK207" si="107">AVERAGE(AJ132:AJ135)</f>
        <v>34</v>
      </c>
      <c r="AK207" s="11">
        <f t="shared" si="107"/>
        <v>34</v>
      </c>
    </row>
    <row r="208" spans="2:37" s="11" customFormat="1">
      <c r="B208" s="15" t="s">
        <v>120</v>
      </c>
      <c r="C208" s="6" t="s">
        <v>77</v>
      </c>
      <c r="D208" s="11">
        <f>D207+273.15</f>
        <v>300.14999999999998</v>
      </c>
      <c r="E208" s="11">
        <f t="shared" ref="E208:I208" si="108">E207+273.15</f>
        <v>299.14999999999998</v>
      </c>
      <c r="F208" s="11">
        <f t="shared" si="108"/>
        <v>299.14999999999998</v>
      </c>
      <c r="G208" s="11">
        <f t="shared" si="108"/>
        <v>300.14999999999998</v>
      </c>
      <c r="H208" s="11">
        <f t="shared" si="108"/>
        <v>300.14999999999998</v>
      </c>
      <c r="I208" s="11">
        <f t="shared" si="108"/>
        <v>301.14999999999998</v>
      </c>
      <c r="M208" s="15" t="str">
        <f t="shared" si="9"/>
        <v>Air Cooler CW Inlet Temp.</v>
      </c>
      <c r="N208" s="6" t="s">
        <v>77</v>
      </c>
      <c r="O208" s="11">
        <f>O207+273.15</f>
        <v>309.14999999999998</v>
      </c>
      <c r="P208" s="11">
        <f t="shared" ref="P208:S208" si="109">P207+273.15</f>
        <v>309.14999999999998</v>
      </c>
      <c r="Q208" s="11">
        <f t="shared" si="109"/>
        <v>309.14999999999998</v>
      </c>
      <c r="R208" s="11">
        <f t="shared" si="109"/>
        <v>309.14999999999998</v>
      </c>
      <c r="S208" s="11">
        <f t="shared" si="109"/>
        <v>309.14999999999998</v>
      </c>
      <c r="X208" s="15" t="str">
        <f t="shared" si="10"/>
        <v>Air Cooler CW Inlet Temp.</v>
      </c>
      <c r="Y208" s="9" t="str">
        <f t="shared" si="18"/>
        <v>K</v>
      </c>
      <c r="Z208" s="11">
        <f>Z207+273.15</f>
        <v>309.14999999999998</v>
      </c>
      <c r="AA208" s="11">
        <f t="shared" ref="AA208:AI208" si="110">AA207+273.15</f>
        <v>309.14999999999998</v>
      </c>
      <c r="AB208" s="11">
        <f t="shared" si="110"/>
        <v>309.14999999999998</v>
      </c>
      <c r="AC208" s="11">
        <f t="shared" si="110"/>
        <v>309.14999999999998</v>
      </c>
      <c r="AD208" s="11">
        <f t="shared" si="110"/>
        <v>312.14999999999998</v>
      </c>
      <c r="AE208" s="11">
        <f t="shared" si="110"/>
        <v>311.14999999999998</v>
      </c>
      <c r="AF208" s="11">
        <f t="shared" si="110"/>
        <v>309.14999999999998</v>
      </c>
      <c r="AG208" s="11">
        <f t="shared" si="110"/>
        <v>307.14999999999998</v>
      </c>
      <c r="AH208" s="11">
        <f t="shared" si="110"/>
        <v>307.14999999999998</v>
      </c>
      <c r="AI208" s="11">
        <f t="shared" si="110"/>
        <v>306.14999999999998</v>
      </c>
      <c r="AJ208" s="11">
        <f t="shared" ref="AJ208:AK208" si="111">AJ207+273.15</f>
        <v>307.14999999999998</v>
      </c>
      <c r="AK208" s="11">
        <f t="shared" si="111"/>
        <v>307.14999999999998</v>
      </c>
    </row>
    <row r="209" spans="1:37" s="11" customFormat="1">
      <c r="B209" s="15"/>
      <c r="C209" s="6"/>
      <c r="M209" s="15">
        <f t="shared" si="9"/>
        <v>0</v>
      </c>
      <c r="N209" s="6"/>
      <c r="X209" s="15"/>
      <c r="Y209" s="9"/>
    </row>
    <row r="210" spans="1:37">
      <c r="A210" s="4">
        <v>1</v>
      </c>
      <c r="B210" s="4" t="s">
        <v>82</v>
      </c>
      <c r="L210" s="4">
        <v>1</v>
      </c>
      <c r="M210" s="4" t="str">
        <f t="shared" si="9"/>
        <v>Fixed Fluid Data</v>
      </c>
      <c r="N210" s="6"/>
      <c r="O210" s="11"/>
      <c r="P210" s="11"/>
      <c r="Q210" s="11"/>
      <c r="R210" s="11"/>
      <c r="S210" s="11"/>
      <c r="W210" s="4">
        <v>1</v>
      </c>
      <c r="X210" s="4" t="str">
        <f t="shared" ref="X210:X218" si="112">B210</f>
        <v>Fixed Fluid Data</v>
      </c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>
      <c r="B211" t="s">
        <v>59</v>
      </c>
      <c r="C211" s="6" t="s">
        <v>20</v>
      </c>
      <c r="D211">
        <f t="shared" ref="D211:I211" si="113">D189/1000-D194</f>
        <v>1.0100933836999999</v>
      </c>
      <c r="E211" s="11">
        <f t="shared" si="113"/>
        <v>1.0089441404200001</v>
      </c>
      <c r="F211" s="11">
        <f t="shared" si="113"/>
        <v>1.0069045974699999</v>
      </c>
      <c r="G211" s="11">
        <f t="shared" si="113"/>
        <v>1.0056986197700002</v>
      </c>
      <c r="H211" s="11">
        <f t="shared" si="113"/>
        <v>1.0050611875200002</v>
      </c>
      <c r="I211" s="11">
        <f t="shared" si="113"/>
        <v>1.0044727885200002</v>
      </c>
      <c r="L211" s="11"/>
      <c r="M211" s="11" t="str">
        <f t="shared" si="9"/>
        <v>P Inlet Fixed Fluid</v>
      </c>
      <c r="N211" s="6" t="s">
        <v>20</v>
      </c>
      <c r="O211" s="11">
        <f>O189/1000-O194</f>
        <v>1.01061939582</v>
      </c>
      <c r="P211" s="11">
        <f>P189/1000-P194</f>
        <v>1.0107174623200001</v>
      </c>
      <c r="Q211" s="11">
        <f>Q189/1000-Q194</f>
        <v>1.00934453132</v>
      </c>
      <c r="R211" s="11">
        <f>R189/1000-R194</f>
        <v>1.0100800300700001</v>
      </c>
      <c r="S211" s="11">
        <f>S189/1000-S194</f>
        <v>1.0086090325700001</v>
      </c>
      <c r="W211" s="11"/>
      <c r="X211" s="11" t="str">
        <f t="shared" si="112"/>
        <v>P Inlet Fixed Fluid</v>
      </c>
      <c r="Y211" s="9" t="str">
        <f t="shared" si="18"/>
        <v>bar</v>
      </c>
      <c r="Z211" s="11">
        <f t="shared" ref="Z211:AI211" si="114">Z189/1000-Z194</f>
        <v>-8.0904862500000008E-3</v>
      </c>
      <c r="AA211" s="11">
        <f t="shared" si="114"/>
        <v>-8.0904862500000008E-3</v>
      </c>
      <c r="AB211" s="11">
        <f t="shared" si="114"/>
        <v>-7.1098212500000004E-3</v>
      </c>
      <c r="AC211" s="11">
        <f t="shared" si="114"/>
        <v>-6.3743224999999997E-3</v>
      </c>
      <c r="AD211" s="11">
        <f t="shared" si="114"/>
        <v>-5.8839900000000004E-3</v>
      </c>
      <c r="AE211" s="11">
        <f t="shared" si="114"/>
        <v>-4.6581587500000004E-3</v>
      </c>
      <c r="AF211" s="11">
        <f t="shared" si="114"/>
        <v>-5.4426907499999996E-3</v>
      </c>
      <c r="AG211" s="11">
        <f t="shared" si="114"/>
        <v>-7.6001537499999997E-3</v>
      </c>
      <c r="AH211" s="11">
        <f t="shared" si="114"/>
        <v>-3.67749375E-3</v>
      </c>
      <c r="AI211" s="11">
        <f t="shared" si="114"/>
        <v>-3.9226599999999997E-3</v>
      </c>
      <c r="AJ211" s="11">
        <f t="shared" ref="AJ211:AK211" si="115">AJ189/1000-AJ194</f>
        <v>-4.4129924999999999E-3</v>
      </c>
      <c r="AK211" s="11">
        <f t="shared" si="115"/>
        <v>-4.903325E-3</v>
      </c>
    </row>
    <row r="212" spans="1:37">
      <c r="B212" s="11" t="s">
        <v>60</v>
      </c>
      <c r="C212" s="6" t="s">
        <v>77</v>
      </c>
      <c r="D212">
        <f t="shared" ref="D212:I212" si="116">273.15+D195</f>
        <v>287.29999999999995</v>
      </c>
      <c r="E212" s="11">
        <f t="shared" si="116"/>
        <v>288.34999999999997</v>
      </c>
      <c r="F212" s="11">
        <f t="shared" si="116"/>
        <v>289.29999999999995</v>
      </c>
      <c r="G212" s="11">
        <f t="shared" si="116"/>
        <v>291.5</v>
      </c>
      <c r="H212" s="11">
        <f t="shared" si="116"/>
        <v>290.59999999999997</v>
      </c>
      <c r="I212" s="11">
        <f t="shared" si="116"/>
        <v>291.7</v>
      </c>
      <c r="L212" s="11"/>
      <c r="M212" s="11" t="str">
        <f t="shared" si="9"/>
        <v>T Inlet Fixed Fluid</v>
      </c>
      <c r="N212" s="6" t="s">
        <v>77</v>
      </c>
      <c r="O212" s="11">
        <f>273.15+O195</f>
        <v>309.89999999999998</v>
      </c>
      <c r="P212" s="11">
        <f>273.15+P195</f>
        <v>310.39999999999998</v>
      </c>
      <c r="Q212" s="11">
        <f>273.15+Q195</f>
        <v>310.39999999999998</v>
      </c>
      <c r="R212" s="11">
        <f>273.15+R195</f>
        <v>310.39999999999998</v>
      </c>
      <c r="S212" s="11">
        <f>273.15+S195</f>
        <v>310.39999999999998</v>
      </c>
      <c r="W212" s="11"/>
      <c r="X212" s="11" t="str">
        <f t="shared" si="112"/>
        <v>T Inlet Fixed Fluid</v>
      </c>
      <c r="Y212" s="9" t="str">
        <f t="shared" si="18"/>
        <v>K</v>
      </c>
      <c r="Z212" s="11">
        <f t="shared" ref="Z212:AI212" si="117">273.15+Z195</f>
        <v>304.14999999999998</v>
      </c>
      <c r="AA212" s="11">
        <f t="shared" si="117"/>
        <v>301.14999999999998</v>
      </c>
      <c r="AB212" s="11">
        <f t="shared" si="117"/>
        <v>303.14999999999998</v>
      </c>
      <c r="AC212" s="11">
        <f t="shared" si="117"/>
        <v>297.14999999999998</v>
      </c>
      <c r="AD212" s="11">
        <f t="shared" si="117"/>
        <v>311.14999999999998</v>
      </c>
      <c r="AE212" s="11">
        <f t="shared" si="117"/>
        <v>301.14999999999998</v>
      </c>
      <c r="AF212" s="11">
        <f t="shared" si="117"/>
        <v>306.64999999999998</v>
      </c>
      <c r="AG212" s="11">
        <f t="shared" si="117"/>
        <v>309.14999999999998</v>
      </c>
      <c r="AH212" s="11">
        <f t="shared" si="117"/>
        <v>308.14999999999998</v>
      </c>
      <c r="AI212" s="11">
        <f t="shared" si="117"/>
        <v>312.14999999999998</v>
      </c>
      <c r="AJ212" s="11">
        <f t="shared" ref="AJ212:AK212" si="118">273.15+AJ195</f>
        <v>309.14999999999998</v>
      </c>
      <c r="AK212" s="11">
        <f t="shared" si="118"/>
        <v>306.14999999999998</v>
      </c>
    </row>
    <row r="213" spans="1:37">
      <c r="B213" s="11" t="s">
        <v>62</v>
      </c>
      <c r="C213" s="6" t="s">
        <v>20</v>
      </c>
      <c r="D213">
        <f t="shared" ref="D213:I213" si="119">D189/1000+D199</f>
        <v>1.0105837162</v>
      </c>
      <c r="E213" s="11">
        <f t="shared" si="119"/>
        <v>1.01423973142</v>
      </c>
      <c r="F213" s="11">
        <f t="shared" si="119"/>
        <v>1.0174957794699999</v>
      </c>
      <c r="G213" s="11">
        <f t="shared" si="119"/>
        <v>1.0236938225200001</v>
      </c>
      <c r="H213" s="11">
        <f t="shared" si="119"/>
        <v>1.0246744875200002</v>
      </c>
      <c r="I213" s="11">
        <f t="shared" si="119"/>
        <v>1.0315391425200002</v>
      </c>
      <c r="L213" s="11"/>
      <c r="M213" s="11" t="str">
        <f t="shared" si="9"/>
        <v>P Exhaust Fixed Fluid</v>
      </c>
      <c r="N213" s="6" t="s">
        <v>20</v>
      </c>
      <c r="O213" s="11">
        <f>O189/1000+O199</f>
        <v>1.02969333007</v>
      </c>
      <c r="P213" s="11">
        <f>P189/1000+P199</f>
        <v>1.02871266507</v>
      </c>
      <c r="Q213" s="11">
        <f>Q189/1000+Q199</f>
        <v>1.03263532507</v>
      </c>
      <c r="R213" s="11">
        <f>R189/1000+R199</f>
        <v>1.03263532507</v>
      </c>
      <c r="S213" s="11">
        <f>S189/1000+S199</f>
        <v>1.03655798507</v>
      </c>
      <c r="T213" s="11"/>
      <c r="W213" s="11"/>
      <c r="X213" s="11" t="str">
        <f t="shared" si="112"/>
        <v>P Exhaust Fixed Fluid</v>
      </c>
      <c r="Y213" s="9" t="str">
        <f t="shared" si="18"/>
        <v>bar</v>
      </c>
      <c r="Z213" s="11">
        <f t="shared" ref="Z213:AI213" si="120">Z189/1000+Z199</f>
        <v>0</v>
      </c>
      <c r="AA213" s="11">
        <f t="shared" si="120"/>
        <v>0</v>
      </c>
      <c r="AB213" s="11">
        <f t="shared" si="120"/>
        <v>0</v>
      </c>
      <c r="AC213" s="11">
        <f t="shared" si="120"/>
        <v>0</v>
      </c>
      <c r="AD213" s="11">
        <f t="shared" si="120"/>
        <v>0</v>
      </c>
      <c r="AE213" s="11">
        <f t="shared" si="120"/>
        <v>0</v>
      </c>
      <c r="AF213" s="11">
        <f t="shared" si="120"/>
        <v>0</v>
      </c>
      <c r="AG213" s="11">
        <f t="shared" si="120"/>
        <v>0</v>
      </c>
      <c r="AH213" s="11">
        <f t="shared" si="120"/>
        <v>0</v>
      </c>
      <c r="AI213" s="11">
        <f t="shared" si="120"/>
        <v>0</v>
      </c>
      <c r="AJ213" s="11">
        <f t="shared" ref="AJ213:AK213" si="121">AJ189/1000+AJ199</f>
        <v>0</v>
      </c>
      <c r="AK213" s="11">
        <f t="shared" si="121"/>
        <v>0</v>
      </c>
    </row>
    <row r="214" spans="1:37">
      <c r="B214" s="11" t="s">
        <v>63</v>
      </c>
      <c r="C214" s="6" t="s">
        <v>77</v>
      </c>
      <c r="D214">
        <f t="shared" ref="D214:I214" si="122">273.15+D197</f>
        <v>497.15</v>
      </c>
      <c r="E214" s="11">
        <f t="shared" si="122"/>
        <v>493.65</v>
      </c>
      <c r="F214" s="11">
        <f t="shared" si="122"/>
        <v>470.15</v>
      </c>
      <c r="G214" s="11">
        <f t="shared" si="122"/>
        <v>470.15</v>
      </c>
      <c r="H214" s="11">
        <f t="shared" si="122"/>
        <v>478.15</v>
      </c>
      <c r="I214" s="11">
        <f t="shared" si="122"/>
        <v>487.15</v>
      </c>
      <c r="L214" s="11"/>
      <c r="M214" s="11" t="str">
        <f t="shared" si="9"/>
        <v>T Exhaust Fixed Fluid</v>
      </c>
      <c r="N214" s="6" t="s">
        <v>77</v>
      </c>
      <c r="O214" s="11">
        <f>273.15+O197</f>
        <v>495.65</v>
      </c>
      <c r="P214" s="11">
        <f>273.15+P197</f>
        <v>498.15</v>
      </c>
      <c r="Q214" s="11">
        <f>273.15+Q197</f>
        <v>495.65</v>
      </c>
      <c r="R214" s="11">
        <f>273.15+R197</f>
        <v>495.65</v>
      </c>
      <c r="S214" s="11">
        <f>273.15+S197</f>
        <v>500.65</v>
      </c>
      <c r="W214" s="11"/>
      <c r="X214" s="11" t="str">
        <f t="shared" si="112"/>
        <v>T Exhaust Fixed Fluid</v>
      </c>
      <c r="Y214" s="9" t="str">
        <f t="shared" si="18"/>
        <v>K</v>
      </c>
      <c r="Z214" s="11">
        <f t="shared" ref="Z214:AI214" si="123">273.15+Z197</f>
        <v>505.65</v>
      </c>
      <c r="AA214" s="11">
        <f t="shared" si="123"/>
        <v>488.15</v>
      </c>
      <c r="AB214" s="11">
        <f t="shared" si="123"/>
        <v>503.15</v>
      </c>
      <c r="AC214" s="11">
        <f t="shared" si="123"/>
        <v>505.65</v>
      </c>
      <c r="AD214" s="11">
        <f t="shared" si="123"/>
        <v>515.65</v>
      </c>
      <c r="AE214" s="11">
        <f t="shared" si="123"/>
        <v>503.15</v>
      </c>
      <c r="AF214" s="11">
        <f t="shared" si="123"/>
        <v>520.65</v>
      </c>
      <c r="AG214" s="11">
        <f t="shared" si="123"/>
        <v>529.65</v>
      </c>
      <c r="AH214" s="11">
        <f t="shared" si="123"/>
        <v>513.65</v>
      </c>
      <c r="AI214" s="11">
        <f t="shared" si="123"/>
        <v>525.65</v>
      </c>
      <c r="AJ214" s="11">
        <f t="shared" ref="AJ214:AK214" si="124">273.15+AJ197</f>
        <v>519.65</v>
      </c>
      <c r="AK214" s="11">
        <f t="shared" si="124"/>
        <v>508.65</v>
      </c>
    </row>
    <row r="215" spans="1:37">
      <c r="B215" t="s">
        <v>61</v>
      </c>
      <c r="C215" s="6" t="s">
        <v>20</v>
      </c>
      <c r="D215">
        <f t="shared" ref="D215:I215" si="125">D200+D189/1000</f>
        <v>1.3805837161999999</v>
      </c>
      <c r="E215" s="11">
        <f t="shared" si="125"/>
        <v>2.1303170714200004</v>
      </c>
      <c r="F215" s="11">
        <f t="shared" si="125"/>
        <v>2.9396504594700001</v>
      </c>
      <c r="G215" s="11">
        <f t="shared" si="125"/>
        <v>3.4389838475200003</v>
      </c>
      <c r="H215" s="11">
        <f t="shared" si="125"/>
        <v>3.80898384752</v>
      </c>
      <c r="I215" s="11">
        <f t="shared" si="125"/>
        <v>4.0689838475200002</v>
      </c>
      <c r="L215" s="11"/>
      <c r="M215" s="11" t="str">
        <f t="shared" si="9"/>
        <v>P scavenge receiver</v>
      </c>
      <c r="N215" s="6" t="s">
        <v>20</v>
      </c>
      <c r="O215" s="11">
        <f>O200+O189/1000</f>
        <v>3.0743798550700001</v>
      </c>
      <c r="P215" s="11">
        <f>P200+P189/1000</f>
        <v>2.9272801050699999</v>
      </c>
      <c r="Q215" s="11">
        <f>Q200+Q189/1000</f>
        <v>3.5647123550700002</v>
      </c>
      <c r="R215" s="11">
        <f>R200+R189/1000</f>
        <v>3.3587727050700003</v>
      </c>
      <c r="S215" s="11">
        <f>S200+S189/1000</f>
        <v>3.8589118550700001</v>
      </c>
      <c r="W215" s="11"/>
      <c r="X215" s="11" t="str">
        <f t="shared" si="112"/>
        <v>P scavenge receiver</v>
      </c>
      <c r="Y215" s="9" t="str">
        <f t="shared" si="18"/>
        <v>bar</v>
      </c>
      <c r="Z215" s="11">
        <f t="shared" ref="Z215:AI215" si="126">Z200+Z189/1000</f>
        <v>2.41</v>
      </c>
      <c r="AA215" s="11">
        <f t="shared" si="126"/>
        <v>2.2999999999999998</v>
      </c>
      <c r="AB215" s="11">
        <f t="shared" si="126"/>
        <v>2.2999999999999998</v>
      </c>
      <c r="AC215" s="11">
        <f t="shared" si="126"/>
        <v>1.9</v>
      </c>
      <c r="AD215" s="11">
        <f t="shared" si="126"/>
        <v>2.15</v>
      </c>
      <c r="AE215" s="11">
        <f t="shared" si="126"/>
        <v>2.3199999999999998</v>
      </c>
      <c r="AF215" s="11">
        <f t="shared" si="126"/>
        <v>2.2000000000000002</v>
      </c>
      <c r="AG215" s="11">
        <f t="shared" si="126"/>
        <v>2.2400000000000002</v>
      </c>
      <c r="AH215" s="11">
        <f t="shared" si="126"/>
        <v>2.33</v>
      </c>
      <c r="AI215" s="11">
        <f t="shared" si="126"/>
        <v>2.29</v>
      </c>
      <c r="AJ215" s="11">
        <f t="shared" ref="AJ215:AK215" si="127">AJ200+AJ189/1000</f>
        <v>2.34</v>
      </c>
      <c r="AK215" s="11">
        <f t="shared" si="127"/>
        <v>2.4</v>
      </c>
    </row>
    <row r="216" spans="1:37">
      <c r="B216" s="11" t="s">
        <v>64</v>
      </c>
      <c r="C216" s="6" t="s">
        <v>77</v>
      </c>
      <c r="D216">
        <f t="shared" ref="D216:I216" si="128">D144+273.15</f>
        <v>305.14999999999998</v>
      </c>
      <c r="E216" s="11">
        <f t="shared" si="128"/>
        <v>299.14999999999998</v>
      </c>
      <c r="F216" s="11">
        <f t="shared" si="128"/>
        <v>301.14999999999998</v>
      </c>
      <c r="G216" s="11">
        <f t="shared" si="128"/>
        <v>303.14999999999998</v>
      </c>
      <c r="H216" s="11">
        <f t="shared" si="128"/>
        <v>307.14999999999998</v>
      </c>
      <c r="I216" s="11">
        <f t="shared" si="128"/>
        <v>309.14999999999998</v>
      </c>
      <c r="L216" s="11"/>
      <c r="M216" s="11" t="str">
        <f t="shared" si="9"/>
        <v>T scavenge receiver</v>
      </c>
      <c r="N216" s="6" t="s">
        <v>77</v>
      </c>
      <c r="O216" s="11">
        <f>O144+273.15</f>
        <v>315.14999999999998</v>
      </c>
      <c r="P216" s="11">
        <f>P144+273.15</f>
        <v>314.14999999999998</v>
      </c>
      <c r="Q216" s="11">
        <f>Q144+273.15</f>
        <v>317.14999999999998</v>
      </c>
      <c r="R216" s="11">
        <f>R144+273.15</f>
        <v>315.14999999999998</v>
      </c>
      <c r="S216" s="11">
        <f>S144+273.15</f>
        <v>319.14999999999998</v>
      </c>
      <c r="W216" s="11"/>
      <c r="X216" s="11" t="str">
        <f t="shared" si="112"/>
        <v>T scavenge receiver</v>
      </c>
      <c r="Y216" s="9" t="str">
        <f t="shared" si="18"/>
        <v>K</v>
      </c>
      <c r="Z216" s="11">
        <f t="shared" ref="Z216:AI216" si="129">Z144+273.15</f>
        <v>316.14999999999998</v>
      </c>
      <c r="AA216" s="11">
        <f t="shared" si="129"/>
        <v>312.14999999999998</v>
      </c>
      <c r="AB216" s="11">
        <f t="shared" si="129"/>
        <v>313.14999999999998</v>
      </c>
      <c r="AC216" s="11">
        <f t="shared" si="129"/>
        <v>311.14999999999998</v>
      </c>
      <c r="AD216" s="11">
        <f t="shared" si="129"/>
        <v>317.14999999999998</v>
      </c>
      <c r="AE216" s="11">
        <f t="shared" si="129"/>
        <v>316.14999999999998</v>
      </c>
      <c r="AF216" s="11">
        <f t="shared" si="129"/>
        <v>315.14999999999998</v>
      </c>
      <c r="AG216" s="11">
        <f t="shared" si="129"/>
        <v>314.14999999999998</v>
      </c>
      <c r="AH216" s="11">
        <f t="shared" si="129"/>
        <v>314.14999999999998</v>
      </c>
      <c r="AI216" s="11">
        <f t="shared" si="129"/>
        <v>316.14999999999998</v>
      </c>
      <c r="AJ216" s="11">
        <f t="shared" ref="AJ216:AK216" si="130">AJ144+273.15</f>
        <v>314.14999999999998</v>
      </c>
      <c r="AK216" s="11">
        <f t="shared" si="130"/>
        <v>317.14999999999998</v>
      </c>
    </row>
    <row r="217" spans="1:37">
      <c r="B217" s="11" t="s">
        <v>65</v>
      </c>
      <c r="C217" s="6" t="s">
        <v>20</v>
      </c>
      <c r="D217" s="11">
        <f t="shared" ref="D217:I217" si="131">D201+D189/1000</f>
        <v>1.3105837162</v>
      </c>
      <c r="E217" s="11">
        <f t="shared" si="131"/>
        <v>1.98031707142</v>
      </c>
      <c r="F217" s="11">
        <f t="shared" si="131"/>
        <v>2.73965045947</v>
      </c>
      <c r="G217" s="11">
        <f t="shared" si="131"/>
        <v>3.1489838475200003</v>
      </c>
      <c r="H217" s="11">
        <f t="shared" si="131"/>
        <v>3.5289838475200002</v>
      </c>
      <c r="I217" s="11">
        <f t="shared" si="131"/>
        <v>3.82898384752</v>
      </c>
      <c r="L217" s="11"/>
      <c r="M217" s="11" t="str">
        <f t="shared" si="9"/>
        <v>P Exhaust receiver</v>
      </c>
      <c r="N217" s="6" t="s">
        <v>20</v>
      </c>
      <c r="O217" s="11">
        <f>O201+O189/1000</f>
        <v>1.01498335507</v>
      </c>
      <c r="P217" s="11">
        <f>P201+P189/1000</f>
        <v>1.01498335507</v>
      </c>
      <c r="Q217" s="11">
        <f>Q201+Q189/1000</f>
        <v>1.01498335507</v>
      </c>
      <c r="R217" s="11">
        <f>R201+R189/1000</f>
        <v>1.01498335507</v>
      </c>
      <c r="S217" s="11">
        <f>S201+S189/1000</f>
        <v>1.01498335507</v>
      </c>
      <c r="T217" s="11"/>
      <c r="W217" s="11"/>
      <c r="X217" s="11" t="str">
        <f t="shared" si="112"/>
        <v>P Exhaust receiver</v>
      </c>
      <c r="Y217" s="9" t="str">
        <f t="shared" si="18"/>
        <v>bar</v>
      </c>
      <c r="Z217" s="11">
        <f t="shared" ref="Z217:AI217" si="132">Z201+Z189/1000</f>
        <v>2.15</v>
      </c>
      <c r="AA217" s="11">
        <f t="shared" si="132"/>
        <v>2.1</v>
      </c>
      <c r="AB217" s="11">
        <f t="shared" si="132"/>
        <v>2</v>
      </c>
      <c r="AC217" s="11">
        <f t="shared" si="132"/>
        <v>1.45</v>
      </c>
      <c r="AD217" s="11">
        <f t="shared" si="132"/>
        <v>1.9</v>
      </c>
      <c r="AE217" s="11">
        <f t="shared" si="132"/>
        <v>2.1</v>
      </c>
      <c r="AF217" s="11">
        <f t="shared" si="132"/>
        <v>2</v>
      </c>
      <c r="AG217" s="11">
        <f t="shared" si="132"/>
        <v>1.9</v>
      </c>
      <c r="AH217" s="11">
        <f t="shared" si="132"/>
        <v>2</v>
      </c>
      <c r="AI217" s="11">
        <f t="shared" si="132"/>
        <v>1.9</v>
      </c>
      <c r="AJ217" s="11">
        <f t="shared" ref="AJ217:AK217" si="133">AJ201+AJ189/1000</f>
        <v>2</v>
      </c>
      <c r="AK217" s="11">
        <f t="shared" si="133"/>
        <v>2.1</v>
      </c>
    </row>
    <row r="218" spans="1:37">
      <c r="B218" s="11" t="s">
        <v>66</v>
      </c>
      <c r="C218" s="6" t="s">
        <v>77</v>
      </c>
      <c r="D218">
        <f t="shared" ref="D218:I218" si="134">D196+273.15</f>
        <v>535.65</v>
      </c>
      <c r="E218" s="11">
        <f t="shared" si="134"/>
        <v>587.15</v>
      </c>
      <c r="F218" s="11">
        <f t="shared" si="134"/>
        <v>608.15</v>
      </c>
      <c r="G218" s="11">
        <f t="shared" si="134"/>
        <v>626.65</v>
      </c>
      <c r="H218" s="11">
        <f t="shared" si="134"/>
        <v>648.15</v>
      </c>
      <c r="I218" s="11">
        <f t="shared" si="134"/>
        <v>668.15</v>
      </c>
      <c r="L218" s="11"/>
      <c r="M218" s="11" t="str">
        <f t="shared" si="9"/>
        <v>T Exhaust receiver</v>
      </c>
      <c r="N218" s="6" t="s">
        <v>77</v>
      </c>
      <c r="O218" s="11">
        <f>O196+273.15</f>
        <v>648.15</v>
      </c>
      <c r="P218" s="11">
        <f>P196+273.15</f>
        <v>645.65</v>
      </c>
      <c r="Q218" s="11">
        <f>Q196+273.15</f>
        <v>670.15</v>
      </c>
      <c r="R218" s="11">
        <f>R196+273.15</f>
        <v>658.15</v>
      </c>
      <c r="S218" s="11">
        <f>S196+273.15</f>
        <v>685.65</v>
      </c>
      <c r="W218" s="11"/>
      <c r="X218" s="11" t="str">
        <f t="shared" si="112"/>
        <v>T Exhaust receiver</v>
      </c>
      <c r="Y218" s="9" t="str">
        <f t="shared" si="18"/>
        <v>K</v>
      </c>
      <c r="Z218" s="11">
        <f t="shared" ref="Z218:AI218" si="135">Z196+273.15</f>
        <v>650.65</v>
      </c>
      <c r="AA218" s="11">
        <f t="shared" si="135"/>
        <v>623.15</v>
      </c>
      <c r="AB218" s="11">
        <f t="shared" si="135"/>
        <v>638.15</v>
      </c>
      <c r="AC218" s="11">
        <f t="shared" si="135"/>
        <v>615.65</v>
      </c>
      <c r="AD218" s="11">
        <f t="shared" si="135"/>
        <v>658.15</v>
      </c>
      <c r="AE218" s="11">
        <f t="shared" si="135"/>
        <v>648.15</v>
      </c>
      <c r="AF218" s="11">
        <f t="shared" si="135"/>
        <v>668.15</v>
      </c>
      <c r="AG218" s="11">
        <f t="shared" si="135"/>
        <v>670.65</v>
      </c>
      <c r="AH218" s="11">
        <f t="shared" si="135"/>
        <v>661.65</v>
      </c>
      <c r="AI218" s="11">
        <f t="shared" si="135"/>
        <v>674.15</v>
      </c>
      <c r="AJ218" s="11">
        <f t="shared" ref="AJ218:AK218" si="136">AJ196+273.15</f>
        <v>667.65</v>
      </c>
      <c r="AK218" s="11">
        <f t="shared" si="136"/>
        <v>648.15</v>
      </c>
    </row>
    <row r="219" spans="1:37" s="11" customFormat="1">
      <c r="C219" s="6"/>
      <c r="M219" s="11">
        <f t="shared" si="9"/>
        <v>0</v>
      </c>
      <c r="N219" s="6"/>
      <c r="Y219" s="9"/>
    </row>
    <row r="220" spans="1:37">
      <c r="A220" s="4">
        <v>2</v>
      </c>
      <c r="B220" s="4" t="s">
        <v>67</v>
      </c>
      <c r="L220" s="4">
        <v>2</v>
      </c>
      <c r="M220" s="4" t="str">
        <f t="shared" si="9"/>
        <v>Cylinder Data</v>
      </c>
      <c r="N220" s="6"/>
      <c r="O220" s="11"/>
      <c r="P220" s="11"/>
      <c r="Q220" s="11"/>
      <c r="R220" s="11"/>
      <c r="S220" s="11"/>
      <c r="W220" s="4">
        <v>2</v>
      </c>
      <c r="X220" s="4" t="str">
        <f>B220</f>
        <v>Cylinder Data</v>
      </c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spans="1:37">
      <c r="B221" t="s">
        <v>68</v>
      </c>
      <c r="C221" s="6" t="s">
        <v>69</v>
      </c>
      <c r="D221">
        <f t="shared" ref="D221:I221" si="137">D148/60/D27/$C$6</f>
        <v>3.8182346109175376E-2</v>
      </c>
      <c r="E221" s="11">
        <f t="shared" si="137"/>
        <v>5.6569847856154924E-2</v>
      </c>
      <c r="F221" s="11">
        <f t="shared" si="137"/>
        <v>7.3496771589991933E-2</v>
      </c>
      <c r="G221" s="11">
        <f t="shared" si="137"/>
        <v>8.2925673113386417E-2</v>
      </c>
      <c r="H221" s="11">
        <f t="shared" si="137"/>
        <v>8.9813186813186827E-2</v>
      </c>
      <c r="I221" s="11">
        <f t="shared" si="137"/>
        <v>9.64501242456514E-2</v>
      </c>
      <c r="L221" s="11"/>
      <c r="M221" s="11" t="str">
        <f t="shared" si="9"/>
        <v>WFCY</v>
      </c>
      <c r="N221" s="6" t="s">
        <v>69</v>
      </c>
      <c r="O221" s="11">
        <f>O148/60/O27/$C$6</f>
        <v>0</v>
      </c>
      <c r="P221" s="11">
        <f>P148/60/P27/$C$6</f>
        <v>0</v>
      </c>
      <c r="Q221" s="11">
        <f>Q148/60/Q27/$C$6</f>
        <v>0</v>
      </c>
      <c r="R221" s="11">
        <f>R148/60/R27/$C$6</f>
        <v>0</v>
      </c>
      <c r="S221" s="11">
        <f>S148/60/S27/$C$6</f>
        <v>0</v>
      </c>
      <c r="W221" s="11"/>
      <c r="X221" s="11" t="str">
        <f>B221</f>
        <v>WFCY</v>
      </c>
      <c r="Y221" s="9" t="str">
        <f t="shared" ref="Y221:Y254" si="138">N221</f>
        <v>kg/cycle</v>
      </c>
      <c r="Z221" s="11">
        <f t="shared" ref="Z221:AI221" si="139">Z148/60/Z27/$C$6</f>
        <v>8.1274582104228124E-2</v>
      </c>
      <c r="AA221" s="11">
        <f t="shared" si="139"/>
        <v>7.7248980632008149E-2</v>
      </c>
      <c r="AB221" s="11">
        <f t="shared" si="139"/>
        <v>7.6427771556550964E-2</v>
      </c>
      <c r="AC221" s="11">
        <f t="shared" si="139"/>
        <v>6.617945594803086E-2</v>
      </c>
      <c r="AD221" s="11">
        <f t="shared" si="139"/>
        <v>8.2742316784869985E-2</v>
      </c>
      <c r="AE221" s="11">
        <f t="shared" si="139"/>
        <v>8.1458947885939034E-2</v>
      </c>
      <c r="AF221" s="11">
        <f t="shared" si="139"/>
        <v>7.945736434108526E-2</v>
      </c>
      <c r="AG221" s="11">
        <f t="shared" si="139"/>
        <v>8.0913879701090277E-2</v>
      </c>
      <c r="AH221" s="11">
        <f t="shared" si="139"/>
        <v>8.1191874694077334E-2</v>
      </c>
      <c r="AI221" s="11">
        <f t="shared" si="139"/>
        <v>8.0824767498776304E-2</v>
      </c>
      <c r="AJ221" s="11">
        <f t="shared" ref="AJ221:AK221" si="140">AJ148/60/AJ27/$C$6</f>
        <v>8.4587616250611855E-2</v>
      </c>
      <c r="AK221" s="11">
        <f t="shared" si="140"/>
        <v>8.4006363191385214E-2</v>
      </c>
    </row>
    <row r="222" spans="1:37">
      <c r="B222" s="11" t="s">
        <v>75</v>
      </c>
      <c r="C222" s="6" t="s">
        <v>69</v>
      </c>
      <c r="D222">
        <f t="shared" ref="D222:I222" si="141">D221*D202/42700</f>
        <v>3.7520736007637757E-2</v>
      </c>
      <c r="E222" s="11">
        <f t="shared" si="141"/>
        <v>5.5589625669779513E-2</v>
      </c>
      <c r="F222" s="11">
        <f t="shared" si="141"/>
        <v>7.2223245694665747E-2</v>
      </c>
      <c r="G222" s="11">
        <f t="shared" si="141"/>
        <v>8.1488766568886817E-2</v>
      </c>
      <c r="H222" s="11">
        <f t="shared" si="141"/>
        <v>8.8256935883058399E-2</v>
      </c>
      <c r="I222" s="11">
        <f t="shared" si="141"/>
        <v>9.4778870826256439E-2</v>
      </c>
      <c r="L222" s="11"/>
      <c r="M222" s="11" t="str">
        <f t="shared" si="9"/>
        <v>WFCY corrected</v>
      </c>
      <c r="N222" s="6" t="s">
        <v>69</v>
      </c>
      <c r="O222" s="11">
        <f>O221*O202/42700</f>
        <v>0</v>
      </c>
      <c r="P222" s="11">
        <f>P221*P202/42700</f>
        <v>0</v>
      </c>
      <c r="Q222" s="11">
        <f>Q221*Q202/42700</f>
        <v>0</v>
      </c>
      <c r="R222" s="11">
        <f>R221*R202/42700</f>
        <v>0</v>
      </c>
      <c r="S222" s="11">
        <f>S221*S202/42700</f>
        <v>0</v>
      </c>
      <c r="W222" s="11"/>
      <c r="X222" s="11" t="str">
        <f>B222</f>
        <v>WFCY corrected</v>
      </c>
      <c r="Y222" s="9" t="str">
        <f t="shared" si="138"/>
        <v>kg/cycle</v>
      </c>
      <c r="Z222" s="11">
        <f t="shared" ref="Z222:AI222" si="142">Z221*Z202/42700</f>
        <v>7.8210130647839188E-2</v>
      </c>
      <c r="AA222" s="11">
        <f t="shared" si="142"/>
        <v>7.4336314149161947E-2</v>
      </c>
      <c r="AB222" s="11">
        <f t="shared" si="142"/>
        <v>7.3689258898904056E-2</v>
      </c>
      <c r="AC222" s="11">
        <f t="shared" si="142"/>
        <v>6.3761658494191797E-2</v>
      </c>
      <c r="AD222" s="11">
        <f t="shared" si="142"/>
        <v>7.9932565980699921E-2</v>
      </c>
      <c r="AE222" s="11">
        <f t="shared" si="142"/>
        <v>7.8807239746326502E-2</v>
      </c>
      <c r="AF222" s="11">
        <f t="shared" si="142"/>
        <v>7.6870813136539387E-2</v>
      </c>
      <c r="AG222" s="11">
        <f t="shared" si="142"/>
        <v>7.8583105180426549E-2</v>
      </c>
      <c r="AH222" s="11">
        <f t="shared" si="142"/>
        <v>7.8491817034461647E-2</v>
      </c>
      <c r="AI222" s="11">
        <f t="shared" si="142"/>
        <v>7.590335308433091E-2</v>
      </c>
      <c r="AJ222" s="11">
        <f t="shared" ref="AJ222:AK222" si="143">AJ221*AJ202/42700</f>
        <v>7.9437082240035956E-2</v>
      </c>
      <c r="AK222" s="11">
        <f t="shared" si="143"/>
        <v>8.1035646366584474E-2</v>
      </c>
    </row>
    <row r="223" spans="1:37">
      <c r="B223" t="s">
        <v>76</v>
      </c>
      <c r="C223" s="6" t="s">
        <v>77</v>
      </c>
      <c r="D223">
        <f t="shared" ref="D223:I223" si="144">D111+273.15</f>
        <v>339.95</v>
      </c>
      <c r="E223" s="11">
        <f t="shared" si="144"/>
        <v>344.15</v>
      </c>
      <c r="F223" s="11">
        <f t="shared" si="144"/>
        <v>348.15</v>
      </c>
      <c r="G223" s="11">
        <f t="shared" si="144"/>
        <v>348.15</v>
      </c>
      <c r="H223" s="11">
        <f t="shared" si="144"/>
        <v>348.45</v>
      </c>
      <c r="I223" s="11">
        <f t="shared" si="144"/>
        <v>348.45</v>
      </c>
      <c r="L223" s="11"/>
      <c r="M223" s="11" t="str">
        <f t="shared" si="9"/>
        <v>Cooiling Water Temperature</v>
      </c>
      <c r="N223" s="6" t="s">
        <v>77</v>
      </c>
      <c r="O223" s="11">
        <f>O111+273.15</f>
        <v>353.15</v>
      </c>
      <c r="P223" s="11">
        <f>P111+273.15</f>
        <v>353.15</v>
      </c>
      <c r="Q223" s="11">
        <f>Q111+273.15</f>
        <v>353.15</v>
      </c>
      <c r="R223" s="11">
        <f>R111+273.15</f>
        <v>353.15</v>
      </c>
      <c r="S223" s="11">
        <f>S111+273.15</f>
        <v>353.15</v>
      </c>
      <c r="W223" s="11"/>
      <c r="X223" s="11" t="str">
        <f>B223</f>
        <v>Cooiling Water Temperature</v>
      </c>
      <c r="Y223" s="9" t="str">
        <f t="shared" si="138"/>
        <v>K</v>
      </c>
      <c r="Z223" s="11">
        <f t="shared" ref="Z223:AI223" si="145">Z111+273.15</f>
        <v>354.15</v>
      </c>
      <c r="AA223" s="11">
        <f t="shared" si="145"/>
        <v>353.15</v>
      </c>
      <c r="AB223" s="11">
        <f t="shared" si="145"/>
        <v>353.15</v>
      </c>
      <c r="AC223" s="11">
        <f t="shared" si="145"/>
        <v>353.15</v>
      </c>
      <c r="AD223" s="11">
        <f t="shared" si="145"/>
        <v>351.15</v>
      </c>
      <c r="AE223" s="11">
        <f t="shared" si="145"/>
        <v>354.15</v>
      </c>
      <c r="AF223" s="11">
        <f t="shared" si="145"/>
        <v>354.15</v>
      </c>
      <c r="AG223" s="11">
        <f t="shared" si="145"/>
        <v>354.15</v>
      </c>
      <c r="AH223" s="11">
        <f t="shared" si="145"/>
        <v>354.15</v>
      </c>
      <c r="AI223" s="11">
        <f t="shared" si="145"/>
        <v>354.15</v>
      </c>
      <c r="AJ223" s="11">
        <f t="shared" ref="AJ223:AK223" si="146">AJ111+273.15</f>
        <v>354.15</v>
      </c>
      <c r="AK223" s="11">
        <f t="shared" si="146"/>
        <v>353.15</v>
      </c>
    </row>
    <row r="224" spans="1:37">
      <c r="B224" t="s">
        <v>78</v>
      </c>
      <c r="C224" s="6" t="s">
        <v>77</v>
      </c>
      <c r="D224" s="11">
        <f t="shared" ref="D224:I224" si="147">D113+273.15</f>
        <v>316.14999999999998</v>
      </c>
      <c r="E224" s="11">
        <f t="shared" si="147"/>
        <v>319.14999999999998</v>
      </c>
      <c r="F224" s="11">
        <f t="shared" si="147"/>
        <v>319.14999999999998</v>
      </c>
      <c r="G224" s="11">
        <f t="shared" si="147"/>
        <v>320.14999999999998</v>
      </c>
      <c r="H224" s="11">
        <f t="shared" si="147"/>
        <v>321.14999999999998</v>
      </c>
      <c r="I224" s="11">
        <f t="shared" si="147"/>
        <v>322.14999999999998</v>
      </c>
      <c r="L224" s="11"/>
      <c r="M224" s="11" t="str">
        <f t="shared" si="9"/>
        <v>Lubrication Oil Temperature</v>
      </c>
      <c r="N224" s="6" t="s">
        <v>77</v>
      </c>
      <c r="O224" s="11">
        <f>O113+273.15</f>
        <v>323.34999999999997</v>
      </c>
      <c r="P224" s="11">
        <f>P113+273.15</f>
        <v>323.34999999999997</v>
      </c>
      <c r="Q224" s="11">
        <f>Q113+273.15</f>
        <v>324.84999999999997</v>
      </c>
      <c r="R224" s="11">
        <f>R113+273.15</f>
        <v>324.14999999999998</v>
      </c>
      <c r="S224" s="11">
        <f>S113+273.15</f>
        <v>325.14999999999998</v>
      </c>
      <c r="W224" s="11"/>
      <c r="X224" s="11" t="str">
        <f>B224</f>
        <v>Lubrication Oil Temperature</v>
      </c>
      <c r="Y224" s="9" t="str">
        <f t="shared" si="138"/>
        <v>K</v>
      </c>
      <c r="Z224" s="11">
        <f t="shared" ref="Z224:AI224" si="148">Z113+273.15</f>
        <v>324.14999999999998</v>
      </c>
      <c r="AA224" s="11">
        <f t="shared" si="148"/>
        <v>323.14999999999998</v>
      </c>
      <c r="AB224" s="11">
        <f t="shared" si="148"/>
        <v>323.14999999999998</v>
      </c>
      <c r="AC224" s="11">
        <f t="shared" si="148"/>
        <v>323.14999999999998</v>
      </c>
      <c r="AD224" s="11">
        <f t="shared" si="148"/>
        <v>324.14999999999998</v>
      </c>
      <c r="AE224" s="11">
        <f t="shared" si="148"/>
        <v>324.14999999999998</v>
      </c>
      <c r="AF224" s="11">
        <f t="shared" si="148"/>
        <v>325.14999999999998</v>
      </c>
      <c r="AG224" s="11">
        <f t="shared" si="148"/>
        <v>325.14999999999998</v>
      </c>
      <c r="AH224" s="11">
        <f t="shared" si="148"/>
        <v>324.14999999999998</v>
      </c>
      <c r="AI224" s="11">
        <f t="shared" si="148"/>
        <v>324.14999999999998</v>
      </c>
      <c r="AJ224" s="11">
        <f t="shared" ref="AJ224:AK224" si="149">AJ113+273.15</f>
        <v>324.14999999999998</v>
      </c>
      <c r="AK224" s="11">
        <f t="shared" si="149"/>
        <v>323.14999999999998</v>
      </c>
    </row>
    <row r="225" spans="1:37" s="11" customFormat="1">
      <c r="C225" s="6"/>
      <c r="M225" s="11">
        <f t="shared" si="9"/>
        <v>0</v>
      </c>
      <c r="N225" s="6"/>
      <c r="Y225" s="9"/>
    </row>
    <row r="226" spans="1:37">
      <c r="A226" s="4">
        <v>3</v>
      </c>
      <c r="B226" s="4" t="s">
        <v>83</v>
      </c>
      <c r="E226" s="11"/>
      <c r="F226" s="11"/>
      <c r="G226" s="11"/>
      <c r="H226" s="11"/>
      <c r="I226" s="11"/>
      <c r="L226" s="4">
        <v>3</v>
      </c>
      <c r="M226" s="4" t="str">
        <f t="shared" si="9"/>
        <v>Performance Data</v>
      </c>
      <c r="N226" s="6"/>
      <c r="O226" s="11"/>
      <c r="P226" s="11"/>
      <c r="Q226" s="11"/>
      <c r="R226" s="11"/>
      <c r="S226" s="11"/>
      <c r="W226" s="4">
        <v>3</v>
      </c>
      <c r="X226" s="4" t="str">
        <f t="shared" ref="X226:X254" si="150">B226</f>
        <v>Performance Data</v>
      </c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spans="1:37">
      <c r="B227" t="s">
        <v>10</v>
      </c>
      <c r="C227" s="6" t="s">
        <v>84</v>
      </c>
      <c r="D227" s="9">
        <f t="shared" ref="D227:I227" si="151">IF($C$29="bhp",D29*$J$3,IF($C$29="kW",D29,D29*$J$2))</f>
        <v>4313.1280596480001</v>
      </c>
      <c r="E227" s="9">
        <f t="shared" si="151"/>
        <v>8474.8790452800004</v>
      </c>
      <c r="F227" s="9">
        <f t="shared" si="151"/>
        <v>12761.161909536</v>
      </c>
      <c r="G227" s="9">
        <f t="shared" si="151"/>
        <v>15376.331360639999</v>
      </c>
      <c r="H227" s="9">
        <f t="shared" si="151"/>
        <v>17120.523361248001</v>
      </c>
      <c r="I227" s="9">
        <f t="shared" si="151"/>
        <v>18731.98078464</v>
      </c>
      <c r="L227" s="11"/>
      <c r="M227" s="11" t="str">
        <f t="shared" si="9"/>
        <v>Brake Power</v>
      </c>
      <c r="N227" s="6" t="s">
        <v>84</v>
      </c>
      <c r="O227" s="9">
        <f>IF($N$29="bhp",O29*$J$3,IF($N$29="kW",O29,O29*$J$2))</f>
        <v>13161.602740799999</v>
      </c>
      <c r="P227" s="9">
        <f>IF($N$29="bhp",P29*$J$3,IF($N$29="kW",P29,P29*$J$2))</f>
        <v>12498.675554592</v>
      </c>
      <c r="Q227" s="9">
        <f>IF($N$29="bhp",Q29*$J$3,IF($N$29="kW",Q29,Q29*$J$2))</f>
        <v>15498.626139648</v>
      </c>
      <c r="R227" s="9">
        <f>IF($N$29="bhp",R29*$J$3,IF($N$29="kW",R29,R29*$J$2))</f>
        <v>14670.153581856001</v>
      </c>
      <c r="S227" s="9">
        <f>IF($N$29="bhp",S29*$J$3,IF($N$29="kW",S29,S29*$J$2))</f>
        <v>17081.001268032</v>
      </c>
      <c r="W227" s="11"/>
      <c r="X227" s="11" t="str">
        <f t="shared" si="150"/>
        <v>Brake Power</v>
      </c>
      <c r="Y227" s="9" t="str">
        <f t="shared" si="138"/>
        <v>kW</v>
      </c>
      <c r="Z227" s="9">
        <f t="shared" ref="Z227:AI227" si="152">IF($Y$29="bhp",Z29*$J$3,IF($Y$29="kW",Z29,Z29*$J$2))</f>
        <v>12975.923472672001</v>
      </c>
      <c r="AA227" s="9">
        <f t="shared" si="152"/>
        <v>11878.99896096</v>
      </c>
      <c r="AB227" s="9">
        <f t="shared" si="152"/>
        <v>12309.267787104</v>
      </c>
      <c r="AC227" s="9">
        <f t="shared" si="152"/>
        <v>9765.6855237119998</v>
      </c>
      <c r="AD227" s="9">
        <f t="shared" si="152"/>
        <v>12155.653613471999</v>
      </c>
      <c r="AE227" s="9">
        <f t="shared" si="152"/>
        <v>12820.072199423999</v>
      </c>
      <c r="AF227" s="9">
        <f t="shared" si="152"/>
        <v>12284.659691327999</v>
      </c>
      <c r="AG227" s="9">
        <f t="shared" si="152"/>
        <v>12865.559891616</v>
      </c>
      <c r="AH227" s="9">
        <f t="shared" si="152"/>
        <v>12796.955503392001</v>
      </c>
      <c r="AI227" s="9">
        <f t="shared" si="152"/>
        <v>12732.825314399999</v>
      </c>
      <c r="AJ227" s="9">
        <f t="shared" ref="AJ227:AK227" si="153">IF($Y$29="bhp",AJ29*$J$3,IF($Y$29="kW",AJ29,AJ29*$J$2))</f>
        <v>12948.332577408</v>
      </c>
      <c r="AK227" s="9">
        <f t="shared" si="153"/>
        <v>13205.599033248</v>
      </c>
    </row>
    <row r="228" spans="1:37">
      <c r="B228" s="11" t="s">
        <v>85</v>
      </c>
      <c r="C228" s="6" t="s">
        <v>84</v>
      </c>
      <c r="D228" s="9">
        <f>D227/$C$6</f>
        <v>718.85467660799998</v>
      </c>
      <c r="E228" s="9">
        <f t="shared" ref="E228:I228" si="154">E227/$C$6</f>
        <v>1412.47984088</v>
      </c>
      <c r="F228" s="9">
        <f t="shared" si="154"/>
        <v>2126.860318256</v>
      </c>
      <c r="G228" s="9">
        <f t="shared" si="154"/>
        <v>2562.7218934399998</v>
      </c>
      <c r="H228" s="9">
        <f t="shared" si="154"/>
        <v>2853.4205602080001</v>
      </c>
      <c r="I228" s="9">
        <f t="shared" si="154"/>
        <v>3121.9967974400001</v>
      </c>
      <c r="L228" s="11"/>
      <c r="M228" s="11" t="str">
        <f t="shared" si="9"/>
        <v>Brake Power/cylinder</v>
      </c>
      <c r="N228" s="6" t="s">
        <v>84</v>
      </c>
      <c r="O228" s="9">
        <f>O227/$C$6</f>
        <v>2193.6004567999998</v>
      </c>
      <c r="P228" s="9">
        <f t="shared" ref="P228:S228" si="155">P227/$C$6</f>
        <v>2083.1125924319999</v>
      </c>
      <c r="Q228" s="9">
        <f t="shared" si="155"/>
        <v>2583.1043566080002</v>
      </c>
      <c r="R228" s="9">
        <f t="shared" si="155"/>
        <v>2445.0255969760001</v>
      </c>
      <c r="S228" s="9">
        <f t="shared" si="155"/>
        <v>2846.8335446719998</v>
      </c>
      <c r="W228" s="11"/>
      <c r="X228" s="11" t="str">
        <f t="shared" si="150"/>
        <v>Brake Power/cylinder</v>
      </c>
      <c r="Y228" s="9" t="str">
        <f t="shared" si="138"/>
        <v>kW</v>
      </c>
      <c r="Z228" s="9">
        <f t="shared" ref="Z228:AD228" si="156">Z227/$C$6</f>
        <v>2162.6539121119999</v>
      </c>
      <c r="AA228" s="9">
        <f t="shared" si="156"/>
        <v>1979.83316016</v>
      </c>
      <c r="AB228" s="9">
        <f t="shared" si="156"/>
        <v>2051.5446311840001</v>
      </c>
      <c r="AC228" s="9">
        <f t="shared" si="156"/>
        <v>1627.6142539519999</v>
      </c>
      <c r="AD228" s="9">
        <f t="shared" si="156"/>
        <v>2025.9422689119999</v>
      </c>
      <c r="AE228" s="9">
        <f t="shared" ref="AE228:AI228" si="157">AE227/$C$6</f>
        <v>2136.678699904</v>
      </c>
      <c r="AF228" s="9">
        <f t="shared" si="157"/>
        <v>2047.4432818879998</v>
      </c>
      <c r="AG228" s="9">
        <f t="shared" si="157"/>
        <v>2144.2599819359998</v>
      </c>
      <c r="AH228" s="9">
        <f t="shared" si="157"/>
        <v>2132.8259172319999</v>
      </c>
      <c r="AI228" s="9">
        <f t="shared" si="157"/>
        <v>2122.1375524</v>
      </c>
      <c r="AJ228" s="9">
        <f t="shared" ref="AJ228:AK228" si="158">AJ227/$C$6</f>
        <v>2158.0554295679999</v>
      </c>
      <c r="AK228" s="9">
        <f t="shared" si="158"/>
        <v>2200.9331722080001</v>
      </c>
    </row>
    <row r="229" spans="1:37">
      <c r="B229" t="s">
        <v>86</v>
      </c>
      <c r="C229" s="6" t="s">
        <v>20</v>
      </c>
      <c r="D229" s="18">
        <f>60*D228/100/D27/$C$11</f>
        <v>6.9732697847577176</v>
      </c>
      <c r="E229" s="18">
        <f t="shared" ref="E229:I229" si="159">60*E228/100/E27/$C$11</f>
        <v>10.878054205325517</v>
      </c>
      <c r="F229" s="18">
        <f t="shared" si="159"/>
        <v>14.337260587034109</v>
      </c>
      <c r="G229" s="18">
        <f t="shared" si="159"/>
        <v>16.233787683889293</v>
      </c>
      <c r="H229" s="18">
        <f t="shared" si="159"/>
        <v>17.459493936903794</v>
      </c>
      <c r="I229" s="18">
        <f t="shared" si="159"/>
        <v>18.512885650188352</v>
      </c>
      <c r="L229" s="11"/>
      <c r="M229" s="11" t="str">
        <f t="shared" si="9"/>
        <v>BMEP</v>
      </c>
      <c r="N229" s="6" t="s">
        <v>20</v>
      </c>
      <c r="O229" s="18">
        <f>60*O228/100/O27/$C$11</f>
        <v>14.219084060794522</v>
      </c>
      <c r="P229" s="18">
        <f>60*P228/100/P27/$C$11</f>
        <v>13.502893367874051</v>
      </c>
      <c r="Q229" s="18">
        <f>60*Q228/100/Q27/$C$11</f>
        <v>15.822872417761095</v>
      </c>
      <c r="R229" s="18">
        <f>60*R228/100/R27/$C$11</f>
        <v>15.011748017191533</v>
      </c>
      <c r="S229" s="18">
        <f>60*S228/100/S27/$C$11</f>
        <v>16.847127539423827</v>
      </c>
      <c r="W229" s="11"/>
      <c r="X229" s="11" t="str">
        <f t="shared" si="150"/>
        <v>BMEP</v>
      </c>
      <c r="Y229" s="9" t="str">
        <f t="shared" si="138"/>
        <v>bar</v>
      </c>
      <c r="Z229" s="18">
        <f t="shared" ref="Z229:AI229" si="160">60*Z228/100/Z27/$C$11</f>
        <v>13.320663341790947</v>
      </c>
      <c r="AA229" s="18">
        <f t="shared" si="160"/>
        <v>12.642104231552899</v>
      </c>
      <c r="AB229" s="18">
        <f t="shared" si="160"/>
        <v>12.791950441623632</v>
      </c>
      <c r="AC229" s="18">
        <f t="shared" si="160"/>
        <v>11.038640382238325</v>
      </c>
      <c r="AD229" s="18">
        <f t="shared" si="160"/>
        <v>12.632312603677638</v>
      </c>
      <c r="AE229" s="18">
        <f t="shared" si="160"/>
        <v>13.16067146555198</v>
      </c>
      <c r="AF229" s="18">
        <f t="shared" si="160"/>
        <v>12.625000010180566</v>
      </c>
      <c r="AG229" s="18">
        <f t="shared" si="160"/>
        <v>13.163682870807332</v>
      </c>
      <c r="AH229" s="18">
        <f t="shared" si="160"/>
        <v>13.079068628015767</v>
      </c>
      <c r="AI229" s="18">
        <f t="shared" si="160"/>
        <v>13.013524667756494</v>
      </c>
      <c r="AJ229" s="18">
        <f t="shared" ref="AJ229:AK229" si="161">60*AJ228/100/AJ27/$C$11</f>
        <v>13.233782859790555</v>
      </c>
      <c r="AK229" s="18">
        <f t="shared" si="161"/>
        <v>13.496720839900425</v>
      </c>
    </row>
    <row r="230" spans="1:37" s="11" customFormat="1">
      <c r="B230" s="11" t="s">
        <v>39</v>
      </c>
      <c r="C230" s="6" t="s">
        <v>89</v>
      </c>
      <c r="D230" s="16">
        <f>D149/$J$17</f>
        <v>182.92882313918381</v>
      </c>
      <c r="E230" s="16">
        <f t="shared" ref="E230:I231" si="162">E149/$J$3</f>
        <v>173.74282183060373</v>
      </c>
      <c r="F230" s="16">
        <f t="shared" si="162"/>
        <v>171.26193096624266</v>
      </c>
      <c r="G230" s="16">
        <f t="shared" si="162"/>
        <v>170.65847102626299</v>
      </c>
      <c r="H230" s="16">
        <f t="shared" si="162"/>
        <v>171.85198068533396</v>
      </c>
      <c r="I230" s="16">
        <f t="shared" si="162"/>
        <v>174.01102624837247</v>
      </c>
      <c r="M230" s="11" t="str">
        <f t="shared" si="9"/>
        <v>bsfc</v>
      </c>
      <c r="N230" s="6" t="s">
        <v>89</v>
      </c>
      <c r="O230" s="16">
        <f t="shared" ref="O230:S231" si="163">O149/$J$17</f>
        <v>0</v>
      </c>
      <c r="P230" s="16">
        <f t="shared" si="163"/>
        <v>0</v>
      </c>
      <c r="Q230" s="16">
        <f t="shared" si="163"/>
        <v>0</v>
      </c>
      <c r="R230" s="16">
        <f t="shared" si="163"/>
        <v>0</v>
      </c>
      <c r="S230" s="16">
        <f t="shared" si="163"/>
        <v>0</v>
      </c>
      <c r="X230" s="11" t="str">
        <f t="shared" si="150"/>
        <v>bsfc</v>
      </c>
      <c r="Y230" s="9" t="str">
        <f t="shared" si="138"/>
        <v>g/kWh</v>
      </c>
      <c r="Z230" s="16">
        <f t="shared" ref="Z230:AI230" si="164">Z149/$J$17</f>
        <v>203.83535750425878</v>
      </c>
      <c r="AA230" s="16">
        <f t="shared" si="164"/>
        <v>204.10356192202752</v>
      </c>
      <c r="AB230" s="16">
        <f t="shared" si="164"/>
        <v>199.54408681995861</v>
      </c>
      <c r="AC230" s="16">
        <f t="shared" si="164"/>
        <v>200.34870007326487</v>
      </c>
      <c r="AD230" s="16">
        <f t="shared" si="164"/>
        <v>218.85480489930939</v>
      </c>
      <c r="AE230" s="16">
        <f t="shared" si="164"/>
        <v>206.78560609971512</v>
      </c>
      <c r="AF230" s="16">
        <f t="shared" si="164"/>
        <v>210.27226353070907</v>
      </c>
      <c r="AG230" s="16">
        <f t="shared" si="164"/>
        <v>205.44458401087132</v>
      </c>
      <c r="AH230" s="16">
        <f t="shared" si="164"/>
        <v>207.32201493525267</v>
      </c>
      <c r="AI230" s="16">
        <f t="shared" si="164"/>
        <v>207.59021935302144</v>
      </c>
      <c r="AJ230" s="16">
        <f t="shared" ref="AJ230:AK230" si="165">AJ149/$J$17</f>
        <v>213.62481875281858</v>
      </c>
      <c r="AK230" s="16">
        <f t="shared" si="165"/>
        <v>207.99252597967455</v>
      </c>
    </row>
    <row r="231" spans="1:37" s="11" customFormat="1">
      <c r="B231" s="11" t="s">
        <v>103</v>
      </c>
      <c r="C231" s="6" t="s">
        <v>89</v>
      </c>
      <c r="D231" s="16">
        <f>D150/$J$17</f>
        <v>179.95175410195054</v>
      </c>
      <c r="E231" s="16">
        <f t="shared" si="162"/>
        <v>170.96690610669702</v>
      </c>
      <c r="F231" s="16">
        <f t="shared" si="162"/>
        <v>168.49942546322444</v>
      </c>
      <c r="G231" s="16">
        <f t="shared" si="162"/>
        <v>167.73504287258345</v>
      </c>
      <c r="H231" s="16">
        <f t="shared" si="162"/>
        <v>168.94196275254291</v>
      </c>
      <c r="I231" s="16">
        <f t="shared" si="162"/>
        <v>170.96690610669702</v>
      </c>
      <c r="M231" s="11" t="str">
        <f t="shared" si="9"/>
        <v>bsfc corrected (recorded)</v>
      </c>
      <c r="N231" s="6" t="s">
        <v>89</v>
      </c>
      <c r="O231" s="16">
        <f t="shared" si="163"/>
        <v>0</v>
      </c>
      <c r="P231" s="16">
        <f t="shared" si="163"/>
        <v>0</v>
      </c>
      <c r="Q231" s="16">
        <f t="shared" si="163"/>
        <v>0</v>
      </c>
      <c r="R231" s="16">
        <f t="shared" si="163"/>
        <v>0</v>
      </c>
      <c r="S231" s="16">
        <f t="shared" si="163"/>
        <v>0</v>
      </c>
      <c r="X231" s="11" t="str">
        <f t="shared" si="150"/>
        <v>bsfc corrected (recorded)</v>
      </c>
      <c r="Y231" s="9" t="str">
        <f t="shared" si="138"/>
        <v>g/kWh</v>
      </c>
      <c r="Z231" s="16">
        <f t="shared" ref="Z231:AI231" si="166">Z150/$J$17</f>
        <v>196.05742938896466</v>
      </c>
      <c r="AA231" s="16">
        <f t="shared" si="166"/>
        <v>196.45973601561784</v>
      </c>
      <c r="AB231" s="16">
        <f t="shared" si="166"/>
        <v>192.43666974908641</v>
      </c>
      <c r="AC231" s="16">
        <f t="shared" si="166"/>
        <v>192.97307858462392</v>
      </c>
      <c r="AD231" s="16">
        <f t="shared" si="166"/>
        <v>211.3450812017841</v>
      </c>
      <c r="AE231" s="16">
        <f t="shared" si="166"/>
        <v>199.94639344661172</v>
      </c>
      <c r="AF231" s="16">
        <f t="shared" si="166"/>
        <v>203.29894866872124</v>
      </c>
      <c r="AG231" s="16">
        <f t="shared" si="166"/>
        <v>199.40998461107418</v>
      </c>
      <c r="AH231" s="16">
        <f t="shared" si="166"/>
        <v>200.48280228214924</v>
      </c>
      <c r="AI231" s="16">
        <f t="shared" si="166"/>
        <v>194.85050950900526</v>
      </c>
      <c r="AJ231" s="16">
        <f t="shared" ref="AJ231:AK231" si="167">AJ150/$J$17</f>
        <v>200.48280228214924</v>
      </c>
      <c r="AK231" s="16">
        <f t="shared" si="167"/>
        <v>200.61690449103361</v>
      </c>
    </row>
    <row r="232" spans="1:37" s="11" customFormat="1">
      <c r="B232" s="11" t="s">
        <v>238</v>
      </c>
      <c r="C232" s="6" t="s">
        <v>89</v>
      </c>
      <c r="D232" s="16">
        <f t="shared" ref="D232:I232" si="168">D233*(1+(25-D23)*0.0002-(1000-D189)*0.00002+(25-D207)*0.0006)</f>
        <v>180.10633364270558</v>
      </c>
      <c r="E232" s="16">
        <f t="shared" si="168"/>
        <v>171.16701070881453</v>
      </c>
      <c r="F232" s="16">
        <f t="shared" si="168"/>
        <v>168.71055870253537</v>
      </c>
      <c r="G232" s="16">
        <f t="shared" si="168"/>
        <v>168.00987811977524</v>
      </c>
      <c r="H232" s="16">
        <f t="shared" si="168"/>
        <v>169.18148721089833</v>
      </c>
      <c r="I232" s="16">
        <f t="shared" si="168"/>
        <v>171.20780471160231</v>
      </c>
      <c r="M232" s="11" t="s">
        <v>238</v>
      </c>
      <c r="N232" s="6" t="s">
        <v>89</v>
      </c>
      <c r="O232" s="16">
        <f>O233*(1+(25-O23)*0.0002-(1000-O189)*0.00002+(25-O207)*0.0006)</f>
        <v>0</v>
      </c>
      <c r="P232" s="16"/>
      <c r="Q232" s="16"/>
      <c r="R232" s="16"/>
      <c r="S232" s="16"/>
      <c r="X232" s="11" t="s">
        <v>238</v>
      </c>
      <c r="Y232" s="6" t="s">
        <v>89</v>
      </c>
      <c r="Z232" s="16">
        <f t="shared" ref="Z232:AI232" si="169">Z233*(1+(25-Z23)*0.0002-(1000-Z189)*0.00002+(25-Z207)*0.0006)</f>
        <v>190.69679867218181</v>
      </c>
      <c r="AA232" s="16">
        <f t="shared" si="169"/>
        <v>191.45837593254876</v>
      </c>
      <c r="AB232" s="16">
        <f t="shared" si="169"/>
        <v>187.04558920060879</v>
      </c>
      <c r="AC232" s="16">
        <f t="shared" si="169"/>
        <v>187.93319904588625</v>
      </c>
      <c r="AD232" s="16">
        <f t="shared" si="169"/>
        <v>204.69971690327503</v>
      </c>
      <c r="AE232" s="16">
        <f t="shared" si="169"/>
        <v>194.37263905762578</v>
      </c>
      <c r="AF232" s="16">
        <f t="shared" si="169"/>
        <v>197.60931326344306</v>
      </c>
      <c r="AG232" s="16">
        <f t="shared" si="169"/>
        <v>194.01969041031251</v>
      </c>
      <c r="AH232" s="16">
        <f t="shared" si="169"/>
        <v>194.89566744484961</v>
      </c>
      <c r="AI232" s="16">
        <f t="shared" si="169"/>
        <v>189.53045366102572</v>
      </c>
      <c r="AJ232" s="16">
        <f t="shared" ref="AJ232:AK232" si="170">AJ233*(1+(25-AJ23)*0.0002-(1000-AJ189)*0.00002+(25-AJ207)*0.0006)</f>
        <v>195.08018331581164</v>
      </c>
      <c r="AK232" s="16">
        <f t="shared" si="170"/>
        <v>195.2200800277522</v>
      </c>
    </row>
    <row r="233" spans="1:37" s="11" customFormat="1">
      <c r="B233" s="11" t="s">
        <v>237</v>
      </c>
      <c r="C233" s="6" t="s">
        <v>89</v>
      </c>
      <c r="D233" s="16">
        <f t="shared" ref="D233:I233" si="171">D230*D202/42700</f>
        <v>179.7590976093482</v>
      </c>
      <c r="E233" s="16">
        <f t="shared" si="171"/>
        <v>170.73226806148489</v>
      </c>
      <c r="F233" s="16">
        <f t="shared" si="171"/>
        <v>168.29436519089404</v>
      </c>
      <c r="G233" s="16">
        <f t="shared" si="171"/>
        <v>167.70136178993957</v>
      </c>
      <c r="H233" s="16">
        <f t="shared" si="171"/>
        <v>168.87419073849404</v>
      </c>
      <c r="I233" s="16">
        <f t="shared" si="171"/>
        <v>170.99582512857575</v>
      </c>
      <c r="M233" s="11" t="str">
        <f t="shared" si="9"/>
        <v>bsfc corrected (LHV)</v>
      </c>
      <c r="N233" s="6" t="s">
        <v>89</v>
      </c>
      <c r="O233" s="16">
        <f>O230*O202/42700</f>
        <v>0</v>
      </c>
      <c r="P233" s="16">
        <f>P230*P202/42700</f>
        <v>0</v>
      </c>
      <c r="Q233" s="16">
        <f>Q230*Q202/42700</f>
        <v>0</v>
      </c>
      <c r="R233" s="16">
        <f>R230*R202/42700</f>
        <v>0</v>
      </c>
      <c r="S233" s="16">
        <f>S230*S202/42700</f>
        <v>0</v>
      </c>
      <c r="X233" s="11" t="str">
        <f t="shared" si="150"/>
        <v>bsfc corrected (LHV)</v>
      </c>
      <c r="Y233" s="9" t="str">
        <f t="shared" si="138"/>
        <v>g/kWh</v>
      </c>
      <c r="Z233" s="16">
        <f t="shared" ref="Z233:AI233" si="172">Z230*Z202/42700</f>
        <v>196.1497620573769</v>
      </c>
      <c r="AA233" s="16">
        <f t="shared" si="172"/>
        <v>196.40785384955763</v>
      </c>
      <c r="AB233" s="16">
        <f t="shared" si="172"/>
        <v>192.39414647254557</v>
      </c>
      <c r="AC233" s="16">
        <f t="shared" si="172"/>
        <v>193.02916911040086</v>
      </c>
      <c r="AD233" s="16">
        <f t="shared" si="172"/>
        <v>211.4229672622134</v>
      </c>
      <c r="AE233" s="16">
        <f t="shared" si="172"/>
        <v>200.05417770443165</v>
      </c>
      <c r="AF233" s="16">
        <f t="shared" si="172"/>
        <v>203.42733504575156</v>
      </c>
      <c r="AG233" s="16">
        <f t="shared" si="172"/>
        <v>199.52662526770104</v>
      </c>
      <c r="AH233" s="16">
        <f t="shared" si="172"/>
        <v>200.42746549244097</v>
      </c>
      <c r="AI233" s="16">
        <f t="shared" si="172"/>
        <v>194.9500654814089</v>
      </c>
      <c r="AJ233" s="16">
        <f t="shared" ref="AJ233:AK233" si="173">AJ230*AJ202/42700</f>
        <v>200.61721854772895</v>
      </c>
      <c r="AK233" s="16">
        <f t="shared" si="173"/>
        <v>200.63728677055727</v>
      </c>
    </row>
    <row r="234" spans="1:37">
      <c r="B234" t="s">
        <v>11</v>
      </c>
      <c r="C234" s="6" t="s">
        <v>84</v>
      </c>
      <c r="D234" s="9">
        <f t="shared" ref="D234:I234" si="174">IF($C$30="bhp",D30*$J$3,IF($C$30="kW",D30,D30*$J$2))</f>
        <v>4949.9557503360002</v>
      </c>
      <c r="E234" s="9">
        <f t="shared" si="174"/>
        <v>9275.760707808</v>
      </c>
      <c r="F234" s="9">
        <f t="shared" si="174"/>
        <v>13671.661453248</v>
      </c>
      <c r="G234" s="9">
        <f t="shared" si="174"/>
        <v>16352.452493088</v>
      </c>
      <c r="H234" s="9">
        <f t="shared" si="174"/>
        <v>18127.218188448001</v>
      </c>
      <c r="I234" s="9">
        <f t="shared" si="174"/>
        <v>19830.396696095999</v>
      </c>
      <c r="L234" s="11"/>
      <c r="M234" s="11" t="str">
        <f t="shared" si="9"/>
        <v>Indicated Power</v>
      </c>
      <c r="N234" s="6" t="s">
        <v>84</v>
      </c>
      <c r="O234" s="9">
        <f>IF($N$30="bhp",O30*$J$3,IF($N$30="kW",O30,O30*$J$2))</f>
        <v>0</v>
      </c>
      <c r="P234" s="9">
        <f>IF($N$30="bhp",P30*$J$3,IF($N$30="kW",P30,P30*$J$2))</f>
        <v>0</v>
      </c>
      <c r="Q234" s="9">
        <f>IF($N$30="bhp",Q30*$J$3,IF($N$30="kW",Q30,Q30*$J$2))</f>
        <v>0</v>
      </c>
      <c r="R234" s="9">
        <f>IF($N$30="bhp",R30*$J$3,IF($N$30="kW",R30,R30*$J$2))</f>
        <v>0</v>
      </c>
      <c r="S234" s="9">
        <f>IF($N$30="bhp",S30*$J$3,IF($N$30="kW",S30,S30*$J$2))</f>
        <v>0</v>
      </c>
      <c r="T234" s="9"/>
      <c r="W234" s="11"/>
      <c r="X234" s="11" t="str">
        <f t="shared" si="150"/>
        <v>Indicated Power</v>
      </c>
      <c r="Y234" s="9" t="str">
        <f t="shared" si="138"/>
        <v>kW</v>
      </c>
      <c r="Z234" s="9">
        <f t="shared" ref="Z234:AI234" si="175">IF($Y$30="bhp",Z30*$J$3,IF($Y$30="kW",Z30,Z30*$J$2))</f>
        <v>13963.2301032</v>
      </c>
      <c r="AA234" s="9">
        <f t="shared" si="175"/>
        <v>12831.257697503999</v>
      </c>
      <c r="AB234" s="9">
        <f t="shared" si="175"/>
        <v>13284.64321968</v>
      </c>
      <c r="AC234" s="9">
        <f t="shared" si="175"/>
        <v>10662.762469727999</v>
      </c>
      <c r="AD234" s="9">
        <f t="shared" si="175"/>
        <v>13131.029046047999</v>
      </c>
      <c r="AE234" s="9">
        <f t="shared" si="175"/>
        <v>13539.672575904</v>
      </c>
      <c r="AF234" s="9">
        <f t="shared" si="175"/>
        <v>13271.220621983999</v>
      </c>
      <c r="AG234" s="9">
        <f t="shared" si="175"/>
        <v>13856.595021503999</v>
      </c>
      <c r="AH234" s="9">
        <f t="shared" si="175"/>
        <v>13788.736333151999</v>
      </c>
      <c r="AI234" s="9">
        <f t="shared" si="175"/>
        <v>13725.351844032</v>
      </c>
      <c r="AJ234" s="9">
        <f t="shared" ref="AJ234:AK234" si="176">IF($Y$30="bhp",AJ30*$J$3,IF($Y$30="kW",AJ30,AJ30*$J$2))</f>
        <v>13940.113407167999</v>
      </c>
      <c r="AK234" s="9">
        <f t="shared" si="176"/>
        <v>14481.49151424</v>
      </c>
    </row>
    <row r="235" spans="1:37">
      <c r="B235" s="11" t="s">
        <v>87</v>
      </c>
      <c r="C235" s="6" t="s">
        <v>84</v>
      </c>
      <c r="D235" s="9">
        <f>D234/$C$6</f>
        <v>824.99262505600007</v>
      </c>
      <c r="E235" s="9">
        <f t="shared" ref="E235:I235" si="177">E234/$C$6</f>
        <v>1545.9601179680001</v>
      </c>
      <c r="F235" s="9">
        <f t="shared" si="177"/>
        <v>2278.6102422079998</v>
      </c>
      <c r="G235" s="9">
        <f t="shared" si="177"/>
        <v>2725.408748848</v>
      </c>
      <c r="H235" s="9">
        <f t="shared" si="177"/>
        <v>3021.2030314080002</v>
      </c>
      <c r="I235" s="9">
        <f t="shared" si="177"/>
        <v>3305.0661160159998</v>
      </c>
      <c r="L235" s="11"/>
      <c r="M235" s="11" t="str">
        <f t="shared" si="9"/>
        <v>Indicated Power/cylinder</v>
      </c>
      <c r="N235" s="6" t="s">
        <v>84</v>
      </c>
      <c r="O235" s="9">
        <f>O234/$C$6</f>
        <v>0</v>
      </c>
      <c r="P235" s="9">
        <f t="shared" ref="P235:S235" si="178">P234/$C$6</f>
        <v>0</v>
      </c>
      <c r="Q235" s="9">
        <f t="shared" si="178"/>
        <v>0</v>
      </c>
      <c r="R235" s="9">
        <f t="shared" si="178"/>
        <v>0</v>
      </c>
      <c r="S235" s="9">
        <f t="shared" si="178"/>
        <v>0</v>
      </c>
      <c r="W235" s="11"/>
      <c r="X235" s="11" t="str">
        <f t="shared" si="150"/>
        <v>Indicated Power/cylinder</v>
      </c>
      <c r="Y235" s="9" t="str">
        <f t="shared" si="138"/>
        <v>kW</v>
      </c>
      <c r="Z235" s="9">
        <f t="shared" ref="Z235:AD235" si="179">Z234/$C$6</f>
        <v>2327.2050171999999</v>
      </c>
      <c r="AA235" s="9">
        <f t="shared" si="179"/>
        <v>2138.5429495839999</v>
      </c>
      <c r="AB235" s="9">
        <f t="shared" si="179"/>
        <v>2214.1072032799998</v>
      </c>
      <c r="AC235" s="9">
        <f t="shared" si="179"/>
        <v>1777.1270782879999</v>
      </c>
      <c r="AD235" s="9">
        <f t="shared" si="179"/>
        <v>2188.5048410079999</v>
      </c>
      <c r="AE235" s="9">
        <f t="shared" ref="AE235:AI235" si="180">AE234/$C$6</f>
        <v>2256.612095984</v>
      </c>
      <c r="AF235" s="9">
        <f t="shared" si="180"/>
        <v>2211.870103664</v>
      </c>
      <c r="AG235" s="9">
        <f t="shared" si="180"/>
        <v>2309.4325035839997</v>
      </c>
      <c r="AH235" s="9">
        <f t="shared" si="180"/>
        <v>2298.1227221919999</v>
      </c>
      <c r="AI235" s="9">
        <f t="shared" si="180"/>
        <v>2287.5586406719999</v>
      </c>
      <c r="AJ235" s="9">
        <f t="shared" ref="AJ235:AK235" si="181">AJ234/$C$6</f>
        <v>2323.3522345279998</v>
      </c>
      <c r="AK235" s="9">
        <f t="shared" si="181"/>
        <v>2413.5819190400002</v>
      </c>
    </row>
    <row r="236" spans="1:37">
      <c r="B236" t="s">
        <v>22</v>
      </c>
      <c r="C236" s="6" t="s">
        <v>20</v>
      </c>
      <c r="D236" s="18">
        <f t="shared" ref="D236:I236" si="182">60*D235/100/D27/$C$11</f>
        <v>8.0028639058128874</v>
      </c>
      <c r="E236" s="18">
        <f t="shared" si="182"/>
        <v>11.906037506383118</v>
      </c>
      <c r="F236" s="18">
        <f t="shared" si="182"/>
        <v>15.360213615536921</v>
      </c>
      <c r="G236" s="18">
        <f t="shared" si="182"/>
        <v>17.264341906886919</v>
      </c>
      <c r="H236" s="18">
        <f t="shared" si="182"/>
        <v>18.48612039340539</v>
      </c>
      <c r="I236" s="18">
        <f t="shared" si="182"/>
        <v>19.598454143927498</v>
      </c>
      <c r="L236" s="11"/>
      <c r="M236" s="11" t="str">
        <f t="shared" si="9"/>
        <v>IMEP</v>
      </c>
      <c r="N236" s="6" t="s">
        <v>20</v>
      </c>
      <c r="O236" s="18">
        <f>60*O235/100/O27/$C$11</f>
        <v>0</v>
      </c>
      <c r="P236" s="18">
        <f>60*P235/100/P27/$C$11</f>
        <v>0</v>
      </c>
      <c r="Q236" s="18">
        <f>60*Q235/100/Q27/$C$11</f>
        <v>0</v>
      </c>
      <c r="R236" s="18">
        <f>60*R235/100/R27/$C$11</f>
        <v>0</v>
      </c>
      <c r="S236" s="18">
        <f>60*S235/100/S27/$C$11</f>
        <v>0</v>
      </c>
      <c r="W236" s="11"/>
      <c r="X236" s="11" t="str">
        <f t="shared" si="150"/>
        <v>IMEP</v>
      </c>
      <c r="Y236" s="9" t="str">
        <f t="shared" si="138"/>
        <v>bar</v>
      </c>
      <c r="Z236" s="18">
        <f t="shared" ref="Z236:AI236" si="183">60*Z235/100/Z27/$C$11</f>
        <v>14.334200395094275</v>
      </c>
      <c r="AA236" s="18">
        <f t="shared" si="183"/>
        <v>13.655535939254911</v>
      </c>
      <c r="AB236" s="18">
        <f t="shared" si="183"/>
        <v>13.805573218484579</v>
      </c>
      <c r="AC236" s="18">
        <f t="shared" si="183"/>
        <v>12.052651101529158</v>
      </c>
      <c r="AD236" s="18">
        <f t="shared" si="183"/>
        <v>13.645935380538589</v>
      </c>
      <c r="AE236" s="18">
        <f t="shared" si="183"/>
        <v>13.89938993718167</v>
      </c>
      <c r="AF236" s="18">
        <f t="shared" si="183"/>
        <v>13.638893115283697</v>
      </c>
      <c r="AG236" s="18">
        <f t="shared" si="183"/>
        <v>14.177682438146514</v>
      </c>
      <c r="AH236" s="18">
        <f t="shared" si="183"/>
        <v>14.092713594816127</v>
      </c>
      <c r="AI236" s="18">
        <f t="shared" si="183"/>
        <v>14.027931773629634</v>
      </c>
      <c r="AJ236" s="18">
        <f t="shared" ref="AJ236:AK236" si="184">60*AJ235/100/AJ27/$C$11</f>
        <v>14.247427826590917</v>
      </c>
      <c r="AK236" s="18">
        <f t="shared" si="184"/>
        <v>14.800740793430814</v>
      </c>
    </row>
    <row r="237" spans="1:37" s="11" customFormat="1">
      <c r="B237" s="11" t="s">
        <v>90</v>
      </c>
      <c r="C237" s="6" t="s">
        <v>89</v>
      </c>
      <c r="D237" s="16">
        <f t="shared" ref="D237:I237" si="185">D148/D234*1000</f>
        <v>159.39536428107326</v>
      </c>
      <c r="E237" s="16">
        <f t="shared" si="185"/>
        <v>158.73630706757959</v>
      </c>
      <c r="F237" s="16">
        <f t="shared" si="185"/>
        <v>159.85621114694783</v>
      </c>
      <c r="G237" s="16">
        <f t="shared" si="185"/>
        <v>160.47134221054475</v>
      </c>
      <c r="H237" s="16">
        <f t="shared" si="185"/>
        <v>162.31282535535638</v>
      </c>
      <c r="I237" s="16">
        <f t="shared" si="185"/>
        <v>164.41426008597568</v>
      </c>
      <c r="M237" s="11" t="str">
        <f t="shared" si="9"/>
        <v>isfc</v>
      </c>
      <c r="N237" s="6" t="s">
        <v>89</v>
      </c>
      <c r="O237" s="16" t="e">
        <f>O148/O234*1000</f>
        <v>#DIV/0!</v>
      </c>
      <c r="P237" s="16" t="e">
        <f>P148/P234*1000</f>
        <v>#DIV/0!</v>
      </c>
      <c r="Q237" s="16" t="e">
        <f>Q148/Q234*1000</f>
        <v>#DIV/0!</v>
      </c>
      <c r="R237" s="16" t="e">
        <f>R148/R234*1000</f>
        <v>#DIV/0!</v>
      </c>
      <c r="S237" s="16" t="e">
        <f>S148/S234*1000</f>
        <v>#DIV/0!</v>
      </c>
      <c r="X237" s="11" t="str">
        <f t="shared" si="150"/>
        <v>isfc</v>
      </c>
      <c r="Y237" s="9" t="str">
        <f t="shared" si="138"/>
        <v>g/kWh</v>
      </c>
      <c r="Z237" s="16">
        <f t="shared" ref="Z237:AI237" si="186">Z148/Z234*1000</f>
        <v>189.42608411171543</v>
      </c>
      <c r="AA237" s="16">
        <f t="shared" si="186"/>
        <v>188.99160605836192</v>
      </c>
      <c r="AB237" s="16">
        <f t="shared" si="186"/>
        <v>184.95039417845834</v>
      </c>
      <c r="AC237" s="16">
        <f t="shared" si="186"/>
        <v>183.44214321130764</v>
      </c>
      <c r="AD237" s="16">
        <f t="shared" si="186"/>
        <v>202.57361328437327</v>
      </c>
      <c r="AE237" s="16">
        <f t="shared" si="186"/>
        <v>195.79498581951501</v>
      </c>
      <c r="AF237" s="16">
        <f t="shared" si="186"/>
        <v>194.63168261412346</v>
      </c>
      <c r="AG237" s="16">
        <f t="shared" si="186"/>
        <v>190.66733175790228</v>
      </c>
      <c r="AH237" s="16">
        <f t="shared" si="186"/>
        <v>192.47594093296556</v>
      </c>
      <c r="AI237" s="16">
        <f t="shared" si="186"/>
        <v>192.49051172038139</v>
      </c>
      <c r="AJ237" s="16">
        <f t="shared" ref="AJ237:AK237" si="187">AJ148/AJ234*1000</f>
        <v>198.34845809634794</v>
      </c>
      <c r="AK237" s="16">
        <f t="shared" si="187"/>
        <v>189.62135200644158</v>
      </c>
    </row>
    <row r="238" spans="1:37" s="11" customFormat="1">
      <c r="B238" s="11" t="s">
        <v>91</v>
      </c>
      <c r="C238" s="6" t="s">
        <v>89</v>
      </c>
      <c r="D238" s="16">
        <f t="shared" ref="D238:I238" si="188">D237*D202/42700</f>
        <v>156.633418149081</v>
      </c>
      <c r="E238" s="16">
        <f t="shared" si="188"/>
        <v>155.9857808443769</v>
      </c>
      <c r="F238" s="16">
        <f t="shared" si="188"/>
        <v>157.08627962451223</v>
      </c>
      <c r="G238" s="16">
        <f t="shared" si="188"/>
        <v>157.69075191600851</v>
      </c>
      <c r="H238" s="16">
        <f t="shared" si="188"/>
        <v>159.50032649640309</v>
      </c>
      <c r="I238" s="16">
        <f t="shared" si="188"/>
        <v>161.56534831406194</v>
      </c>
      <c r="M238" s="11" t="str">
        <f t="shared" si="9"/>
        <v>Isfc corrected</v>
      </c>
      <c r="N238" s="6" t="s">
        <v>89</v>
      </c>
      <c r="O238" s="16" t="e">
        <f>O237*O202/42700</f>
        <v>#DIV/0!</v>
      </c>
      <c r="P238" s="16" t="e">
        <f>P237*P202/42700</f>
        <v>#DIV/0!</v>
      </c>
      <c r="Q238" s="16" t="e">
        <f>Q237*Q202/42700</f>
        <v>#DIV/0!</v>
      </c>
      <c r="R238" s="16" t="e">
        <f>R237*R202/42700</f>
        <v>#DIV/0!</v>
      </c>
      <c r="S238" s="16" t="e">
        <f>S237*S202/42700</f>
        <v>#DIV/0!</v>
      </c>
      <c r="X238" s="11" t="str">
        <f t="shared" si="150"/>
        <v>Isfc corrected</v>
      </c>
      <c r="Y238" s="9" t="str">
        <f t="shared" si="138"/>
        <v>g/kWh</v>
      </c>
      <c r="Z238" s="16">
        <f t="shared" ref="Z238:AI238" si="189">Z237*Z202/42700</f>
        <v>182.28378913701141</v>
      </c>
      <c r="AA238" s="16">
        <f t="shared" si="189"/>
        <v>181.86569304304663</v>
      </c>
      <c r="AB238" s="16">
        <f t="shared" si="189"/>
        <v>178.32336600297728</v>
      </c>
      <c r="AC238" s="16">
        <f t="shared" si="189"/>
        <v>176.74027568414979</v>
      </c>
      <c r="AD238" s="16">
        <f t="shared" si="189"/>
        <v>195.6946498356065</v>
      </c>
      <c r="AE238" s="16">
        <f t="shared" si="189"/>
        <v>189.42133171438326</v>
      </c>
      <c r="AF238" s="16">
        <f t="shared" si="189"/>
        <v>188.29589716134521</v>
      </c>
      <c r="AG238" s="16">
        <f t="shared" si="189"/>
        <v>185.175040936773</v>
      </c>
      <c r="AH238" s="16">
        <f t="shared" si="189"/>
        <v>186.07510167945711</v>
      </c>
      <c r="AI238" s="16">
        <f t="shared" si="189"/>
        <v>180.7697779856509</v>
      </c>
      <c r="AJ238" s="16">
        <f t="shared" ref="AJ238:AK238" si="190">AJ237*AJ202/42700</f>
        <v>186.27103441835015</v>
      </c>
      <c r="AK238" s="16">
        <f t="shared" si="190"/>
        <v>182.9157725795159</v>
      </c>
    </row>
    <row r="239" spans="1:37">
      <c r="B239" t="s">
        <v>88</v>
      </c>
      <c r="C239" s="6" t="s">
        <v>20</v>
      </c>
      <c r="D239" s="18">
        <f t="shared" ref="D239:I239" si="191">D236-D229</f>
        <v>1.0295941210551698</v>
      </c>
      <c r="E239" s="18">
        <f t="shared" si="191"/>
        <v>1.0279833010576009</v>
      </c>
      <c r="F239" s="18">
        <f t="shared" si="191"/>
        <v>1.0229530285028119</v>
      </c>
      <c r="G239" s="18">
        <f t="shared" si="191"/>
        <v>1.0305542229976261</v>
      </c>
      <c r="H239" s="18">
        <f t="shared" si="191"/>
        <v>1.0266264565015959</v>
      </c>
      <c r="I239" s="18">
        <f t="shared" si="191"/>
        <v>1.0855684937391459</v>
      </c>
      <c r="L239" s="11"/>
      <c r="M239" s="11" t="str">
        <f t="shared" si="9"/>
        <v>FMEP</v>
      </c>
      <c r="N239" s="6" t="s">
        <v>20</v>
      </c>
      <c r="O239" s="18">
        <f>O236-O229</f>
        <v>-14.219084060794522</v>
      </c>
      <c r="P239" s="18">
        <f>P236-P229</f>
        <v>-13.502893367874051</v>
      </c>
      <c r="Q239" s="18">
        <f>Q236-Q229</f>
        <v>-15.822872417761095</v>
      </c>
      <c r="R239" s="18">
        <f>R236-R229</f>
        <v>-15.011748017191533</v>
      </c>
      <c r="S239" s="18">
        <f>S236-S229</f>
        <v>-16.847127539423827</v>
      </c>
      <c r="W239" s="11"/>
      <c r="X239" s="11" t="str">
        <f t="shared" si="150"/>
        <v>FMEP</v>
      </c>
      <c r="Y239" s="9" t="str">
        <f t="shared" si="138"/>
        <v>bar</v>
      </c>
      <c r="Z239" s="18">
        <f t="shared" ref="Z239:AI239" si="192">Z236-Z229</f>
        <v>1.0135370533033274</v>
      </c>
      <c r="AA239" s="18">
        <f t="shared" si="192"/>
        <v>1.0134317077020114</v>
      </c>
      <c r="AB239" s="18">
        <f t="shared" si="192"/>
        <v>1.0136227768609469</v>
      </c>
      <c r="AC239" s="18">
        <f t="shared" si="192"/>
        <v>1.0140107192908321</v>
      </c>
      <c r="AD239" s="18">
        <f t="shared" si="192"/>
        <v>1.0136227768609505</v>
      </c>
      <c r="AE239" s="18">
        <f t="shared" si="192"/>
        <v>0.7387184716296904</v>
      </c>
      <c r="AF239" s="18">
        <f t="shared" si="192"/>
        <v>1.013893105103131</v>
      </c>
      <c r="AG239" s="18">
        <f t="shared" si="192"/>
        <v>1.013999567339182</v>
      </c>
      <c r="AH239" s="18">
        <f t="shared" si="192"/>
        <v>1.01364496680036</v>
      </c>
      <c r="AI239" s="18">
        <f t="shared" si="192"/>
        <v>1.0144071058731399</v>
      </c>
      <c r="AJ239" s="18">
        <f t="shared" ref="AJ239:AK239" si="193">AJ236-AJ229</f>
        <v>1.0136449668003618</v>
      </c>
      <c r="AK239" s="18">
        <f t="shared" si="193"/>
        <v>1.3040199535303891</v>
      </c>
    </row>
    <row r="240" spans="1:37" s="11" customFormat="1">
      <c r="B240" s="11" t="s">
        <v>19</v>
      </c>
      <c r="C240" s="6" t="s">
        <v>20</v>
      </c>
      <c r="D240" s="16">
        <f t="shared" ref="D240:I240" si="194">AVERAGE(D46:D57)+D189/1000</f>
        <v>76.093917049533331</v>
      </c>
      <c r="E240" s="16">
        <f t="shared" si="194"/>
        <v>103.76031707142</v>
      </c>
      <c r="F240" s="16">
        <f t="shared" si="194"/>
        <v>135.34298379280335</v>
      </c>
      <c r="G240" s="16">
        <f t="shared" si="194"/>
        <v>151.00898384752</v>
      </c>
      <c r="H240" s="16">
        <f t="shared" si="194"/>
        <v>151.50898384752</v>
      </c>
      <c r="I240" s="16">
        <f t="shared" si="194"/>
        <v>153.67565051418666</v>
      </c>
      <c r="M240" s="11" t="s">
        <v>19</v>
      </c>
      <c r="N240" s="6" t="s">
        <v>20</v>
      </c>
      <c r="O240" s="16">
        <f>AVERAGE(O46:O57)+O189/1000</f>
        <v>131.18165002173666</v>
      </c>
      <c r="P240" s="16">
        <f>AVERAGE(P46:P57)+P189/1000</f>
        <v>130.34831668840334</v>
      </c>
      <c r="Q240" s="16">
        <f>AVERAGE(Q46:Q57)+Q189/1000</f>
        <v>146.34831668840334</v>
      </c>
      <c r="R240" s="16">
        <f>AVERAGE(R46:R57)+R189/1000</f>
        <v>145.68165002173666</v>
      </c>
      <c r="S240" s="16">
        <f>AVERAGE(S46:S57)+S189/1000</f>
        <v>146.68165002173666</v>
      </c>
      <c r="T240" s="16"/>
      <c r="X240" s="11" t="s">
        <v>19</v>
      </c>
      <c r="Y240" s="6" t="s">
        <v>20</v>
      </c>
      <c r="Z240" s="16">
        <f t="shared" ref="Z240:AI240" si="195">AVERAGE(Z46:Z57)+Z189/1000</f>
        <v>136.5</v>
      </c>
      <c r="AA240" s="16">
        <f t="shared" si="195"/>
        <v>135.5</v>
      </c>
      <c r="AB240" s="16">
        <f t="shared" si="195"/>
        <v>134.16666666666666</v>
      </c>
      <c r="AC240" s="16">
        <f t="shared" si="195"/>
        <v>120.16666666666667</v>
      </c>
      <c r="AD240" s="16">
        <f t="shared" si="195"/>
        <v>128.83333333333334</v>
      </c>
      <c r="AE240" s="16">
        <f t="shared" si="195"/>
        <v>135.33333333333334</v>
      </c>
      <c r="AF240" s="16">
        <f t="shared" si="195"/>
        <v>126.16666666666667</v>
      </c>
      <c r="AG240" s="16">
        <f t="shared" si="195"/>
        <v>129.16666666666666</v>
      </c>
      <c r="AH240" s="16">
        <f t="shared" si="195"/>
        <v>134</v>
      </c>
      <c r="AI240" s="16">
        <f t="shared" si="195"/>
        <v>132.33333333333334</v>
      </c>
      <c r="AJ240" s="16">
        <f t="shared" ref="AJ240:AK240" si="196">AVERAGE(AJ46:AJ57)+AJ189/1000</f>
        <v>134.66666666666666</v>
      </c>
      <c r="AK240" s="16">
        <f t="shared" si="196"/>
        <v>138.33333333333334</v>
      </c>
    </row>
    <row r="241" spans="1:37" s="11" customFormat="1">
      <c r="B241" s="11" t="s">
        <v>21</v>
      </c>
      <c r="C241" s="6" t="s">
        <v>20</v>
      </c>
      <c r="D241" s="16">
        <f t="shared" ref="D241:I241" si="197">AVERAGE(D59:D70)+D189/1000</f>
        <v>50.343917049533339</v>
      </c>
      <c r="E241" s="16">
        <f t="shared" si="197"/>
        <v>76.926983738086676</v>
      </c>
      <c r="F241" s="16">
        <f t="shared" si="197"/>
        <v>108.00965045947</v>
      </c>
      <c r="G241" s="16">
        <f t="shared" si="197"/>
        <v>126.00898384752</v>
      </c>
      <c r="H241" s="16">
        <f t="shared" si="197"/>
        <v>140.67565051418666</v>
      </c>
      <c r="I241" s="16">
        <f t="shared" si="197"/>
        <v>150.00898384752</v>
      </c>
      <c r="M241" s="11" t="s">
        <v>21</v>
      </c>
      <c r="N241" s="6" t="s">
        <v>20</v>
      </c>
      <c r="O241" s="16">
        <f>AVERAGE(O59:O70)+O189/1000</f>
        <v>104.68165002173667</v>
      </c>
      <c r="P241" s="16">
        <f>AVERAGE(P59:P70)+P189/1000</f>
        <v>104.34831668840333</v>
      </c>
      <c r="Q241" s="16">
        <f>AVERAGE(Q59:Q70)+Q189/1000</f>
        <v>129.51498335507</v>
      </c>
      <c r="R241" s="16">
        <f>AVERAGE(R59:R70)+R189/1000</f>
        <v>120.34831668840333</v>
      </c>
      <c r="S241" s="16">
        <f>AVERAGE(S59:S70)+S189/1000</f>
        <v>137.68165002173666</v>
      </c>
      <c r="T241" s="16"/>
      <c r="X241" s="11" t="s">
        <v>21</v>
      </c>
      <c r="Y241" s="6" t="s">
        <v>20</v>
      </c>
      <c r="Z241" s="16">
        <f t="shared" ref="Z241:AI241" si="198">AVERAGE(Z59:Z70)+Z189/1000</f>
        <v>116.40000000000002</v>
      </c>
      <c r="AA241" s="16">
        <f t="shared" si="198"/>
        <v>114.58333333333333</v>
      </c>
      <c r="AB241" s="16">
        <f t="shared" si="198"/>
        <v>114.11666666666667</v>
      </c>
      <c r="AC241" s="16">
        <f t="shared" si="198"/>
        <v>97.083333333333329</v>
      </c>
      <c r="AD241" s="16">
        <f t="shared" si="198"/>
        <v>107.2</v>
      </c>
      <c r="AE241" s="16">
        <f t="shared" si="198"/>
        <v>115.45</v>
      </c>
      <c r="AF241" s="16">
        <f t="shared" si="198"/>
        <v>104.8</v>
      </c>
      <c r="AG241" s="16">
        <f t="shared" si="198"/>
        <v>110.13333333333333</v>
      </c>
      <c r="AH241" s="16">
        <f t="shared" si="198"/>
        <v>114.33333333333333</v>
      </c>
      <c r="AI241" s="16">
        <f t="shared" si="198"/>
        <v>111</v>
      </c>
      <c r="AJ241" s="16">
        <f t="shared" ref="AJ241:AK241" si="199">AVERAGE(AJ59:AJ70)+AJ189/1000</f>
        <v>113.84999999999998</v>
      </c>
      <c r="AK241" s="16">
        <f t="shared" si="199"/>
        <v>117.35000000000001</v>
      </c>
    </row>
    <row r="242" spans="1:37" s="11" customFormat="1">
      <c r="C242" s="6"/>
      <c r="M242" s="11">
        <f t="shared" si="9"/>
        <v>0</v>
      </c>
      <c r="N242" s="6"/>
      <c r="Y242" s="9"/>
    </row>
    <row r="243" spans="1:37">
      <c r="A243" s="4">
        <v>4</v>
      </c>
      <c r="B243" s="4" t="s">
        <v>81</v>
      </c>
      <c r="L243" s="4">
        <v>4</v>
      </c>
      <c r="M243" s="4" t="str">
        <f t="shared" si="9"/>
        <v>Turbocharger Data</v>
      </c>
      <c r="N243" s="6"/>
      <c r="O243" s="11"/>
      <c r="P243" s="11"/>
      <c r="Q243" s="11"/>
      <c r="R243" s="11"/>
      <c r="S243" s="11"/>
      <c r="W243" s="4">
        <v>4</v>
      </c>
      <c r="X243" s="4" t="str">
        <f t="shared" si="150"/>
        <v>Turbocharger Data</v>
      </c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s="11" customFormat="1">
      <c r="A244" s="4"/>
      <c r="B244" s="13" t="s">
        <v>161</v>
      </c>
      <c r="C244" s="6" t="s">
        <v>20</v>
      </c>
      <c r="D244" s="11">
        <f>D205</f>
        <v>6.3743224999999997E-3</v>
      </c>
      <c r="E244" s="11">
        <f t="shared" ref="E244:I244" si="200">E205</f>
        <v>1.12776475E-2</v>
      </c>
      <c r="F244" s="11">
        <f t="shared" si="200"/>
        <v>1.5445473750000001E-2</v>
      </c>
      <c r="G244" s="11">
        <f t="shared" si="200"/>
        <v>1.7406803750000002E-2</v>
      </c>
      <c r="H244" s="11">
        <f t="shared" si="200"/>
        <v>1.9122967500000001E-2</v>
      </c>
      <c r="I244" s="11">
        <f t="shared" si="200"/>
        <v>2.0593964999999999E-2</v>
      </c>
      <c r="L244" s="4"/>
      <c r="M244" s="13" t="str">
        <f t="shared" si="9"/>
        <v xml:space="preserve">Air Cooler Pressure Drop </v>
      </c>
      <c r="N244" s="6" t="s">
        <v>20</v>
      </c>
      <c r="O244" s="11">
        <f>O205</f>
        <v>1.7651969999999999E-2</v>
      </c>
      <c r="P244" s="11">
        <f t="shared" ref="P244:S244" si="201">P205</f>
        <v>1.6671305000000001E-2</v>
      </c>
      <c r="Q244" s="11">
        <f t="shared" si="201"/>
        <v>1.96133E-2</v>
      </c>
      <c r="R244" s="11">
        <f t="shared" si="201"/>
        <v>1.8877801249999999E-2</v>
      </c>
      <c r="S244" s="11">
        <f t="shared" si="201"/>
        <v>2.0103632499999999E-2</v>
      </c>
      <c r="W244" s="4"/>
      <c r="X244" s="13" t="str">
        <f t="shared" si="150"/>
        <v xml:space="preserve">Air Cooler Pressure Drop </v>
      </c>
      <c r="Y244" s="9" t="str">
        <f t="shared" si="138"/>
        <v>bar</v>
      </c>
      <c r="Z244" s="11">
        <f>Z205</f>
        <v>9.5614837500000004E-3</v>
      </c>
      <c r="AA244" s="11">
        <f t="shared" ref="AA244:AI244" si="202">AA205</f>
        <v>9.0711512499999994E-3</v>
      </c>
      <c r="AB244" s="11">
        <f t="shared" si="202"/>
        <v>1.12776475E-2</v>
      </c>
      <c r="AC244" s="11">
        <f t="shared" si="202"/>
        <v>1.5445473750000001E-2</v>
      </c>
      <c r="AD244" s="11">
        <f t="shared" si="202"/>
        <v>8.8259849999999997E-3</v>
      </c>
      <c r="AE244" s="11">
        <f t="shared" si="202"/>
        <v>9.0711512499999994E-3</v>
      </c>
      <c r="AF244" s="11">
        <f t="shared" si="202"/>
        <v>8.5808187500000001E-3</v>
      </c>
      <c r="AG244" s="11">
        <f t="shared" si="202"/>
        <v>8.5808187500000001E-3</v>
      </c>
      <c r="AH244" s="11">
        <f t="shared" si="202"/>
        <v>8.8259849999999997E-3</v>
      </c>
      <c r="AI244" s="11">
        <f t="shared" si="202"/>
        <v>8.8259849999999997E-3</v>
      </c>
      <c r="AJ244" s="11">
        <f t="shared" ref="AJ244:AK244" si="203">AJ205</f>
        <v>9.0711512499999994E-3</v>
      </c>
      <c r="AK244" s="11">
        <f t="shared" si="203"/>
        <v>1.7651969999999999E-2</v>
      </c>
    </row>
    <row r="245" spans="1:37">
      <c r="B245" t="s">
        <v>107</v>
      </c>
      <c r="C245" s="6" t="s">
        <v>20</v>
      </c>
      <c r="D245">
        <f t="shared" ref="D245:I245" si="204">D215+D244</f>
        <v>1.3869580386999998</v>
      </c>
      <c r="E245" s="11">
        <f t="shared" si="204"/>
        <v>2.1415947189200004</v>
      </c>
      <c r="F245" s="11">
        <f t="shared" si="204"/>
        <v>2.95509593322</v>
      </c>
      <c r="G245" s="11">
        <f t="shared" si="204"/>
        <v>3.4563906512700004</v>
      </c>
      <c r="H245" s="11">
        <f t="shared" si="204"/>
        <v>3.8281068150199999</v>
      </c>
      <c r="I245" s="11">
        <f t="shared" si="204"/>
        <v>4.08957781252</v>
      </c>
      <c r="L245" s="11"/>
      <c r="M245" s="11" t="str">
        <f t="shared" si="9"/>
        <v>Compressor Outlet Pressure</v>
      </c>
      <c r="N245" s="6" t="s">
        <v>20</v>
      </c>
      <c r="O245" s="11">
        <f>O215+O244</f>
        <v>3.0920318250700003</v>
      </c>
      <c r="P245" s="11">
        <f>P215+P244</f>
        <v>2.9439514100699999</v>
      </c>
      <c r="Q245" s="11">
        <f>Q215+Q244</f>
        <v>3.5843256550700002</v>
      </c>
      <c r="R245" s="11">
        <f>R215+R244</f>
        <v>3.3776505063200002</v>
      </c>
      <c r="S245" s="11">
        <f>S215+S244</f>
        <v>3.8790154875700003</v>
      </c>
      <c r="W245" s="11"/>
      <c r="X245" s="11" t="str">
        <f t="shared" si="150"/>
        <v>Compressor Outlet Pressure</v>
      </c>
      <c r="Y245" s="9" t="str">
        <f t="shared" si="138"/>
        <v>bar</v>
      </c>
      <c r="Z245" s="11">
        <f t="shared" ref="Z245:AI245" si="205">Z215+Z244</f>
        <v>2.4195614837500004</v>
      </c>
      <c r="AA245" s="11">
        <f t="shared" si="205"/>
        <v>2.30907115125</v>
      </c>
      <c r="AB245" s="11">
        <f t="shared" si="205"/>
        <v>2.3112776474999999</v>
      </c>
      <c r="AC245" s="11">
        <f t="shared" si="205"/>
        <v>1.91544547375</v>
      </c>
      <c r="AD245" s="11">
        <f t="shared" si="205"/>
        <v>2.158825985</v>
      </c>
      <c r="AE245" s="11">
        <f t="shared" si="205"/>
        <v>2.32907115125</v>
      </c>
      <c r="AF245" s="11">
        <f t="shared" si="205"/>
        <v>2.2085808187500002</v>
      </c>
      <c r="AG245" s="11">
        <f t="shared" si="205"/>
        <v>2.2485808187500003</v>
      </c>
      <c r="AH245" s="11">
        <f t="shared" si="205"/>
        <v>2.3388259850000002</v>
      </c>
      <c r="AI245" s="11">
        <f t="shared" si="205"/>
        <v>2.2988259850000001</v>
      </c>
      <c r="AJ245" s="11">
        <f t="shared" ref="AJ245:AK245" si="206">AJ215+AJ244</f>
        <v>2.34907115125</v>
      </c>
      <c r="AK245" s="11">
        <f t="shared" si="206"/>
        <v>2.4176519700000001</v>
      </c>
    </row>
    <row r="246" spans="1:37">
      <c r="B246" t="s">
        <v>104</v>
      </c>
      <c r="C246" s="6" t="s">
        <v>77</v>
      </c>
      <c r="D246">
        <f t="shared" ref="D246:I246" si="207">D203+273.15</f>
        <v>307.14999999999998</v>
      </c>
      <c r="E246" s="11">
        <f t="shared" si="207"/>
        <v>361.15</v>
      </c>
      <c r="F246" s="11">
        <f t="shared" si="207"/>
        <v>407.15</v>
      </c>
      <c r="G246" s="11">
        <f t="shared" si="207"/>
        <v>431.15</v>
      </c>
      <c r="H246" s="11">
        <f t="shared" si="207"/>
        <v>449.15</v>
      </c>
      <c r="I246" s="11">
        <f t="shared" si="207"/>
        <v>466.65</v>
      </c>
      <c r="L246" s="11"/>
      <c r="M246" s="11" t="str">
        <f t="shared" si="9"/>
        <v>Compressor Delivery Temp</v>
      </c>
      <c r="N246" s="6" t="s">
        <v>77</v>
      </c>
      <c r="O246" s="11">
        <f>O203+273.15</f>
        <v>448.15</v>
      </c>
      <c r="P246" s="11">
        <f>P203+273.15</f>
        <v>440.15</v>
      </c>
      <c r="Q246" s="11">
        <f>Q203+273.15</f>
        <v>470.15</v>
      </c>
      <c r="R246" s="11">
        <f>R203+273.15</f>
        <v>462.15</v>
      </c>
      <c r="S246" s="11">
        <f>S203+273.15</f>
        <v>483.15</v>
      </c>
      <c r="W246" s="11"/>
      <c r="X246" s="11" t="str">
        <f t="shared" si="150"/>
        <v>Compressor Delivery Temp</v>
      </c>
      <c r="Y246" s="9" t="str">
        <f t="shared" si="138"/>
        <v>K</v>
      </c>
      <c r="Z246" s="11">
        <f t="shared" ref="Z246:AI246" si="208">Z203+273.15</f>
        <v>453.15</v>
      </c>
      <c r="AA246" s="11">
        <f t="shared" si="208"/>
        <v>425.65</v>
      </c>
      <c r="AB246" s="11">
        <f t="shared" si="208"/>
        <v>440.65</v>
      </c>
      <c r="AC246" s="11">
        <f t="shared" si="208"/>
        <v>408.15</v>
      </c>
      <c r="AD246" s="11">
        <f t="shared" si="208"/>
        <v>440.65</v>
      </c>
      <c r="AE246" s="11">
        <f t="shared" si="208"/>
        <v>443.15</v>
      </c>
      <c r="AF246" s="11">
        <f t="shared" si="208"/>
        <v>447.15</v>
      </c>
      <c r="AG246" s="11">
        <f t="shared" si="208"/>
        <v>455.65</v>
      </c>
      <c r="AH246" s="11">
        <f t="shared" si="208"/>
        <v>455.65</v>
      </c>
      <c r="AI246" s="11">
        <f t="shared" si="208"/>
        <v>443.15</v>
      </c>
      <c r="AJ246" s="11">
        <f t="shared" ref="AJ246:AK246" si="209">AJ203+273.15</f>
        <v>454.65</v>
      </c>
      <c r="AK246" s="11">
        <f t="shared" si="209"/>
        <v>449.15</v>
      </c>
    </row>
    <row r="247" spans="1:37">
      <c r="B247" t="s">
        <v>106</v>
      </c>
      <c r="D247" s="18">
        <f t="shared" ref="D247:I247" si="210">D245/D211</f>
        <v>1.3730988253972463</v>
      </c>
      <c r="E247" s="18">
        <f t="shared" si="210"/>
        <v>2.1226097988224639</v>
      </c>
      <c r="F247" s="18">
        <f t="shared" si="210"/>
        <v>2.93483209893482</v>
      </c>
      <c r="G247" s="18">
        <f t="shared" si="210"/>
        <v>3.4368056029155785</v>
      </c>
      <c r="H247" s="18">
        <f t="shared" si="210"/>
        <v>3.8088296141112528</v>
      </c>
      <c r="I247" s="18">
        <f t="shared" si="210"/>
        <v>4.0713674469426122</v>
      </c>
      <c r="L247" s="11"/>
      <c r="M247" s="11" t="str">
        <f t="shared" si="9"/>
        <v>Compressor Pressure Ratio (π)</v>
      </c>
      <c r="N247" s="6"/>
      <c r="O247" s="18">
        <f>O245/O211</f>
        <v>3.0595413445050461</v>
      </c>
      <c r="P247" s="18">
        <f>P245/P211</f>
        <v>2.9127342900680233</v>
      </c>
      <c r="Q247" s="18">
        <f>Q245/Q211</f>
        <v>3.5511418983788348</v>
      </c>
      <c r="R247" s="18">
        <f>R245/R211</f>
        <v>3.343943455733823</v>
      </c>
      <c r="S247" s="18">
        <f>S245/S211</f>
        <v>3.8459059579171342</v>
      </c>
      <c r="W247" s="11"/>
      <c r="X247" s="11" t="str">
        <f t="shared" si="150"/>
        <v>Compressor Pressure Ratio (π)</v>
      </c>
      <c r="Z247" s="18">
        <f t="shared" ref="Z247:AI247" si="211">Z245/Z211</f>
        <v>-299.06255433658271</v>
      </c>
      <c r="AA247" s="18">
        <f t="shared" si="211"/>
        <v>-285.40573210293752</v>
      </c>
      <c r="AB247" s="18">
        <f t="shared" si="211"/>
        <v>-325.08238480679097</v>
      </c>
      <c r="AC247" s="18">
        <f t="shared" si="211"/>
        <v>-300.49396994739442</v>
      </c>
      <c r="AD247" s="18">
        <f t="shared" si="211"/>
        <v>-366.89830965042427</v>
      </c>
      <c r="AE247" s="18">
        <f t="shared" si="211"/>
        <v>-499.99823454921966</v>
      </c>
      <c r="AF247" s="18">
        <f t="shared" si="211"/>
        <v>-405.78840874800767</v>
      </c>
      <c r="AG247" s="18">
        <f t="shared" si="211"/>
        <v>-295.85991188007222</v>
      </c>
      <c r="AH247" s="18">
        <f t="shared" si="211"/>
        <v>-635.98367366361947</v>
      </c>
      <c r="AI247" s="18">
        <f t="shared" si="211"/>
        <v>-586.03753192986403</v>
      </c>
      <c r="AJ247" s="18">
        <f t="shared" ref="AJ247:AK247" si="212">AJ245/AJ211</f>
        <v>-532.30798630407821</v>
      </c>
      <c r="AK247" s="18">
        <f t="shared" si="212"/>
        <v>-493.06378222940555</v>
      </c>
    </row>
    <row r="248" spans="1:37" s="11" customFormat="1">
      <c r="B248" s="11" t="s">
        <v>34</v>
      </c>
      <c r="C248" s="6" t="s">
        <v>26</v>
      </c>
      <c r="D248" s="9">
        <f t="shared" ref="D248:I248" si="213">D144</f>
        <v>32</v>
      </c>
      <c r="E248" s="9">
        <f t="shared" si="213"/>
        <v>26</v>
      </c>
      <c r="F248" s="9">
        <f t="shared" si="213"/>
        <v>28</v>
      </c>
      <c r="G248" s="9">
        <f t="shared" si="213"/>
        <v>30</v>
      </c>
      <c r="H248" s="9">
        <f t="shared" si="213"/>
        <v>34</v>
      </c>
      <c r="I248" s="9">
        <f t="shared" si="213"/>
        <v>36</v>
      </c>
      <c r="M248" s="11" t="str">
        <f t="shared" si="9"/>
        <v xml:space="preserve">Scavenge Temperature </v>
      </c>
      <c r="N248" s="6" t="s">
        <v>26</v>
      </c>
      <c r="O248" s="9">
        <f>O144</f>
        <v>42</v>
      </c>
      <c r="P248" s="9">
        <f>P144</f>
        <v>41</v>
      </c>
      <c r="Q248" s="9">
        <f>Q144</f>
        <v>44</v>
      </c>
      <c r="R248" s="9">
        <f>R144</f>
        <v>42</v>
      </c>
      <c r="S248" s="9">
        <f>S144</f>
        <v>46</v>
      </c>
      <c r="X248" s="11" t="str">
        <f t="shared" si="150"/>
        <v xml:space="preserve">Scavenge Temperature </v>
      </c>
      <c r="Y248" s="9" t="str">
        <f t="shared" si="138"/>
        <v>°C</v>
      </c>
      <c r="Z248" s="9">
        <f t="shared" ref="Z248:AI248" si="214">Z144</f>
        <v>43</v>
      </c>
      <c r="AA248" s="9">
        <f t="shared" si="214"/>
        <v>39</v>
      </c>
      <c r="AB248" s="9">
        <f t="shared" si="214"/>
        <v>40</v>
      </c>
      <c r="AC248" s="9">
        <f t="shared" si="214"/>
        <v>38</v>
      </c>
      <c r="AD248" s="9">
        <f t="shared" si="214"/>
        <v>44</v>
      </c>
      <c r="AE248" s="9">
        <f t="shared" si="214"/>
        <v>43</v>
      </c>
      <c r="AF248" s="9">
        <f t="shared" si="214"/>
        <v>42</v>
      </c>
      <c r="AG248" s="9">
        <f t="shared" si="214"/>
        <v>41</v>
      </c>
      <c r="AH248" s="9">
        <f t="shared" si="214"/>
        <v>41</v>
      </c>
      <c r="AI248" s="9">
        <f t="shared" si="214"/>
        <v>43</v>
      </c>
      <c r="AJ248" s="9">
        <f t="shared" ref="AJ248:AK248" si="215">AJ144</f>
        <v>41</v>
      </c>
      <c r="AK248" s="9">
        <f t="shared" si="215"/>
        <v>44</v>
      </c>
    </row>
    <row r="249" spans="1:37">
      <c r="B249" t="s">
        <v>109</v>
      </c>
      <c r="C249" s="6" t="s">
        <v>14</v>
      </c>
      <c r="D249" s="9">
        <f t="shared" ref="D249:I249" si="216">D206*SQRT($J$8/D212)</f>
        <v>5725.137340144991</v>
      </c>
      <c r="E249" s="9">
        <f t="shared" si="216"/>
        <v>9395.7055960871839</v>
      </c>
      <c r="F249" s="9">
        <f t="shared" si="216"/>
        <v>11625.337433389073</v>
      </c>
      <c r="G249" s="9">
        <f t="shared" si="216"/>
        <v>12424.338869420601</v>
      </c>
      <c r="H249" s="9">
        <f t="shared" si="216"/>
        <v>13162.220902315092</v>
      </c>
      <c r="I249" s="9">
        <f t="shared" si="216"/>
        <v>13701.515559547193</v>
      </c>
      <c r="L249" s="11"/>
      <c r="M249" s="11" t="str">
        <f t="shared" si="9"/>
        <v>TC speed corrected</v>
      </c>
      <c r="N249" s="6" t="s">
        <v>14</v>
      </c>
      <c r="O249" s="9">
        <f>O206*SQRT($J$8/O212)</f>
        <v>11647.701626953934</v>
      </c>
      <c r="P249" s="9">
        <f>P206*SQRT($J$8/P212)</f>
        <v>11374.678143939795</v>
      </c>
      <c r="Q249" s="9">
        <f>Q206*SQRT($J$8/Q212)</f>
        <v>12532.629395625549</v>
      </c>
      <c r="R249" s="9">
        <f>R206*SQRT($J$8/R212)</f>
        <v>12270.460999666228</v>
      </c>
      <c r="S249" s="9">
        <f>S206*SQRT($J$8/S212)</f>
        <v>13162.323580312894</v>
      </c>
      <c r="W249" s="11"/>
      <c r="X249" s="11" t="str">
        <f t="shared" si="150"/>
        <v>TC speed corrected</v>
      </c>
      <c r="Y249" s="9" t="str">
        <f t="shared" si="138"/>
        <v>rpm</v>
      </c>
      <c r="Z249" s="9">
        <f t="shared" ref="Z249:AI249" si="217">Z206*SQRT($J$8/Z212)</f>
        <v>12286.983581289518</v>
      </c>
      <c r="AA249" s="9">
        <f t="shared" si="217"/>
        <v>12173.906076279545</v>
      </c>
      <c r="AB249" s="9">
        <f t="shared" si="217"/>
        <v>12108.888620429596</v>
      </c>
      <c r="AC249" s="9">
        <f t="shared" si="217"/>
        <v>11092.618036010032</v>
      </c>
      <c r="AD249" s="9">
        <f t="shared" si="217"/>
        <v>11871.450540810645</v>
      </c>
      <c r="AE249" s="9">
        <f t="shared" si="217"/>
        <v>12171.418559713082</v>
      </c>
      <c r="AF249" s="9">
        <f t="shared" si="217"/>
        <v>12000.145188398272</v>
      </c>
      <c r="AG249" s="9">
        <f t="shared" si="217"/>
        <v>12187.217529622822</v>
      </c>
      <c r="AH249" s="9">
        <f t="shared" si="217"/>
        <v>12113.530495827421</v>
      </c>
      <c r="AI249" s="9">
        <f t="shared" si="217"/>
        <v>12030.780137597292</v>
      </c>
      <c r="AJ249" s="9">
        <f t="shared" ref="AJ249:AK249" si="218">AJ206*SQRT($J$8/AJ212)</f>
        <v>12157.756085151534</v>
      </c>
      <c r="AK249" s="9">
        <f t="shared" si="218"/>
        <v>12197.441551479715</v>
      </c>
    </row>
    <row r="250" spans="1:37" s="16" customFormat="1" ht="17.25">
      <c r="B250" s="16" t="s">
        <v>112</v>
      </c>
      <c r="C250" s="39" t="s">
        <v>111</v>
      </c>
      <c r="D250" s="40"/>
      <c r="E250" s="40"/>
      <c r="F250" s="40"/>
      <c r="G250" s="40"/>
      <c r="H250" s="40"/>
      <c r="I250" s="40"/>
      <c r="M250" s="16" t="str">
        <f t="shared" si="9"/>
        <v>Corrected flow rate - map</v>
      </c>
      <c r="N250" s="39" t="s">
        <v>111</v>
      </c>
      <c r="O250" s="40"/>
      <c r="P250" s="40"/>
      <c r="Q250" s="40"/>
      <c r="R250" s="40"/>
      <c r="S250" s="40"/>
      <c r="X250" s="16" t="str">
        <f t="shared" si="150"/>
        <v>Corrected flow rate - map</v>
      </c>
      <c r="Y250" s="9" t="str">
        <f t="shared" si="138"/>
        <v>m3/s</v>
      </c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 spans="1:37" ht="17.25">
      <c r="B251" t="s">
        <v>113</v>
      </c>
      <c r="C251" s="6" t="s">
        <v>111</v>
      </c>
      <c r="D251" s="18">
        <f t="shared" ref="D251:I251" si="219">D250*SQRT(D216/$J$8)</f>
        <v>0</v>
      </c>
      <c r="E251" s="18">
        <f t="shared" si="219"/>
        <v>0</v>
      </c>
      <c r="F251" s="18">
        <f t="shared" si="219"/>
        <v>0</v>
      </c>
      <c r="G251" s="18">
        <f t="shared" si="219"/>
        <v>0</v>
      </c>
      <c r="H251" s="18">
        <f t="shared" si="219"/>
        <v>0</v>
      </c>
      <c r="I251" s="18">
        <f t="shared" si="219"/>
        <v>0</v>
      </c>
      <c r="L251" s="11"/>
      <c r="M251" s="11" t="str">
        <f t="shared" si="9"/>
        <v>Actual volumetric rate</v>
      </c>
      <c r="N251" s="6" t="s">
        <v>111</v>
      </c>
      <c r="O251" s="18">
        <f>O250*SQRT(O216/$J$8)</f>
        <v>0</v>
      </c>
      <c r="P251" s="18">
        <f>P250*SQRT(P216/$J$8)</f>
        <v>0</v>
      </c>
      <c r="Q251" s="18">
        <f>Q250*SQRT(Q216/$J$8)</f>
        <v>0</v>
      </c>
      <c r="R251" s="18">
        <f>R250*SQRT(R216/$J$8)</f>
        <v>0</v>
      </c>
      <c r="S251" s="18">
        <f>S250*SQRT(S216/$J$8)</f>
        <v>0</v>
      </c>
      <c r="W251" s="11"/>
      <c r="X251" s="11" t="str">
        <f t="shared" si="150"/>
        <v>Actual volumetric rate</v>
      </c>
      <c r="Y251" s="9" t="str">
        <f t="shared" si="138"/>
        <v>m3/s</v>
      </c>
      <c r="Z251" s="18">
        <f t="shared" ref="Z251:AI251" si="220">Z250*SQRT(Z216/$J$8)</f>
        <v>0</v>
      </c>
      <c r="AA251" s="18">
        <f t="shared" si="220"/>
        <v>0</v>
      </c>
      <c r="AB251" s="18">
        <f t="shared" si="220"/>
        <v>0</v>
      </c>
      <c r="AC251" s="18">
        <f t="shared" si="220"/>
        <v>0</v>
      </c>
      <c r="AD251" s="18">
        <f t="shared" si="220"/>
        <v>0</v>
      </c>
      <c r="AE251" s="18">
        <f t="shared" si="220"/>
        <v>0</v>
      </c>
      <c r="AF251" s="18">
        <f t="shared" si="220"/>
        <v>0</v>
      </c>
      <c r="AG251" s="18">
        <f t="shared" si="220"/>
        <v>0</v>
      </c>
      <c r="AH251" s="18">
        <f t="shared" si="220"/>
        <v>0</v>
      </c>
      <c r="AI251" s="18">
        <f t="shared" si="220"/>
        <v>0</v>
      </c>
      <c r="AJ251" s="18">
        <f t="shared" ref="AJ251:AK251" si="221">AJ250*SQRT(AJ216/$J$8)</f>
        <v>0</v>
      </c>
      <c r="AK251" s="18">
        <f t="shared" si="221"/>
        <v>0</v>
      </c>
    </row>
    <row r="252" spans="1:37" ht="17.25">
      <c r="B252" t="s">
        <v>114</v>
      </c>
      <c r="C252" s="6" t="s">
        <v>115</v>
      </c>
      <c r="D252" s="18">
        <f t="shared" ref="D252:I252" si="222">D25/287/D212*100</f>
        <v>1.2256169917931095</v>
      </c>
      <c r="E252" s="18">
        <f t="shared" si="222"/>
        <v>1.2208318160336749</v>
      </c>
      <c r="F252" s="18">
        <f t="shared" si="222"/>
        <v>1.216019997169667</v>
      </c>
      <c r="G252" s="18">
        <f t="shared" si="222"/>
        <v>1.2060456816777332</v>
      </c>
      <c r="H252" s="18">
        <f t="shared" si="222"/>
        <v>1.2097808541261503</v>
      </c>
      <c r="I252" s="18">
        <f t="shared" si="222"/>
        <v>1.2052187734283828</v>
      </c>
      <c r="L252" s="11"/>
      <c r="M252" s="11" t="str">
        <f t="shared" ref="M252:M254" si="223">B252</f>
        <v>Air Density</v>
      </c>
      <c r="N252" s="6" t="s">
        <v>115</v>
      </c>
      <c r="O252" s="18">
        <f>O25/287/O212*100</f>
        <v>1.1411834041890552</v>
      </c>
      <c r="P252" s="18">
        <f>P25/287/P212*100</f>
        <v>1.1393451577261218</v>
      </c>
      <c r="Q252" s="18">
        <f>Q25/287/Q212*100</f>
        <v>1.1393451577261218</v>
      </c>
      <c r="R252" s="18">
        <f>R25/287/R212*100</f>
        <v>1.1393451577261218</v>
      </c>
      <c r="S252" s="18">
        <f>S25/287/S212*100</f>
        <v>1.1393451577261218</v>
      </c>
      <c r="W252" s="11"/>
      <c r="X252" s="11" t="str">
        <f t="shared" si="150"/>
        <v>Air Density</v>
      </c>
      <c r="Y252" s="9" t="str">
        <f t="shared" si="138"/>
        <v>kg/m3</v>
      </c>
      <c r="Z252" s="18">
        <f t="shared" ref="Z252:AI252" si="224">Z25/287/Z212*100</f>
        <v>1.1765238246074485</v>
      </c>
      <c r="AA252" s="18">
        <f t="shared" si="224"/>
        <v>1.1616330199970961</v>
      </c>
      <c r="AB252" s="18">
        <f t="shared" si="224"/>
        <v>1.1781060766711438</v>
      </c>
      <c r="AC252" s="18">
        <f t="shared" si="224"/>
        <v>1.2007216055430188</v>
      </c>
      <c r="AD252" s="18">
        <f t="shared" si="224"/>
        <v>1.1422166057017886</v>
      </c>
      <c r="AE252" s="18">
        <f t="shared" si="224"/>
        <v>1.1928721549970178</v>
      </c>
      <c r="AF252" s="18">
        <f t="shared" si="224"/>
        <v>1.1703408362028462</v>
      </c>
      <c r="AG252" s="18">
        <f t="shared" si="224"/>
        <v>1.154114265201708</v>
      </c>
      <c r="AH252" s="18">
        <f t="shared" si="224"/>
        <v>1.1623824543569838</v>
      </c>
      <c r="AI252" s="18">
        <f t="shared" si="224"/>
        <v>1.1419061125464005</v>
      </c>
      <c r="AJ252" s="18">
        <f t="shared" ref="AJ252:AK252" si="225">AJ25/287/AJ212*100</f>
        <v>1.1574954593380413</v>
      </c>
      <c r="AK252" s="18">
        <f t="shared" si="225"/>
        <v>1.1779427656388974</v>
      </c>
    </row>
    <row r="253" spans="1:37">
      <c r="B253" t="s">
        <v>116</v>
      </c>
      <c r="C253" s="6" t="s">
        <v>117</v>
      </c>
      <c r="D253" s="17">
        <f>D251*D252</f>
        <v>0</v>
      </c>
      <c r="E253" s="17">
        <f t="shared" ref="E253:I253" si="226">E251*E252</f>
        <v>0</v>
      </c>
      <c r="F253" s="17">
        <f t="shared" si="226"/>
        <v>0</v>
      </c>
      <c r="G253" s="17">
        <f t="shared" si="226"/>
        <v>0</v>
      </c>
      <c r="H253" s="17">
        <f t="shared" si="226"/>
        <v>0</v>
      </c>
      <c r="I253" s="17">
        <f t="shared" si="226"/>
        <v>0</v>
      </c>
      <c r="L253" s="11"/>
      <c r="M253" s="11" t="str">
        <f t="shared" si="223"/>
        <v>Compressor Flow Rate</v>
      </c>
      <c r="N253" s="6" t="s">
        <v>117</v>
      </c>
      <c r="O253" s="17">
        <f>O251*O252</f>
        <v>0</v>
      </c>
      <c r="P253" s="17">
        <f t="shared" ref="P253:S253" si="227">P251*P252</f>
        <v>0</v>
      </c>
      <c r="Q253" s="17">
        <f t="shared" si="227"/>
        <v>0</v>
      </c>
      <c r="R253" s="17">
        <f t="shared" si="227"/>
        <v>0</v>
      </c>
      <c r="S253" s="17">
        <f t="shared" si="227"/>
        <v>0</v>
      </c>
      <c r="W253" s="11"/>
      <c r="X253" s="11" t="str">
        <f t="shared" si="150"/>
        <v>Compressor Flow Rate</v>
      </c>
      <c r="Y253" s="9" t="str">
        <f t="shared" si="138"/>
        <v>kg/s</v>
      </c>
      <c r="Z253" s="17">
        <f t="shared" ref="Z253:AD253" si="228">Z251*Z252</f>
        <v>0</v>
      </c>
      <c r="AA253" s="17">
        <f t="shared" si="228"/>
        <v>0</v>
      </c>
      <c r="AB253" s="17">
        <f t="shared" si="228"/>
        <v>0</v>
      </c>
      <c r="AC253" s="17">
        <f t="shared" si="228"/>
        <v>0</v>
      </c>
      <c r="AD253" s="17">
        <f t="shared" si="228"/>
        <v>0</v>
      </c>
      <c r="AE253" s="17">
        <f t="shared" ref="AE253:AI253" si="229">AE251*AE252</f>
        <v>0</v>
      </c>
      <c r="AF253" s="17">
        <f t="shared" si="229"/>
        <v>0</v>
      </c>
      <c r="AG253" s="17">
        <f t="shared" si="229"/>
        <v>0</v>
      </c>
      <c r="AH253" s="17">
        <f t="shared" si="229"/>
        <v>0</v>
      </c>
      <c r="AI253" s="17">
        <f t="shared" si="229"/>
        <v>0</v>
      </c>
      <c r="AJ253" s="17">
        <f t="shared" ref="AJ253:AK253" si="230">AJ251*AJ252</f>
        <v>0</v>
      </c>
      <c r="AK253" s="17">
        <f t="shared" si="230"/>
        <v>0</v>
      </c>
    </row>
    <row r="254" spans="1:37">
      <c r="B254" t="s">
        <v>119</v>
      </c>
      <c r="C254" s="6" t="s">
        <v>117</v>
      </c>
      <c r="D254" s="17">
        <f>D251*D252*$C$12/$C$6</f>
        <v>0</v>
      </c>
      <c r="E254" s="17">
        <f t="shared" ref="E254:I254" si="231">E251*E252*$C$12/$C$6</f>
        <v>0</v>
      </c>
      <c r="F254" s="17">
        <f t="shared" si="231"/>
        <v>0</v>
      </c>
      <c r="G254" s="17">
        <f t="shared" si="231"/>
        <v>0</v>
      </c>
      <c r="H254" s="17">
        <f t="shared" si="231"/>
        <v>0</v>
      </c>
      <c r="I254" s="17">
        <f t="shared" si="231"/>
        <v>0</v>
      </c>
      <c r="L254" s="11"/>
      <c r="M254" s="11" t="str">
        <f t="shared" si="223"/>
        <v>Actual Flow Rate/cylinder</v>
      </c>
      <c r="N254" s="6" t="s">
        <v>117</v>
      </c>
      <c r="O254" s="17">
        <f>O251*O252*$C$12/$C$6</f>
        <v>0</v>
      </c>
      <c r="P254" s="17">
        <f t="shared" ref="P254:S254" si="232">P251*P252*$C$12/$C$6</f>
        <v>0</v>
      </c>
      <c r="Q254" s="17">
        <f t="shared" si="232"/>
        <v>0</v>
      </c>
      <c r="R254" s="17">
        <f t="shared" si="232"/>
        <v>0</v>
      </c>
      <c r="S254" s="17">
        <f t="shared" si="232"/>
        <v>0</v>
      </c>
      <c r="W254" s="11"/>
      <c r="X254" s="11" t="str">
        <f t="shared" si="150"/>
        <v>Actual Flow Rate/cylinder</v>
      </c>
      <c r="Y254" s="9" t="str">
        <f t="shared" si="138"/>
        <v>kg/s</v>
      </c>
      <c r="Z254" s="17">
        <f t="shared" ref="Z254:AD254" si="233">Z251*Z252*$C$12/$C$6</f>
        <v>0</v>
      </c>
      <c r="AA254" s="17">
        <f t="shared" si="233"/>
        <v>0</v>
      </c>
      <c r="AB254" s="17">
        <f t="shared" si="233"/>
        <v>0</v>
      </c>
      <c r="AC254" s="17">
        <f t="shared" si="233"/>
        <v>0</v>
      </c>
      <c r="AD254" s="17">
        <f t="shared" si="233"/>
        <v>0</v>
      </c>
      <c r="AE254" s="17">
        <f t="shared" ref="AE254:AI254" si="234">AE251*AE252*$C$12/$C$6</f>
        <v>0</v>
      </c>
      <c r="AF254" s="17">
        <f t="shared" si="234"/>
        <v>0</v>
      </c>
      <c r="AG254" s="17">
        <f t="shared" si="234"/>
        <v>0</v>
      </c>
      <c r="AH254" s="17">
        <f t="shared" si="234"/>
        <v>0</v>
      </c>
      <c r="AI254" s="17">
        <f t="shared" si="234"/>
        <v>0</v>
      </c>
      <c r="AJ254" s="17">
        <f t="shared" ref="AJ254:AK254" si="235">AJ251*AJ252*$C$12/$C$6</f>
        <v>0</v>
      </c>
      <c r="AK254" s="17">
        <f t="shared" si="235"/>
        <v>0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7"/>
      <c r="C266" s="47"/>
    </row>
    <row r="267" spans="1:3">
      <c r="B267" s="47"/>
      <c r="C267" s="47"/>
    </row>
    <row r="268" spans="1:3">
      <c r="B268" s="47"/>
      <c r="C268" s="47"/>
    </row>
  </sheetData>
  <sortState ref="B14">
    <sortCondition descending="1" ref="B14"/>
  </sortState>
  <mergeCells count="16">
    <mergeCell ref="H7:I7"/>
    <mergeCell ref="B1:B2"/>
    <mergeCell ref="C1:D2"/>
    <mergeCell ref="C13:E13"/>
    <mergeCell ref="H2:I2"/>
    <mergeCell ref="H3:I3"/>
    <mergeCell ref="H4:I4"/>
    <mergeCell ref="H5:I5"/>
    <mergeCell ref="H6:I6"/>
    <mergeCell ref="H17:I17"/>
    <mergeCell ref="H8:I8"/>
    <mergeCell ref="H9:I9"/>
    <mergeCell ref="H10:I10"/>
    <mergeCell ref="H11:I11"/>
    <mergeCell ref="H12:I12"/>
    <mergeCell ref="H13:I13"/>
  </mergeCells>
  <dataValidations xWindow="195" yWindow="354" count="5">
    <dataValidation type="list" allowBlank="1" showInputMessage="1" showErrorMessage="1" error="Pick a unit from the drop down list" prompt="Select power units" sqref="C29:C30 N29:N30 Y29:Y30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extLst>
    <ext xmlns:x14="http://schemas.microsoft.com/office/spreadsheetml/2009/9/main" uri="{CCE6A557-97BC-4b89-ADB6-D9C93CAAB3DF}">
      <x14:dataValidations xmlns:xm="http://schemas.microsoft.com/office/excel/2006/main" xWindow="195" yWindow="354" count="1">
        <x14:dataValidation type="list" allowBlank="1" showInputMessage="1" showErrorMessage="1">
          <x14:formula1>
            <xm:f>Sheet1!$E$2:$E$3</xm:f>
          </x14:formula1>
          <xm:sqref>C24 N24 Y24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244"/>
  <sheetViews>
    <sheetView topLeftCell="T157" workbookViewId="0">
      <selection activeCell="AK177" sqref="AK177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5" width="12.7109375" bestFit="1" customWidth="1"/>
    <col min="6" max="6" width="13.85546875" bestFit="1" customWidth="1"/>
    <col min="7" max="7" width="15.28515625" bestFit="1" customWidth="1"/>
    <col min="8" max="8" width="12" style="11" bestFit="1" customWidth="1"/>
    <col min="9" max="9" width="17.710937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15" max="19" width="12.7109375" bestFit="1" customWidth="1"/>
    <col min="20" max="22" width="9.140625" customWidth="1"/>
    <col min="23" max="23" width="2.140625" customWidth="1"/>
    <col min="24" max="24" width="28.28515625" customWidth="1"/>
    <col min="25" max="25" width="10" bestFit="1" customWidth="1"/>
    <col min="26" max="27" width="12.7109375" bestFit="1" customWidth="1"/>
    <col min="28" max="28" width="9.42578125" customWidth="1"/>
    <col min="29" max="31" width="12.7109375" bestFit="1" customWidth="1"/>
    <col min="32" max="32" width="12" bestFit="1" customWidth="1"/>
    <col min="33" max="34" width="12.7109375" bestFit="1" customWidth="1"/>
    <col min="35" max="35" width="12.28515625" customWidth="1"/>
    <col min="36" max="37" width="12.7109375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7" s="20" customFormat="1" ht="18.75">
      <c r="B1" s="20" t="str">
        <f>'INPUT DATA'!B1</f>
        <v>MAN 6s70mcc7</v>
      </c>
      <c r="C1" s="95" t="str">
        <f>'INPUT DATA'!C1</f>
        <v>CAP PHILLIPE</v>
      </c>
      <c r="D1" s="95"/>
      <c r="M1" s="20" t="str">
        <f>B1</f>
        <v>MAN 6s70mcc7</v>
      </c>
      <c r="N1" s="20" t="str">
        <f>C1</f>
        <v>CAP PHILLIPE</v>
      </c>
      <c r="X1" s="20" t="str">
        <f>M1</f>
        <v>MAN 6s70mcc7</v>
      </c>
      <c r="Y1" s="20" t="str">
        <f>N1</f>
        <v>CAP PHILLIPE</v>
      </c>
    </row>
    <row r="2" spans="1:37" s="20" customFormat="1" ht="18.75"/>
    <row r="3" spans="1:37" s="20" customFormat="1" ht="18.75">
      <c r="B3" s="38" t="str">
        <f>'INPUT DATA'!B18</f>
        <v>SHOP TESTS</v>
      </c>
      <c r="M3" s="38" t="str">
        <f>'INPUT DATA'!M18</f>
        <v>SEA TRIALS</v>
      </c>
      <c r="X3" s="38" t="str">
        <f>'INPUT DATA'!X18</f>
        <v>OPERATION</v>
      </c>
    </row>
    <row r="4" spans="1:37"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7" s="30" customFormat="1" ht="15.75">
      <c r="B5" s="30" t="str">
        <f>'INPUT DATA'!B184</f>
        <v>RESULTS</v>
      </c>
      <c r="M5" s="30" t="str">
        <f>B5</f>
        <v>RESULTS</v>
      </c>
      <c r="X5" s="30" t="str">
        <f>B5</f>
        <v>RESULTS</v>
      </c>
    </row>
    <row r="6" spans="1:37" s="55" customFormat="1">
      <c r="B6" s="55" t="str">
        <f>'INPUT DATA'!B185</f>
        <v>Load</v>
      </c>
      <c r="D6" s="55">
        <f>'INPUT DATA'!D185</f>
        <v>0.25</v>
      </c>
      <c r="E6" s="55">
        <f>'INPUT DATA'!E185</f>
        <v>0.5</v>
      </c>
      <c r="F6" s="55">
        <f>'INPUT DATA'!F185</f>
        <v>0.75</v>
      </c>
      <c r="G6" s="55">
        <f>'INPUT DATA'!G185</f>
        <v>0.9</v>
      </c>
      <c r="H6" s="55">
        <f>'INPUT DATA'!H185</f>
        <v>1</v>
      </c>
      <c r="I6" s="55">
        <f>'INPUT DATA'!I185</f>
        <v>1.1000000000000001</v>
      </c>
      <c r="M6" s="55" t="str">
        <f>'INPUT DATA'!M185</f>
        <v>Load</v>
      </c>
      <c r="O6" s="55">
        <f>'INPUT DATA'!O185</f>
        <v>0.75</v>
      </c>
      <c r="P6" s="55">
        <f>'INPUT DATA'!P185</f>
        <v>0.75</v>
      </c>
      <c r="Q6" s="55">
        <f>'INPUT DATA'!Q185</f>
        <v>0.9</v>
      </c>
      <c r="R6" s="55">
        <f>'INPUT DATA'!R185</f>
        <v>0.9</v>
      </c>
      <c r="S6" s="55">
        <f>'INPUT DATA'!S185</f>
        <v>1</v>
      </c>
      <c r="X6" s="55" t="str">
        <f>'INPUT DATA'!X185</f>
        <v>Load</v>
      </c>
      <c r="Z6" s="55">
        <f>'INPUT DATA'!Z185</f>
        <v>0.75900000000000001</v>
      </c>
      <c r="AA6" s="55">
        <f>'INPUT DATA'!AA185</f>
        <v>0.69499999999999995</v>
      </c>
      <c r="AB6" s="55">
        <f>'INPUT DATA'!AB185</f>
        <v>0.72</v>
      </c>
      <c r="AC6" s="55">
        <f>'INPUT DATA'!AC185</f>
        <v>0.57099999999999995</v>
      </c>
      <c r="AD6" s="55">
        <f>'INPUT DATA'!AD185</f>
        <v>0.71099999999999997</v>
      </c>
      <c r="AE6" s="55">
        <f>'INPUT DATA'!AE185</f>
        <v>0.75</v>
      </c>
      <c r="AF6" s="55">
        <f>'INPUT DATA'!AF185</f>
        <v>0.72</v>
      </c>
      <c r="AG6" s="55">
        <f>'INPUT DATA'!AG185</f>
        <v>0.753</v>
      </c>
      <c r="AH6" s="55">
        <f>'INPUT DATA'!AH185</f>
        <v>0.749</v>
      </c>
      <c r="AI6" s="55">
        <f>'INPUT DATA'!AI185</f>
        <v>0.745</v>
      </c>
      <c r="AJ6" s="55">
        <f>'INPUT DATA'!AJ185</f>
        <v>0.75800000000000001</v>
      </c>
      <c r="AK6" s="55">
        <f>'INPUT DATA'!AK185</f>
        <v>0.77300000000000002</v>
      </c>
    </row>
    <row r="7" spans="1:37" s="3" customFormat="1">
      <c r="B7" s="3" t="str">
        <f>'INPUT DATA'!B186</f>
        <v>DATE</v>
      </c>
      <c r="D7" s="3">
        <f>'INPUT DATA'!D186</f>
        <v>38763</v>
      </c>
      <c r="E7" s="3">
        <f>'INPUT DATA'!E186</f>
        <v>38763</v>
      </c>
      <c r="F7" s="3">
        <f>'INPUT DATA'!F186</f>
        <v>38763</v>
      </c>
      <c r="G7" s="3">
        <f>'INPUT DATA'!G186</f>
        <v>38763</v>
      </c>
      <c r="H7" s="3">
        <f>'INPUT DATA'!H186</f>
        <v>38763</v>
      </c>
      <c r="I7" s="3">
        <f>'INPUT DATA'!I186</f>
        <v>38763</v>
      </c>
      <c r="M7" s="3" t="str">
        <f>'INPUT DATA'!M186</f>
        <v>DATE</v>
      </c>
      <c r="O7" s="3">
        <f>'INPUT DATA'!O186</f>
        <v>38898</v>
      </c>
      <c r="P7" s="3">
        <f>'INPUT DATA'!P186</f>
        <v>38898</v>
      </c>
      <c r="Q7" s="3">
        <f>'INPUT DATA'!Q186</f>
        <v>38898</v>
      </c>
      <c r="R7" s="3">
        <f>'INPUT DATA'!R186</f>
        <v>38898</v>
      </c>
      <c r="S7" s="3">
        <f>'INPUT DATA'!S186</f>
        <v>38898</v>
      </c>
      <c r="X7" s="3" t="str">
        <f>'INPUT DATA'!X186</f>
        <v>DATE</v>
      </c>
      <c r="Z7" s="3">
        <f>'INPUT DATA'!Z186</f>
        <v>39111</v>
      </c>
      <c r="AA7" s="3">
        <f>'INPUT DATA'!AA186</f>
        <v>39136</v>
      </c>
      <c r="AB7" s="3">
        <f>'INPUT DATA'!AB186</f>
        <v>39172</v>
      </c>
      <c r="AC7" s="3">
        <f>'INPUT DATA'!AC186</f>
        <v>39198</v>
      </c>
      <c r="AD7" s="3">
        <f>'INPUT DATA'!AD186</f>
        <v>39227</v>
      </c>
      <c r="AE7" s="3">
        <f>'INPUT DATA'!AE186</f>
        <v>39259</v>
      </c>
      <c r="AF7" s="3">
        <f>'INPUT DATA'!AF186</f>
        <v>39283</v>
      </c>
      <c r="AG7" s="3">
        <f>'INPUT DATA'!AG186</f>
        <v>39306</v>
      </c>
      <c r="AH7" s="3">
        <f>'INPUT DATA'!AH186</f>
        <v>39336</v>
      </c>
      <c r="AI7" s="3">
        <f>'INPUT DATA'!AI186</f>
        <v>39382</v>
      </c>
      <c r="AJ7" s="3">
        <f>'INPUT DATA'!AJ186</f>
        <v>39394</v>
      </c>
      <c r="AK7" s="3">
        <f>'INPUT DATA'!AK186</f>
        <v>39440</v>
      </c>
    </row>
    <row r="8" spans="1:37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57.4</v>
      </c>
      <c r="E8" s="4">
        <f>'INPUT DATA'!E187</f>
        <v>72.3</v>
      </c>
      <c r="F8" s="4">
        <f>'INPUT DATA'!F187</f>
        <v>82.6</v>
      </c>
      <c r="G8" s="4">
        <f>'INPUT DATA'!G187</f>
        <v>87.9</v>
      </c>
      <c r="H8" s="4">
        <f>'INPUT DATA'!H187</f>
        <v>91</v>
      </c>
      <c r="I8" s="4">
        <f>'INPUT DATA'!I187</f>
        <v>93.9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85.9</v>
      </c>
      <c r="P8" s="4">
        <f>'INPUT DATA'!P187</f>
        <v>85.9</v>
      </c>
      <c r="Q8" s="4">
        <f>'INPUT DATA'!Q187</f>
        <v>90.9</v>
      </c>
      <c r="R8" s="4">
        <f>'INPUT DATA'!R187</f>
        <v>90.69</v>
      </c>
      <c r="S8" s="4">
        <f>'INPUT DATA'!S187</f>
        <v>94.09</v>
      </c>
      <c r="X8" s="4" t="str">
        <f>'INPUT DATA'!X187</f>
        <v>Engine Speed</v>
      </c>
      <c r="Y8" s="4" t="str">
        <f>'INPUT DATA'!Y187</f>
        <v>rpm</v>
      </c>
      <c r="Z8" s="4">
        <f>'INPUT DATA'!Z187</f>
        <v>90.4</v>
      </c>
      <c r="AA8" s="4">
        <f>'INPUT DATA'!AA187</f>
        <v>87.2</v>
      </c>
      <c r="AB8" s="4">
        <f>'INPUT DATA'!AB187</f>
        <v>89.3</v>
      </c>
      <c r="AC8" s="4">
        <f>'INPUT DATA'!AC187</f>
        <v>82.1</v>
      </c>
      <c r="AD8" s="4">
        <f>'INPUT DATA'!AD187</f>
        <v>89.3</v>
      </c>
      <c r="AE8" s="4">
        <f>'INPUT DATA'!AE187</f>
        <v>90.4</v>
      </c>
      <c r="AF8" s="4">
        <f>'INPUT DATA'!AF187</f>
        <v>90.3</v>
      </c>
      <c r="AG8" s="4">
        <f>'INPUT DATA'!AG187</f>
        <v>90.7</v>
      </c>
      <c r="AH8" s="4">
        <f>'INPUT DATA'!AH187</f>
        <v>90.8</v>
      </c>
      <c r="AI8" s="4">
        <f>'INPUT DATA'!AI187</f>
        <v>90.8</v>
      </c>
      <c r="AJ8" s="4">
        <f>'INPUT DATA'!AJ187</f>
        <v>90.8</v>
      </c>
      <c r="AK8" s="4">
        <f>'INPUT DATA'!AK187</f>
        <v>90.8</v>
      </c>
    </row>
    <row r="9" spans="1:37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283.54999999999995</v>
      </c>
      <c r="E9" s="11">
        <f>'INPUT DATA'!E188</f>
        <v>283.45</v>
      </c>
      <c r="F9" s="11">
        <f>'INPUT DATA'!F188</f>
        <v>283.75</v>
      </c>
      <c r="G9" s="11">
        <f>'INPUT DATA'!G188</f>
        <v>283.84999999999997</v>
      </c>
      <c r="H9" s="11">
        <f>'INPUT DATA'!H188</f>
        <v>283.95</v>
      </c>
      <c r="I9" s="11">
        <f>'INPUT DATA'!I188</f>
        <v>283.84999999999997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307.14999999999998</v>
      </c>
      <c r="P9" s="11">
        <f>'INPUT DATA'!P188</f>
        <v>309.14999999999998</v>
      </c>
      <c r="Q9" s="11">
        <f>'INPUT DATA'!Q188</f>
        <v>308.14999999999998</v>
      </c>
      <c r="R9" s="11">
        <f>'INPUT DATA'!R188</f>
        <v>308.14999999999998</v>
      </c>
      <c r="S9" s="11">
        <f>'INPUT DATA'!S188</f>
        <v>308.14999999999998</v>
      </c>
      <c r="T9" s="11"/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304.14999999999998</v>
      </c>
      <c r="AA9" s="11">
        <f>'INPUT DATA'!AA188</f>
        <v>291.14999999999998</v>
      </c>
      <c r="AB9" s="11">
        <f>'INPUT DATA'!AB188</f>
        <v>304.14999999999998</v>
      </c>
      <c r="AC9" s="11">
        <f>'INPUT DATA'!AC188</f>
        <v>297.14999999999998</v>
      </c>
      <c r="AD9" s="11">
        <f>'INPUT DATA'!AD188</f>
        <v>315.14999999999998</v>
      </c>
      <c r="AE9" s="11">
        <f>'INPUT DATA'!AE188</f>
        <v>301.14999999999998</v>
      </c>
      <c r="AF9" s="11">
        <f>'INPUT DATA'!AF188</f>
        <v>308.14999999999998</v>
      </c>
      <c r="AG9" s="11">
        <f>'INPUT DATA'!AG188</f>
        <v>309.14999999999998</v>
      </c>
      <c r="AH9" s="11">
        <f>'INPUT DATA'!AH188</f>
        <v>309.14999999999998</v>
      </c>
      <c r="AI9" s="11">
        <f>'INPUT DATA'!AI188</f>
        <v>313.14999999999998</v>
      </c>
      <c r="AJ9" s="11">
        <f>'INPUT DATA'!AJ188</f>
        <v>309.14999999999998</v>
      </c>
      <c r="AK9" s="11">
        <f>'INPUT DATA'!AK188</f>
        <v>306.14999999999998</v>
      </c>
    </row>
    <row r="10" spans="1:37" s="18" customFormat="1">
      <c r="B10" s="18" t="str">
        <f>'INPUT DATA'!B189</f>
        <v xml:space="preserve">Ambient Pressure </v>
      </c>
      <c r="C10" s="18" t="str">
        <f>'INPUT DATA'!C189</f>
        <v>mbar</v>
      </c>
      <c r="D10" s="18">
        <f>'INPUT DATA'!D189</f>
        <v>1010.5837162</v>
      </c>
      <c r="E10" s="18">
        <f>'INPUT DATA'!E189</f>
        <v>1010.31707142</v>
      </c>
      <c r="F10" s="18">
        <f>'INPUT DATA'!F189</f>
        <v>1009.65045947</v>
      </c>
      <c r="G10" s="18">
        <f>'INPUT DATA'!G189</f>
        <v>1008.98384752</v>
      </c>
      <c r="H10" s="18">
        <f>'INPUT DATA'!H189</f>
        <v>1008.98384752</v>
      </c>
      <c r="I10" s="18">
        <f>'INPUT DATA'!I189</f>
        <v>1008.98384752</v>
      </c>
      <c r="M10" s="18" t="str">
        <f>'INPUT DATA'!M189</f>
        <v xml:space="preserve">Ambient Pressure </v>
      </c>
      <c r="N10" s="18" t="str">
        <f>'INPUT DATA'!N189</f>
        <v>mbar</v>
      </c>
      <c r="O10" s="18">
        <f>'INPUT DATA'!O189</f>
        <v>1014.98335507</v>
      </c>
      <c r="P10" s="18">
        <f>'INPUT DATA'!P189</f>
        <v>1014.98335507</v>
      </c>
      <c r="Q10" s="18">
        <f>'INPUT DATA'!Q189</f>
        <v>1014.98335507</v>
      </c>
      <c r="R10" s="18">
        <f>'INPUT DATA'!R189</f>
        <v>1014.98335507</v>
      </c>
      <c r="S10" s="18">
        <f>'INPUT DATA'!S189</f>
        <v>1014.98335507</v>
      </c>
      <c r="X10" s="18" t="str">
        <f>'INPUT DATA'!X189</f>
        <v xml:space="preserve">Ambient Pressure </v>
      </c>
      <c r="Y10" s="18" t="str">
        <f>'INPUT DATA'!Y189</f>
        <v>mbar</v>
      </c>
      <c r="Z10" s="18">
        <f>'INPUT DATA'!Z189</f>
        <v>0</v>
      </c>
      <c r="AA10" s="18">
        <f>'INPUT DATA'!AA189</f>
        <v>0</v>
      </c>
      <c r="AB10" s="18">
        <f>'INPUT DATA'!AB189</f>
        <v>0</v>
      </c>
      <c r="AC10" s="18">
        <f>'INPUT DATA'!AC189</f>
        <v>0</v>
      </c>
      <c r="AD10" s="18">
        <f>'INPUT DATA'!AD189</f>
        <v>0</v>
      </c>
      <c r="AE10" s="18">
        <f>'INPUT DATA'!AE189</f>
        <v>0</v>
      </c>
      <c r="AF10" s="18">
        <f>'INPUT DATA'!AF189</f>
        <v>0</v>
      </c>
      <c r="AG10" s="18">
        <f>'INPUT DATA'!AG189</f>
        <v>0</v>
      </c>
      <c r="AH10" s="18">
        <f>'INPUT DATA'!AH189</f>
        <v>0</v>
      </c>
      <c r="AI10" s="18">
        <f>'INPUT DATA'!AI189</f>
        <v>0</v>
      </c>
      <c r="AJ10" s="18">
        <f>'INPUT DATA'!AJ189</f>
        <v>0</v>
      </c>
      <c r="AK10" s="18">
        <f>'INPUT DATA'!AK189</f>
        <v>0</v>
      </c>
    </row>
    <row r="11" spans="1:37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7.8933333333333335</v>
      </c>
      <c r="E11" s="16">
        <f>'INPUT DATA'!E190</f>
        <v>11.743333333333334</v>
      </c>
      <c r="F11" s="16">
        <f>'INPUT DATA'!F190</f>
        <v>15.158333333333333</v>
      </c>
      <c r="G11" s="16">
        <f>'INPUT DATA'!G190</f>
        <v>17.028333333333332</v>
      </c>
      <c r="H11" s="16">
        <f>'INPUT DATA'!H190</f>
        <v>18.233333333333338</v>
      </c>
      <c r="I11" s="16">
        <f>'INPUT DATA'!I190</f>
        <v>18.353333333333335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14.133333333333335</v>
      </c>
      <c r="AA11" s="16">
        <f>'INPUT DATA'!AA190</f>
        <v>13.466666666666667</v>
      </c>
      <c r="AB11" s="16">
        <f>'INPUT DATA'!AB190</f>
        <v>13.616666666666667</v>
      </c>
      <c r="AC11" s="16">
        <f>'INPUT DATA'!AC190</f>
        <v>11.883333333333333</v>
      </c>
      <c r="AD11" s="16">
        <f>'INPUT DATA'!AD190</f>
        <v>13.466666666666667</v>
      </c>
      <c r="AE11" s="16">
        <f>'INPUT DATA'!AE190</f>
        <v>13.983333333333334</v>
      </c>
      <c r="AF11" s="16">
        <f>'INPUT DATA'!AF190</f>
        <v>13.450000000000001</v>
      </c>
      <c r="AG11" s="16">
        <f>'INPUT DATA'!AG190</f>
        <v>13.983333333333334</v>
      </c>
      <c r="AH11" s="16">
        <f>'INPUT DATA'!AH190</f>
        <v>13.899999999999999</v>
      </c>
      <c r="AI11" s="16">
        <f>'INPUT DATA'!AI190</f>
        <v>13.833333333333334</v>
      </c>
      <c r="AJ11" s="16">
        <f>'INPUT DATA'!AJ190</f>
        <v>14.049999999999999</v>
      </c>
      <c r="AK11" s="16">
        <f>'INPUT DATA'!AK190</f>
        <v>14.300000000000002</v>
      </c>
    </row>
    <row r="12" spans="1:37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42</v>
      </c>
      <c r="E12" s="16">
        <f>'INPUT DATA'!E191</f>
        <v>56</v>
      </c>
      <c r="F12" s="16">
        <f>'INPUT DATA'!F191</f>
        <v>70</v>
      </c>
      <c r="G12" s="16">
        <f>'INPUT DATA'!G191</f>
        <v>77</v>
      </c>
      <c r="H12" s="16">
        <f>'INPUT DATA'!H191</f>
        <v>85</v>
      </c>
      <c r="I12" s="16">
        <f>'INPUT DATA'!I191</f>
        <v>90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75.333333333333329</v>
      </c>
      <c r="P12" s="16">
        <f>'INPUT DATA'!P191</f>
        <v>72.333333333333329</v>
      </c>
      <c r="Q12" s="16">
        <f>'INPUT DATA'!Q191</f>
        <v>84.166666666666671</v>
      </c>
      <c r="R12" s="16">
        <f>'INPUT DATA'!R191</f>
        <v>80</v>
      </c>
      <c r="S12" s="16">
        <f>'INPUT DATA'!S191</f>
        <v>88.166666666666671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80.25</v>
      </c>
      <c r="AA12" s="16">
        <f>'INPUT DATA'!AA191</f>
        <v>72.333333333333329</v>
      </c>
      <c r="AB12" s="16">
        <f>'INPUT DATA'!AB191</f>
        <v>80.333333333333329</v>
      </c>
      <c r="AC12" s="16">
        <f>'INPUT DATA'!AC191</f>
        <v>71</v>
      </c>
      <c r="AD12" s="16">
        <f>'INPUT DATA'!AD191</f>
        <v>77</v>
      </c>
      <c r="AE12" s="16">
        <f>'INPUT DATA'!AE191</f>
        <v>79</v>
      </c>
      <c r="AF12" s="16">
        <f>'INPUT DATA'!AF191</f>
        <v>78.166666666666671</v>
      </c>
      <c r="AG12" s="16">
        <f>'INPUT DATA'!AG191</f>
        <v>81.333333333333329</v>
      </c>
      <c r="AH12" s="16">
        <f>'INPUT DATA'!AH191</f>
        <v>80.666666666666671</v>
      </c>
      <c r="AI12" s="16">
        <f>'INPUT DATA'!AI191</f>
        <v>80.5</v>
      </c>
      <c r="AJ12" s="16">
        <f>'INPUT DATA'!AJ191</f>
        <v>81.5</v>
      </c>
      <c r="AK12" s="16">
        <f>'INPUT DATA'!AK191</f>
        <v>81.333333333333329</v>
      </c>
    </row>
    <row r="13" spans="1:37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1.5166666666666668</v>
      </c>
      <c r="E13" s="16">
        <f>'INPUT DATA'!E192</f>
        <v>1.5333333333333332</v>
      </c>
      <c r="F13" s="16">
        <f>'INPUT DATA'!F192</f>
        <v>2.5</v>
      </c>
      <c r="G13" s="16">
        <f>'INPUT DATA'!G192</f>
        <v>3.0166666666666671</v>
      </c>
      <c r="H13" s="16">
        <f>'INPUT DATA'!H192</f>
        <v>0.75</v>
      </c>
      <c r="I13" s="16">
        <f>'INPUT DATA'!I192</f>
        <v>0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2.9333333333333336</v>
      </c>
      <c r="P13" s="16">
        <f>'INPUT DATA'!P192</f>
        <v>3.5833333333333335</v>
      </c>
      <c r="Q13" s="16">
        <f>'INPUT DATA'!Q192</f>
        <v>2.9</v>
      </c>
      <c r="R13" s="16">
        <f>'INPUT DATA'!R192</f>
        <v>4.2666666666666666</v>
      </c>
      <c r="S13" s="16">
        <f>'INPUT DATA'!S192</f>
        <v>0.85000000000000009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3.3166666666666664</v>
      </c>
      <c r="AA13" s="16">
        <f>'INPUT DATA'!AA192</f>
        <v>3</v>
      </c>
      <c r="AB13" s="16">
        <f>'INPUT DATA'!AB192</f>
        <v>3.35</v>
      </c>
      <c r="AC13" s="16">
        <f>'INPUT DATA'!AC192</f>
        <v>2.9666666666666668</v>
      </c>
      <c r="AD13" s="16">
        <f>'INPUT DATA'!AD192</f>
        <v>3.3666666666666667</v>
      </c>
      <c r="AE13" s="16">
        <f>'INPUT DATA'!AE192</f>
        <v>3.2999999999999994</v>
      </c>
      <c r="AF13" s="16">
        <f>'INPUT DATA'!AF192</f>
        <v>3.35</v>
      </c>
      <c r="AG13" s="16">
        <f>'INPUT DATA'!AG192</f>
        <v>3.3333333333333335</v>
      </c>
      <c r="AH13" s="16">
        <f>'INPUT DATA'!AH192</f>
        <v>3.5166666666666671</v>
      </c>
      <c r="AI13" s="16">
        <f>'INPUT DATA'!AI192</f>
        <v>3.75</v>
      </c>
      <c r="AJ13" s="16">
        <f>'INPUT DATA'!AJ192</f>
        <v>3.7333333333333329</v>
      </c>
      <c r="AK13" s="16">
        <f>'INPUT DATA'!AK192</f>
        <v>3.9666666666666663</v>
      </c>
    </row>
    <row r="14" spans="1:37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5</v>
      </c>
      <c r="E14" s="11">
        <f>'INPUT DATA'!E193</f>
        <v>14</v>
      </c>
      <c r="F14" s="11">
        <f>'INPUT DATA'!F193</f>
        <v>28</v>
      </c>
      <c r="G14" s="11">
        <f>'INPUT DATA'!G193</f>
        <v>33.5</v>
      </c>
      <c r="H14" s="11">
        <f>'INPUT DATA'!H193</f>
        <v>40</v>
      </c>
      <c r="I14" s="11">
        <f>'INPUT DATA'!I193</f>
        <v>46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44.5</v>
      </c>
      <c r="P14" s="11">
        <f>'INPUT DATA'!P193</f>
        <v>43.5</v>
      </c>
      <c r="Q14" s="11">
        <f>'INPUT DATA'!Q193</f>
        <v>57.5</v>
      </c>
      <c r="R14" s="11">
        <f>'INPUT DATA'!R193</f>
        <v>50</v>
      </c>
      <c r="S14" s="11">
        <f>'INPUT DATA'!S193</f>
        <v>65</v>
      </c>
      <c r="T14" s="11"/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82.5</v>
      </c>
      <c r="AA14" s="11">
        <f>'INPUT DATA'!AA193</f>
        <v>82.5</v>
      </c>
      <c r="AB14" s="11">
        <f>'INPUT DATA'!AB193</f>
        <v>72.5</v>
      </c>
      <c r="AC14" s="11">
        <f>'INPUT DATA'!AC193</f>
        <v>65</v>
      </c>
      <c r="AD14" s="11">
        <f>'INPUT DATA'!AD193</f>
        <v>60</v>
      </c>
      <c r="AE14" s="11">
        <f>'INPUT DATA'!AE193</f>
        <v>47.5</v>
      </c>
      <c r="AF14" s="11">
        <f>'INPUT DATA'!AF193</f>
        <v>55.5</v>
      </c>
      <c r="AG14" s="11">
        <f>'INPUT DATA'!AG193</f>
        <v>77.5</v>
      </c>
      <c r="AH14" s="11">
        <f>'INPUT DATA'!AH193</f>
        <v>37.5</v>
      </c>
      <c r="AI14" s="11">
        <f>'INPUT DATA'!AI193</f>
        <v>40</v>
      </c>
      <c r="AJ14" s="11">
        <f>'INPUT DATA'!AJ193</f>
        <v>45</v>
      </c>
      <c r="AK14" s="11">
        <f>'INPUT DATA'!AK193</f>
        <v>50</v>
      </c>
    </row>
    <row r="15" spans="1:37" s="46" customFormat="1">
      <c r="B15" s="46" t="str">
        <f>'INPUT DATA'!B194</f>
        <v>Air Filter Pressure Drop</v>
      </c>
      <c r="C15" s="46" t="str">
        <f>'INPUT DATA'!C194</f>
        <v>bar</v>
      </c>
      <c r="D15" s="46">
        <f>'INPUT DATA'!D194</f>
        <v>4.9033249999999996E-4</v>
      </c>
      <c r="E15" s="46">
        <f>'INPUT DATA'!E194</f>
        <v>1.372931E-3</v>
      </c>
      <c r="F15" s="46">
        <f>'INPUT DATA'!F194</f>
        <v>2.745862E-3</v>
      </c>
      <c r="G15" s="46">
        <f>'INPUT DATA'!G194</f>
        <v>3.28522775E-3</v>
      </c>
      <c r="H15" s="46">
        <f>'INPUT DATA'!H194</f>
        <v>3.9226599999999997E-3</v>
      </c>
      <c r="I15" s="46">
        <f>'INPUT DATA'!I194</f>
        <v>4.5110590000000004E-3</v>
      </c>
      <c r="M15" s="46" t="str">
        <f>'INPUT DATA'!M194</f>
        <v>Air Filter Pressure Drop</v>
      </c>
      <c r="N15" s="46" t="str">
        <f>'INPUT DATA'!N194</f>
        <v>bar</v>
      </c>
      <c r="O15" s="46">
        <f>'INPUT DATA'!O194</f>
        <v>4.3639592499999996E-3</v>
      </c>
      <c r="P15" s="46">
        <f>'INPUT DATA'!P194</f>
        <v>4.2658927499999999E-3</v>
      </c>
      <c r="Q15" s="46">
        <f>'INPUT DATA'!Q194</f>
        <v>5.6388237499999999E-3</v>
      </c>
      <c r="R15" s="46">
        <f>'INPUT DATA'!R194</f>
        <v>4.903325E-3</v>
      </c>
      <c r="S15" s="46">
        <f>'INPUT DATA'!S194</f>
        <v>6.3743224999999997E-3</v>
      </c>
      <c r="X15" s="46" t="str">
        <f>'INPUT DATA'!X194</f>
        <v>Air Filter Pressure Drop</v>
      </c>
      <c r="Y15" s="46" t="str">
        <f>'INPUT DATA'!Y194</f>
        <v>bar</v>
      </c>
      <c r="Z15" s="46">
        <f>'INPUT DATA'!Z194</f>
        <v>8.0904862500000008E-3</v>
      </c>
      <c r="AA15" s="46">
        <f>'INPUT DATA'!AA194</f>
        <v>8.0904862500000008E-3</v>
      </c>
      <c r="AB15" s="46">
        <f>'INPUT DATA'!AB194</f>
        <v>7.1098212500000004E-3</v>
      </c>
      <c r="AC15" s="46">
        <f>'INPUT DATA'!AC194</f>
        <v>6.3743224999999997E-3</v>
      </c>
      <c r="AD15" s="46">
        <f>'INPUT DATA'!AD194</f>
        <v>5.8839900000000004E-3</v>
      </c>
      <c r="AE15" s="46">
        <f>'INPUT DATA'!AE194</f>
        <v>4.6581587500000004E-3</v>
      </c>
      <c r="AF15" s="46">
        <f>'INPUT DATA'!AF194</f>
        <v>5.4426907499999996E-3</v>
      </c>
      <c r="AG15" s="46">
        <f>'INPUT DATA'!AG194</f>
        <v>7.6001537499999997E-3</v>
      </c>
      <c r="AH15" s="46">
        <f>'INPUT DATA'!AH194</f>
        <v>3.67749375E-3</v>
      </c>
      <c r="AI15" s="46">
        <f>'INPUT DATA'!AI194</f>
        <v>3.9226599999999997E-3</v>
      </c>
      <c r="AJ15" s="46">
        <f>'INPUT DATA'!AJ194</f>
        <v>4.4129924999999999E-3</v>
      </c>
      <c r="AK15" s="46">
        <f>'INPUT DATA'!AK194</f>
        <v>4.903325E-3</v>
      </c>
    </row>
    <row r="16" spans="1:37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14.149999999999999</v>
      </c>
      <c r="E16" s="11">
        <f>'INPUT DATA'!E195</f>
        <v>15.2</v>
      </c>
      <c r="F16" s="11">
        <f>'INPUT DATA'!F195</f>
        <v>16.149999999999999</v>
      </c>
      <c r="G16" s="11">
        <f>'INPUT DATA'!G195</f>
        <v>18.350000000000001</v>
      </c>
      <c r="H16" s="11">
        <f>'INPUT DATA'!H195</f>
        <v>17.45</v>
      </c>
      <c r="I16" s="11">
        <f>'INPUT DATA'!I195</f>
        <v>18.55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36.75</v>
      </c>
      <c r="P16" s="11">
        <f>'INPUT DATA'!P195</f>
        <v>37.25</v>
      </c>
      <c r="Q16" s="11">
        <f>'INPUT DATA'!Q195</f>
        <v>37.25</v>
      </c>
      <c r="R16" s="11">
        <f>'INPUT DATA'!R195</f>
        <v>37.25</v>
      </c>
      <c r="S16" s="11">
        <f>'INPUT DATA'!S195</f>
        <v>37.25</v>
      </c>
      <c r="T16" s="11"/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31</v>
      </c>
      <c r="AA16" s="11">
        <f>'INPUT DATA'!AA195</f>
        <v>28</v>
      </c>
      <c r="AB16" s="11">
        <f>'INPUT DATA'!AB195</f>
        <v>30</v>
      </c>
      <c r="AC16" s="11">
        <f>'INPUT DATA'!AC195</f>
        <v>24</v>
      </c>
      <c r="AD16" s="11">
        <f>'INPUT DATA'!AD195</f>
        <v>38</v>
      </c>
      <c r="AE16" s="11">
        <f>'INPUT DATA'!AE195</f>
        <v>28</v>
      </c>
      <c r="AF16" s="11">
        <f>'INPUT DATA'!AF195</f>
        <v>33.5</v>
      </c>
      <c r="AG16" s="11">
        <f>'INPUT DATA'!AG195</f>
        <v>36</v>
      </c>
      <c r="AH16" s="11">
        <f>'INPUT DATA'!AH195</f>
        <v>35</v>
      </c>
      <c r="AI16" s="11">
        <f>'INPUT DATA'!AI195</f>
        <v>39</v>
      </c>
      <c r="AJ16" s="11">
        <f>'INPUT DATA'!AJ195</f>
        <v>36</v>
      </c>
      <c r="AK16" s="11">
        <f>'INPUT DATA'!AK195</f>
        <v>33</v>
      </c>
    </row>
    <row r="17" spans="1:37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262.5</v>
      </c>
      <c r="E17" s="11">
        <f>'INPUT DATA'!E196</f>
        <v>314</v>
      </c>
      <c r="F17" s="11">
        <f>'INPUT DATA'!F196</f>
        <v>335</v>
      </c>
      <c r="G17" s="11">
        <f>'INPUT DATA'!G196</f>
        <v>353.5</v>
      </c>
      <c r="H17" s="11">
        <f>'INPUT DATA'!H196</f>
        <v>375</v>
      </c>
      <c r="I17" s="11">
        <f>'INPUT DATA'!I196</f>
        <v>395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375</v>
      </c>
      <c r="P17" s="11">
        <f>'INPUT DATA'!P196</f>
        <v>372.5</v>
      </c>
      <c r="Q17" s="11">
        <f>'INPUT DATA'!Q196</f>
        <v>397</v>
      </c>
      <c r="R17" s="11">
        <f>'INPUT DATA'!R196</f>
        <v>385</v>
      </c>
      <c r="S17" s="11">
        <f>'INPUT DATA'!S196</f>
        <v>412.5</v>
      </c>
      <c r="T17" s="11"/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377.5</v>
      </c>
      <c r="AA17" s="11">
        <f>'INPUT DATA'!AA196</f>
        <v>350</v>
      </c>
      <c r="AB17" s="11">
        <f>'INPUT DATA'!AB196</f>
        <v>365</v>
      </c>
      <c r="AC17" s="11">
        <f>'INPUT DATA'!AC196</f>
        <v>342.5</v>
      </c>
      <c r="AD17" s="11">
        <f>'INPUT DATA'!AD196</f>
        <v>385</v>
      </c>
      <c r="AE17" s="11">
        <f>'INPUT DATA'!AE196</f>
        <v>375</v>
      </c>
      <c r="AF17" s="11">
        <f>'INPUT DATA'!AF196</f>
        <v>395</v>
      </c>
      <c r="AG17" s="11">
        <f>'INPUT DATA'!AG196</f>
        <v>397.5</v>
      </c>
      <c r="AH17" s="11">
        <f>'INPUT DATA'!AH196</f>
        <v>388.5</v>
      </c>
      <c r="AI17" s="11">
        <f>'INPUT DATA'!AI196</f>
        <v>401</v>
      </c>
      <c r="AJ17" s="11">
        <f>'INPUT DATA'!AJ196</f>
        <v>394.5</v>
      </c>
      <c r="AK17" s="11">
        <f>'INPUT DATA'!AK196</f>
        <v>375</v>
      </c>
    </row>
    <row r="18" spans="1:37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224</v>
      </c>
      <c r="E18" s="11">
        <f>'INPUT DATA'!E197</f>
        <v>220.5</v>
      </c>
      <c r="F18" s="11">
        <f>'INPUT DATA'!F197</f>
        <v>197</v>
      </c>
      <c r="G18" s="11">
        <f>'INPUT DATA'!G197</f>
        <v>197</v>
      </c>
      <c r="H18" s="11">
        <f>'INPUT DATA'!H197</f>
        <v>205</v>
      </c>
      <c r="I18" s="11">
        <f>'INPUT DATA'!I197</f>
        <v>214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222.5</v>
      </c>
      <c r="P18" s="11">
        <f>'INPUT DATA'!P197</f>
        <v>225</v>
      </c>
      <c r="Q18" s="11">
        <f>'INPUT DATA'!Q197</f>
        <v>222.5</v>
      </c>
      <c r="R18" s="11">
        <f>'INPUT DATA'!R197</f>
        <v>222.5</v>
      </c>
      <c r="S18" s="11">
        <f>'INPUT DATA'!S197</f>
        <v>227.5</v>
      </c>
      <c r="T18" s="11"/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232.5</v>
      </c>
      <c r="AA18" s="11">
        <f>'INPUT DATA'!AA197</f>
        <v>215</v>
      </c>
      <c r="AB18" s="11">
        <f>'INPUT DATA'!AB197</f>
        <v>230</v>
      </c>
      <c r="AC18" s="11">
        <f>'INPUT DATA'!AC197</f>
        <v>232.5</v>
      </c>
      <c r="AD18" s="11">
        <f>'INPUT DATA'!AD197</f>
        <v>242.5</v>
      </c>
      <c r="AE18" s="11">
        <f>'INPUT DATA'!AE197</f>
        <v>230</v>
      </c>
      <c r="AF18" s="11">
        <f>'INPUT DATA'!AF197</f>
        <v>247.5</v>
      </c>
      <c r="AG18" s="11">
        <f>'INPUT DATA'!AG197</f>
        <v>256.5</v>
      </c>
      <c r="AH18" s="11">
        <f>'INPUT DATA'!AH197</f>
        <v>240.5</v>
      </c>
      <c r="AI18" s="11">
        <f>'INPUT DATA'!AI197</f>
        <v>252.5</v>
      </c>
      <c r="AJ18" s="11">
        <f>'INPUT DATA'!AJ197</f>
        <v>246.5</v>
      </c>
      <c r="AK18" s="11">
        <f>'INPUT DATA'!AK197</f>
        <v>235.5</v>
      </c>
    </row>
    <row r="19" spans="1:37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0</v>
      </c>
      <c r="E19" s="11">
        <f>'INPUT DATA'!E198</f>
        <v>40</v>
      </c>
      <c r="F19" s="11">
        <f>'INPUT DATA'!F198</f>
        <v>80</v>
      </c>
      <c r="G19" s="11">
        <f>'INPUT DATA'!G198</f>
        <v>150</v>
      </c>
      <c r="H19" s="11">
        <f>'INPUT DATA'!H198</f>
        <v>160</v>
      </c>
      <c r="I19" s="11">
        <f>'INPUT DATA'!I198</f>
        <v>230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150</v>
      </c>
      <c r="P19" s="11">
        <f>'INPUT DATA'!P198</f>
        <v>140</v>
      </c>
      <c r="Q19" s="11">
        <f>'INPUT DATA'!Q198</f>
        <v>180</v>
      </c>
      <c r="R19" s="11">
        <f>'INPUT DATA'!R198</f>
        <v>180</v>
      </c>
      <c r="S19" s="11">
        <f>'INPUT DATA'!S198</f>
        <v>220</v>
      </c>
      <c r="T19" s="11"/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0</v>
      </c>
      <c r="AA19" s="11">
        <f>'INPUT DATA'!AA198</f>
        <v>0</v>
      </c>
      <c r="AB19" s="11">
        <f>'INPUT DATA'!AB198</f>
        <v>0</v>
      </c>
      <c r="AC19" s="11">
        <f>'INPUT DATA'!AC198</f>
        <v>0</v>
      </c>
      <c r="AD19" s="11">
        <f>'INPUT DATA'!AD198</f>
        <v>0</v>
      </c>
      <c r="AE19" s="11">
        <f>'INPUT DATA'!AE198</f>
        <v>0</v>
      </c>
      <c r="AF19" s="11">
        <f>'INPUT DATA'!AF198</f>
        <v>0</v>
      </c>
      <c r="AG19" s="11">
        <f>'INPUT DATA'!AG198</f>
        <v>0</v>
      </c>
      <c r="AH19" s="11">
        <f>'INPUT DATA'!AH198</f>
        <v>0</v>
      </c>
      <c r="AI19" s="11">
        <f>'INPUT DATA'!AI198</f>
        <v>0</v>
      </c>
      <c r="AJ19" s="11">
        <f>'INPUT DATA'!AJ198</f>
        <v>0</v>
      </c>
      <c r="AK19" s="11">
        <f>'INPUT DATA'!AK198</f>
        <v>0</v>
      </c>
    </row>
    <row r="20" spans="1:37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0</v>
      </c>
      <c r="E20" s="11">
        <f>'INPUT DATA'!E199</f>
        <v>3.9226599999999997E-3</v>
      </c>
      <c r="F20" s="11">
        <f>'INPUT DATA'!F199</f>
        <v>7.8453199999999994E-3</v>
      </c>
      <c r="G20" s="11">
        <f>'INPUT DATA'!G199</f>
        <v>1.4709975E-2</v>
      </c>
      <c r="H20" s="11">
        <f>'INPUT DATA'!H199</f>
        <v>1.5690639999999999E-2</v>
      </c>
      <c r="I20" s="11">
        <f>'INPUT DATA'!I199</f>
        <v>2.2555295E-2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1.4709975E-2</v>
      </c>
      <c r="P20" s="11">
        <f>'INPUT DATA'!P199</f>
        <v>1.372931E-2</v>
      </c>
      <c r="Q20" s="11">
        <f>'INPUT DATA'!Q199</f>
        <v>1.7651969999999999E-2</v>
      </c>
      <c r="R20" s="11">
        <f>'INPUT DATA'!R199</f>
        <v>1.7651969999999999E-2</v>
      </c>
      <c r="S20" s="11">
        <f>'INPUT DATA'!S199</f>
        <v>2.1574630000000001E-2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0</v>
      </c>
      <c r="AA20" s="11">
        <f>'INPUT DATA'!AA199</f>
        <v>0</v>
      </c>
      <c r="AB20" s="11">
        <f>'INPUT DATA'!AB199</f>
        <v>0</v>
      </c>
      <c r="AC20" s="11">
        <f>'INPUT DATA'!AC199</f>
        <v>0</v>
      </c>
      <c r="AD20" s="11">
        <f>'INPUT DATA'!AD199</f>
        <v>0</v>
      </c>
      <c r="AE20" s="11">
        <f>'INPUT DATA'!AE199</f>
        <v>0</v>
      </c>
      <c r="AF20" s="11">
        <f>'INPUT DATA'!AF199</f>
        <v>0</v>
      </c>
      <c r="AG20" s="11">
        <f>'INPUT DATA'!AG199</f>
        <v>0</v>
      </c>
      <c r="AH20" s="11">
        <f>'INPUT DATA'!AH199</f>
        <v>0</v>
      </c>
      <c r="AI20" s="11">
        <f>'INPUT DATA'!AI199</f>
        <v>0</v>
      </c>
      <c r="AJ20" s="11">
        <f>'INPUT DATA'!AJ199</f>
        <v>0</v>
      </c>
      <c r="AK20" s="11">
        <f>'INPUT DATA'!AK199</f>
        <v>0</v>
      </c>
    </row>
    <row r="21" spans="1:37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0.37</v>
      </c>
      <c r="E21" s="11">
        <f>'INPUT DATA'!E200</f>
        <v>1.1200000000000001</v>
      </c>
      <c r="F21" s="11">
        <f>'INPUT DATA'!F200</f>
        <v>1.93</v>
      </c>
      <c r="G21" s="11">
        <f>'INPUT DATA'!G200</f>
        <v>2.4300000000000002</v>
      </c>
      <c r="H21" s="11">
        <f>'INPUT DATA'!H200</f>
        <v>2.8</v>
      </c>
      <c r="I21" s="11">
        <f>'INPUT DATA'!I200</f>
        <v>3.06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1">
        <f>'INPUT DATA'!O200</f>
        <v>2.0593965000000001</v>
      </c>
      <c r="P21" s="11">
        <f>'INPUT DATA'!P200</f>
        <v>1.9122967499999999</v>
      </c>
      <c r="Q21" s="11">
        <f>'INPUT DATA'!Q200</f>
        <v>2.5497290000000001</v>
      </c>
      <c r="R21" s="11">
        <f>'INPUT DATA'!R200</f>
        <v>2.3437893500000002</v>
      </c>
      <c r="S21" s="11">
        <f>'INPUT DATA'!S200</f>
        <v>2.8439285000000001</v>
      </c>
      <c r="T21" s="11"/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1">
        <f>'INPUT DATA'!Z200</f>
        <v>2.41</v>
      </c>
      <c r="AA21" s="11">
        <f>'INPUT DATA'!AA200</f>
        <v>2.2999999999999998</v>
      </c>
      <c r="AB21" s="11">
        <f>'INPUT DATA'!AB200</f>
        <v>2.2999999999999998</v>
      </c>
      <c r="AC21" s="11">
        <f>'INPUT DATA'!AC200</f>
        <v>1.9</v>
      </c>
      <c r="AD21" s="11">
        <f>'INPUT DATA'!AD200</f>
        <v>2.15</v>
      </c>
      <c r="AE21" s="11">
        <f>'INPUT DATA'!AE200</f>
        <v>2.3199999999999998</v>
      </c>
      <c r="AF21" s="11">
        <f>'INPUT DATA'!AF200</f>
        <v>2.2000000000000002</v>
      </c>
      <c r="AG21" s="11">
        <f>'INPUT DATA'!AG200</f>
        <v>2.2400000000000002</v>
      </c>
      <c r="AH21" s="11">
        <f>'INPUT DATA'!AH200</f>
        <v>2.33</v>
      </c>
      <c r="AI21" s="11">
        <f>'INPUT DATA'!AI200</f>
        <v>2.29</v>
      </c>
      <c r="AJ21" s="11">
        <f>'INPUT DATA'!AJ200</f>
        <v>2.34</v>
      </c>
      <c r="AK21" s="11">
        <f>'INPUT DATA'!AK200</f>
        <v>2.4</v>
      </c>
    </row>
    <row r="22" spans="1:37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0.3</v>
      </c>
      <c r="E22" s="11">
        <f>'INPUT DATA'!E201</f>
        <v>0.97</v>
      </c>
      <c r="F22" s="11">
        <f>'INPUT DATA'!F201</f>
        <v>1.73</v>
      </c>
      <c r="G22" s="11">
        <f>'INPUT DATA'!G201</f>
        <v>2.14</v>
      </c>
      <c r="H22" s="11">
        <f>'INPUT DATA'!H201</f>
        <v>2.52</v>
      </c>
      <c r="I22" s="11">
        <f>'INPUT DATA'!I201</f>
        <v>2.82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1">
        <f>'INPUT DATA'!O201</f>
        <v>0</v>
      </c>
      <c r="P22" s="11">
        <f>'INPUT DATA'!P201</f>
        <v>0</v>
      </c>
      <c r="Q22" s="11">
        <f>'INPUT DATA'!Q201</f>
        <v>0</v>
      </c>
      <c r="R22" s="11">
        <f>'INPUT DATA'!R201</f>
        <v>0</v>
      </c>
      <c r="S22" s="11">
        <f>'INPUT DATA'!S201</f>
        <v>0</v>
      </c>
      <c r="T22" s="11"/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1">
        <f>'INPUT DATA'!Z201</f>
        <v>2.15</v>
      </c>
      <c r="AA22" s="11">
        <f>'INPUT DATA'!AA201</f>
        <v>2.1</v>
      </c>
      <c r="AB22" s="11">
        <f>'INPUT DATA'!AB201</f>
        <v>2</v>
      </c>
      <c r="AC22" s="11">
        <f>'INPUT DATA'!AC201</f>
        <v>1.45</v>
      </c>
      <c r="AD22" s="11">
        <f>'INPUT DATA'!AD201</f>
        <v>1.9</v>
      </c>
      <c r="AE22" s="11">
        <f>'INPUT DATA'!AE201</f>
        <v>2.1</v>
      </c>
      <c r="AF22" s="11">
        <f>'INPUT DATA'!AF201</f>
        <v>2</v>
      </c>
      <c r="AG22" s="11">
        <f>'INPUT DATA'!AG201</f>
        <v>1.9</v>
      </c>
      <c r="AH22" s="11">
        <f>'INPUT DATA'!AH201</f>
        <v>2</v>
      </c>
      <c r="AI22" s="11">
        <f>'INPUT DATA'!AI201</f>
        <v>1.9</v>
      </c>
      <c r="AJ22" s="11">
        <f>'INPUT DATA'!AJ201</f>
        <v>2</v>
      </c>
      <c r="AK22" s="11">
        <f>'INPUT DATA'!AK201</f>
        <v>2.1</v>
      </c>
    </row>
    <row r="23" spans="1:37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41960.109599999996</v>
      </c>
      <c r="E23" s="9">
        <f>'INPUT DATA'!E202</f>
        <v>41960.109599999996</v>
      </c>
      <c r="F23" s="9">
        <f>'INPUT DATA'!F202</f>
        <v>41960.109599999996</v>
      </c>
      <c r="G23" s="9">
        <f>'INPUT DATA'!G202</f>
        <v>41960.109599999996</v>
      </c>
      <c r="H23" s="9">
        <f>'INPUT DATA'!H202</f>
        <v>41960.109599999996</v>
      </c>
      <c r="I23" s="9">
        <f>'INPUT DATA'!I202</f>
        <v>41960.109599999996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0</v>
      </c>
      <c r="P23" s="9">
        <f>'INPUT DATA'!P202</f>
        <v>0</v>
      </c>
      <c r="Q23" s="9">
        <f>'INPUT DATA'!Q202</f>
        <v>0</v>
      </c>
      <c r="R23" s="9">
        <f>'INPUT DATA'!R202</f>
        <v>0</v>
      </c>
      <c r="S23" s="9">
        <f>'INPUT DATA'!S202</f>
        <v>0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41090</v>
      </c>
      <c r="AA23" s="9">
        <f>'INPUT DATA'!AA202</f>
        <v>41090</v>
      </c>
      <c r="AB23" s="9">
        <f>'INPUT DATA'!AB202</f>
        <v>41170</v>
      </c>
      <c r="AC23" s="9">
        <f>'INPUT DATA'!AC202</f>
        <v>41140</v>
      </c>
      <c r="AD23" s="9">
        <f>'INPUT DATA'!AD202</f>
        <v>41250</v>
      </c>
      <c r="AE23" s="9">
        <f>'INPUT DATA'!AE202</f>
        <v>41310</v>
      </c>
      <c r="AF23" s="9">
        <f>'INPUT DATA'!AF202</f>
        <v>41310</v>
      </c>
      <c r="AG23" s="9">
        <f>'INPUT DATA'!AG202</f>
        <v>41470</v>
      </c>
      <c r="AH23" s="9">
        <f>'INPUT DATA'!AH202</f>
        <v>41280</v>
      </c>
      <c r="AI23" s="9">
        <f>'INPUT DATA'!AI202</f>
        <v>40100</v>
      </c>
      <c r="AJ23" s="9">
        <f>'INPUT DATA'!AJ202</f>
        <v>40100</v>
      </c>
      <c r="AK23" s="9">
        <f>'INPUT DATA'!AK202</f>
        <v>41190</v>
      </c>
    </row>
    <row r="24" spans="1:37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34</v>
      </c>
      <c r="E24" s="11">
        <f>'INPUT DATA'!E203</f>
        <v>88</v>
      </c>
      <c r="F24" s="11">
        <f>'INPUT DATA'!F203</f>
        <v>134</v>
      </c>
      <c r="G24" s="11">
        <f>'INPUT DATA'!G203</f>
        <v>158</v>
      </c>
      <c r="H24" s="11">
        <f>'INPUT DATA'!H203</f>
        <v>176</v>
      </c>
      <c r="I24" s="11">
        <f>'INPUT DATA'!I203</f>
        <v>193.5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175</v>
      </c>
      <c r="P24" s="11">
        <f>'INPUT DATA'!P203</f>
        <v>167</v>
      </c>
      <c r="Q24" s="11">
        <f>'INPUT DATA'!Q203</f>
        <v>197</v>
      </c>
      <c r="R24" s="11">
        <f>'INPUT DATA'!R203</f>
        <v>189</v>
      </c>
      <c r="S24" s="11">
        <f>'INPUT DATA'!S203</f>
        <v>210</v>
      </c>
      <c r="T24" s="11"/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180</v>
      </c>
      <c r="AA24" s="11">
        <f>'INPUT DATA'!AA203</f>
        <v>152.5</v>
      </c>
      <c r="AB24" s="11">
        <f>'INPUT DATA'!AB203</f>
        <v>167.5</v>
      </c>
      <c r="AC24" s="11">
        <f>'INPUT DATA'!AC203</f>
        <v>135</v>
      </c>
      <c r="AD24" s="11">
        <f>'INPUT DATA'!AD203</f>
        <v>167.5</v>
      </c>
      <c r="AE24" s="11">
        <f>'INPUT DATA'!AE203</f>
        <v>170</v>
      </c>
      <c r="AF24" s="11">
        <f>'INPUT DATA'!AF203</f>
        <v>174</v>
      </c>
      <c r="AG24" s="11">
        <f>'INPUT DATA'!AG203</f>
        <v>182.5</v>
      </c>
      <c r="AH24" s="11">
        <f>'INPUT DATA'!AH203</f>
        <v>182.5</v>
      </c>
      <c r="AI24" s="11">
        <f>'INPUT DATA'!AI203</f>
        <v>170</v>
      </c>
      <c r="AJ24" s="11">
        <f>'INPUT DATA'!AJ203</f>
        <v>181.5</v>
      </c>
      <c r="AK24" s="11">
        <f>'INPUT DATA'!AK203</f>
        <v>176</v>
      </c>
    </row>
    <row r="25" spans="1:37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65</v>
      </c>
      <c r="E25" s="11">
        <f>'INPUT DATA'!E204</f>
        <v>115</v>
      </c>
      <c r="F25" s="11">
        <f>'INPUT DATA'!F204</f>
        <v>157.5</v>
      </c>
      <c r="G25" s="11">
        <f>'INPUT DATA'!G204</f>
        <v>177.5</v>
      </c>
      <c r="H25" s="11">
        <f>'INPUT DATA'!H204</f>
        <v>195</v>
      </c>
      <c r="I25" s="11">
        <f>'INPUT DATA'!I204</f>
        <v>210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180</v>
      </c>
      <c r="P25" s="11">
        <f>'INPUT DATA'!P204</f>
        <v>170</v>
      </c>
      <c r="Q25" s="11">
        <f>'INPUT DATA'!Q204</f>
        <v>200</v>
      </c>
      <c r="R25" s="11">
        <f>'INPUT DATA'!R204</f>
        <v>192.5</v>
      </c>
      <c r="S25" s="11">
        <f>'INPUT DATA'!S204</f>
        <v>205</v>
      </c>
      <c r="T25" s="11"/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97.5</v>
      </c>
      <c r="AA25" s="11">
        <f>'INPUT DATA'!AA204</f>
        <v>92.5</v>
      </c>
      <c r="AB25" s="11">
        <f>'INPUT DATA'!AB204</f>
        <v>115</v>
      </c>
      <c r="AC25" s="11">
        <f>'INPUT DATA'!AC204</f>
        <v>157.5</v>
      </c>
      <c r="AD25" s="11">
        <f>'INPUT DATA'!AD204</f>
        <v>90</v>
      </c>
      <c r="AE25" s="11">
        <f>'INPUT DATA'!AE204</f>
        <v>92.5</v>
      </c>
      <c r="AF25" s="11">
        <f>'INPUT DATA'!AF204</f>
        <v>87.5</v>
      </c>
      <c r="AG25" s="11">
        <f>'INPUT DATA'!AG204</f>
        <v>87.5</v>
      </c>
      <c r="AH25" s="11">
        <f>'INPUT DATA'!AH204</f>
        <v>90</v>
      </c>
      <c r="AI25" s="11">
        <f>'INPUT DATA'!AI204</f>
        <v>90</v>
      </c>
      <c r="AJ25" s="11">
        <f>'INPUT DATA'!AJ204</f>
        <v>92.5</v>
      </c>
      <c r="AK25" s="11">
        <f>'INPUT DATA'!AK204</f>
        <v>180</v>
      </c>
    </row>
    <row r="26" spans="1:37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6.3743224999999997E-3</v>
      </c>
      <c r="E26" s="11">
        <f>'INPUT DATA'!E205</f>
        <v>1.12776475E-2</v>
      </c>
      <c r="F26" s="11">
        <f>'INPUT DATA'!F205</f>
        <v>1.5445473750000001E-2</v>
      </c>
      <c r="G26" s="11">
        <f>'INPUT DATA'!G205</f>
        <v>1.7406803750000002E-2</v>
      </c>
      <c r="H26" s="11">
        <f>'INPUT DATA'!H205</f>
        <v>1.9122967500000001E-2</v>
      </c>
      <c r="I26" s="11">
        <f>'INPUT DATA'!I205</f>
        <v>2.0593964999999999E-2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1.7651969999999999E-2</v>
      </c>
      <c r="P26" s="11">
        <f>'INPUT DATA'!P205</f>
        <v>1.6671305000000001E-2</v>
      </c>
      <c r="Q26" s="11">
        <f>'INPUT DATA'!Q205</f>
        <v>1.96133E-2</v>
      </c>
      <c r="R26" s="11">
        <f>'INPUT DATA'!R205</f>
        <v>1.8877801249999999E-2</v>
      </c>
      <c r="S26" s="11">
        <f>'INPUT DATA'!S205</f>
        <v>2.0103632499999999E-2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9.5614837500000004E-3</v>
      </c>
      <c r="AA26" s="11">
        <f>'INPUT DATA'!AA205</f>
        <v>9.0711512499999994E-3</v>
      </c>
      <c r="AB26" s="11">
        <f>'INPUT DATA'!AB205</f>
        <v>1.12776475E-2</v>
      </c>
      <c r="AC26" s="11">
        <f>'INPUT DATA'!AC205</f>
        <v>1.5445473750000001E-2</v>
      </c>
      <c r="AD26" s="11">
        <f>'INPUT DATA'!AD205</f>
        <v>8.8259849999999997E-3</v>
      </c>
      <c r="AE26" s="11">
        <f>'INPUT DATA'!AE205</f>
        <v>9.0711512499999994E-3</v>
      </c>
      <c r="AF26" s="11">
        <f>'INPUT DATA'!AF205</f>
        <v>8.5808187500000001E-3</v>
      </c>
      <c r="AG26" s="11">
        <f>'INPUT DATA'!AG205</f>
        <v>8.5808187500000001E-3</v>
      </c>
      <c r="AH26" s="11">
        <f>'INPUT DATA'!AH205</f>
        <v>8.8259849999999997E-3</v>
      </c>
      <c r="AI26" s="11">
        <f>'INPUT DATA'!AI205</f>
        <v>8.8259849999999997E-3</v>
      </c>
      <c r="AJ26" s="11">
        <f>'INPUT DATA'!AJ205</f>
        <v>9.0711512499999994E-3</v>
      </c>
      <c r="AK26" s="11">
        <f>'INPUT DATA'!AK205</f>
        <v>1.7651969999999999E-2</v>
      </c>
    </row>
    <row r="27" spans="1:37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5620</v>
      </c>
      <c r="E27" s="11">
        <f>'INPUT DATA'!E206</f>
        <v>9240</v>
      </c>
      <c r="F27" s="11">
        <f>'INPUT DATA'!F206</f>
        <v>11451.5</v>
      </c>
      <c r="G27" s="11">
        <f>'INPUT DATA'!G206</f>
        <v>12285</v>
      </c>
      <c r="H27" s="11">
        <f>'INPUT DATA'!H206</f>
        <v>12994.5</v>
      </c>
      <c r="I27" s="11">
        <f>'INPUT DATA'!I206</f>
        <v>13552.5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11875</v>
      </c>
      <c r="P27" s="11">
        <f>'INPUT DATA'!P206</f>
        <v>11606</v>
      </c>
      <c r="Q27" s="11">
        <f>'INPUT DATA'!Q206</f>
        <v>12787.5</v>
      </c>
      <c r="R27" s="11">
        <f>'INPUT DATA'!R206</f>
        <v>12520</v>
      </c>
      <c r="S27" s="11">
        <f>'INPUT DATA'!S206</f>
        <v>13430</v>
      </c>
      <c r="T27" s="11"/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12410</v>
      </c>
      <c r="AA27" s="11">
        <f>'INPUT DATA'!AA206</f>
        <v>12235</v>
      </c>
      <c r="AB27" s="11">
        <f>'INPUT DATA'!AB206</f>
        <v>12210</v>
      </c>
      <c r="AC27" s="11">
        <f>'INPUT DATA'!AC206</f>
        <v>11074</v>
      </c>
      <c r="AD27" s="11">
        <f>'INPUT DATA'!AD206</f>
        <v>12127.5</v>
      </c>
      <c r="AE27" s="11">
        <f>'INPUT DATA'!AE206</f>
        <v>12232.5</v>
      </c>
      <c r="AF27" s="11">
        <f>'INPUT DATA'!AF206</f>
        <v>12170</v>
      </c>
      <c r="AG27" s="11">
        <f>'INPUT DATA'!AG206</f>
        <v>12410</v>
      </c>
      <c r="AH27" s="11">
        <f>'INPUT DATA'!AH206</f>
        <v>12315</v>
      </c>
      <c r="AI27" s="11">
        <f>'INPUT DATA'!AI206</f>
        <v>12310</v>
      </c>
      <c r="AJ27" s="11">
        <f>'INPUT DATA'!AJ206</f>
        <v>12380</v>
      </c>
      <c r="AK27" s="11">
        <f>'INPUT DATA'!AK206</f>
        <v>12360</v>
      </c>
    </row>
    <row r="28" spans="1:37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27</v>
      </c>
      <c r="E28" s="11">
        <f>'INPUT DATA'!E207</f>
        <v>26</v>
      </c>
      <c r="F28" s="11">
        <f>'INPUT DATA'!F207</f>
        <v>26</v>
      </c>
      <c r="G28" s="11">
        <f>'INPUT DATA'!G207</f>
        <v>27</v>
      </c>
      <c r="H28" s="11">
        <f>'INPUT DATA'!H207</f>
        <v>27</v>
      </c>
      <c r="I28" s="11">
        <f>'INPUT DATA'!I207</f>
        <v>28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36</v>
      </c>
      <c r="P28" s="11">
        <f>'INPUT DATA'!P207</f>
        <v>36</v>
      </c>
      <c r="Q28" s="11">
        <f>'INPUT DATA'!Q207</f>
        <v>36</v>
      </c>
      <c r="R28" s="11">
        <f>'INPUT DATA'!R207</f>
        <v>36</v>
      </c>
      <c r="S28" s="11">
        <f>'INPUT DATA'!S207</f>
        <v>36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36</v>
      </c>
      <c r="AA28" s="11">
        <f>'INPUT DATA'!AA207</f>
        <v>36</v>
      </c>
      <c r="AB28" s="11">
        <f>'INPUT DATA'!AB207</f>
        <v>36</v>
      </c>
      <c r="AC28" s="11">
        <f>'INPUT DATA'!AC207</f>
        <v>36</v>
      </c>
      <c r="AD28" s="11">
        <f>'INPUT DATA'!AD207</f>
        <v>39</v>
      </c>
      <c r="AE28" s="11">
        <f>'INPUT DATA'!AE207</f>
        <v>38</v>
      </c>
      <c r="AF28" s="11">
        <f>'INPUT DATA'!AF207</f>
        <v>36</v>
      </c>
      <c r="AG28" s="11">
        <f>'INPUT DATA'!AG207</f>
        <v>34</v>
      </c>
      <c r="AH28" s="11">
        <f>'INPUT DATA'!AH207</f>
        <v>34</v>
      </c>
      <c r="AI28" s="11">
        <f>'INPUT DATA'!AI207</f>
        <v>33</v>
      </c>
      <c r="AJ28" s="11">
        <f>'INPUT DATA'!AJ207</f>
        <v>34</v>
      </c>
      <c r="AK28" s="11">
        <f>'INPUT DATA'!AK207</f>
        <v>34</v>
      </c>
    </row>
    <row r="29" spans="1:37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300.14999999999998</v>
      </c>
      <c r="E29" s="11">
        <f>'INPUT DATA'!E208</f>
        <v>299.14999999999998</v>
      </c>
      <c r="F29" s="11">
        <f>'INPUT DATA'!F208</f>
        <v>299.14999999999998</v>
      </c>
      <c r="G29" s="11">
        <f>'INPUT DATA'!G208</f>
        <v>300.14999999999998</v>
      </c>
      <c r="H29" s="11">
        <f>'INPUT DATA'!H208</f>
        <v>300.14999999999998</v>
      </c>
      <c r="I29" s="11">
        <f>'INPUT DATA'!I208</f>
        <v>301.14999999999998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309.14999999999998</v>
      </c>
      <c r="P29" s="11">
        <f>'INPUT DATA'!P208</f>
        <v>309.14999999999998</v>
      </c>
      <c r="Q29" s="11">
        <f>'INPUT DATA'!Q208</f>
        <v>309.14999999999998</v>
      </c>
      <c r="R29" s="11">
        <f>'INPUT DATA'!R208</f>
        <v>309.14999999999998</v>
      </c>
      <c r="S29" s="11">
        <f>'INPUT DATA'!S208</f>
        <v>309.14999999999998</v>
      </c>
      <c r="T29" s="11"/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309.14999999999998</v>
      </c>
      <c r="AA29" s="11">
        <f>'INPUT DATA'!AA208</f>
        <v>309.14999999999998</v>
      </c>
      <c r="AB29" s="11">
        <f>'INPUT DATA'!AB208</f>
        <v>309.14999999999998</v>
      </c>
      <c r="AC29" s="11">
        <f>'INPUT DATA'!AC208</f>
        <v>309.14999999999998</v>
      </c>
      <c r="AD29" s="11">
        <f>'INPUT DATA'!AD208</f>
        <v>312.14999999999998</v>
      </c>
      <c r="AE29" s="11">
        <f>'INPUT DATA'!AE208</f>
        <v>311.14999999999998</v>
      </c>
      <c r="AF29" s="11">
        <f>'INPUT DATA'!AF208</f>
        <v>309.14999999999998</v>
      </c>
      <c r="AG29" s="11">
        <f>'INPUT DATA'!AG208</f>
        <v>307.14999999999998</v>
      </c>
      <c r="AH29" s="11">
        <f>'INPUT DATA'!AH208</f>
        <v>307.14999999999998</v>
      </c>
      <c r="AI29" s="11">
        <f>'INPUT DATA'!AI208</f>
        <v>306.14999999999998</v>
      </c>
      <c r="AJ29" s="11">
        <f>'INPUT DATA'!AJ208</f>
        <v>307.14999999999998</v>
      </c>
      <c r="AK29" s="11">
        <f>'INPUT DATA'!AK208</f>
        <v>307.14999999999998</v>
      </c>
    </row>
    <row r="30" spans="1:37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30" customFormat="1" ht="15.75">
      <c r="A31" s="30">
        <f>'INPUT DATA'!A210</f>
        <v>1</v>
      </c>
      <c r="B31" s="30" t="str">
        <f>'INPUT DATA'!B210</f>
        <v>Fixed Fluid Data</v>
      </c>
      <c r="L31" s="30">
        <f>A31</f>
        <v>1</v>
      </c>
      <c r="M31" s="30" t="str">
        <f>B31</f>
        <v>Fixed Fluid Data</v>
      </c>
      <c r="X31" s="30" t="str">
        <f>B31</f>
        <v>Fixed Fluid Data</v>
      </c>
    </row>
    <row r="32" spans="1:37" s="53" customFormat="1">
      <c r="B32" s="53" t="str">
        <f>'INPUT DATA'!B211</f>
        <v>P Inlet Fixed Fluid</v>
      </c>
      <c r="C32" s="53" t="str">
        <f>'INPUT DATA'!C211</f>
        <v>bar</v>
      </c>
      <c r="D32" s="53">
        <f>'INPUT DATA'!D211</f>
        <v>1.0100933836999999</v>
      </c>
      <c r="E32" s="53">
        <f>'INPUT DATA'!E211</f>
        <v>1.0089441404200001</v>
      </c>
      <c r="F32" s="53">
        <f>'INPUT DATA'!F211</f>
        <v>1.0069045974699999</v>
      </c>
      <c r="G32" s="53">
        <f>'INPUT DATA'!G211</f>
        <v>1.0056986197700002</v>
      </c>
      <c r="H32" s="53">
        <f>'INPUT DATA'!H211</f>
        <v>1.0050611875200002</v>
      </c>
      <c r="I32" s="53">
        <f>'INPUT DATA'!I211</f>
        <v>1.0044727885200002</v>
      </c>
      <c r="M32" s="53" t="str">
        <f>'INPUT DATA'!M211</f>
        <v>P Inlet Fixed Fluid</v>
      </c>
      <c r="N32" s="53" t="str">
        <f>'INPUT DATA'!N211</f>
        <v>bar</v>
      </c>
      <c r="O32" s="53">
        <f>'INPUT DATA'!O211</f>
        <v>1.01061939582</v>
      </c>
      <c r="P32" s="53">
        <f>'INPUT DATA'!P211</f>
        <v>1.0107174623200001</v>
      </c>
      <c r="Q32" s="53">
        <f>'INPUT DATA'!Q211</f>
        <v>1.00934453132</v>
      </c>
      <c r="R32" s="53">
        <f>'INPUT DATA'!R211</f>
        <v>1.0100800300700001</v>
      </c>
      <c r="S32" s="53">
        <f>'INPUT DATA'!S211</f>
        <v>1.0086090325700001</v>
      </c>
      <c r="X32" s="53" t="str">
        <f>'INPUT DATA'!X211</f>
        <v>P Inlet Fixed Fluid</v>
      </c>
      <c r="Y32" s="53" t="str">
        <f>'INPUT DATA'!Y211</f>
        <v>bar</v>
      </c>
      <c r="Z32" s="53">
        <f>'INPUT DATA'!Z211</f>
        <v>-8.0904862500000008E-3</v>
      </c>
      <c r="AA32" s="53">
        <f>'INPUT DATA'!AA211</f>
        <v>-8.0904862500000008E-3</v>
      </c>
      <c r="AB32" s="53">
        <f>'INPUT DATA'!AB211</f>
        <v>-7.1098212500000004E-3</v>
      </c>
      <c r="AC32" s="53">
        <f>'INPUT DATA'!AC211</f>
        <v>-6.3743224999999997E-3</v>
      </c>
      <c r="AD32" s="53">
        <f>'INPUT DATA'!AD211</f>
        <v>-5.8839900000000004E-3</v>
      </c>
      <c r="AE32" s="53">
        <f>'INPUT DATA'!AE211</f>
        <v>-4.6581587500000004E-3</v>
      </c>
      <c r="AF32" s="53">
        <f>'INPUT DATA'!AF211</f>
        <v>-5.4426907499999996E-3</v>
      </c>
      <c r="AG32" s="53">
        <f>'INPUT DATA'!AG211</f>
        <v>-7.6001537499999997E-3</v>
      </c>
      <c r="AH32" s="53">
        <f>'INPUT DATA'!AH211</f>
        <v>-3.67749375E-3</v>
      </c>
      <c r="AI32" s="53">
        <f>'INPUT DATA'!AI211</f>
        <v>-3.9226599999999997E-3</v>
      </c>
      <c r="AJ32" s="53">
        <f>'INPUT DATA'!AJ211</f>
        <v>-4.4129924999999999E-3</v>
      </c>
      <c r="AK32" s="53">
        <f>'INPUT DATA'!AK211</f>
        <v>-4.903325E-3</v>
      </c>
    </row>
    <row r="33" spans="1:37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287.29999999999995</v>
      </c>
      <c r="E33" s="11">
        <f>'INPUT DATA'!E212</f>
        <v>288.34999999999997</v>
      </c>
      <c r="F33" s="11">
        <f>'INPUT DATA'!F212</f>
        <v>289.29999999999995</v>
      </c>
      <c r="G33" s="11">
        <f>'INPUT DATA'!G212</f>
        <v>291.5</v>
      </c>
      <c r="H33" s="11">
        <f>'INPUT DATA'!H212</f>
        <v>290.59999999999997</v>
      </c>
      <c r="I33" s="11">
        <f>'INPUT DATA'!I212</f>
        <v>291.7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1">
        <f>'INPUT DATA'!O212</f>
        <v>309.89999999999998</v>
      </c>
      <c r="P33" s="41">
        <f>'INPUT DATA'!P212</f>
        <v>310.39999999999998</v>
      </c>
      <c r="Q33" s="41">
        <f>'INPUT DATA'!Q212</f>
        <v>310.39999999999998</v>
      </c>
      <c r="R33" s="41">
        <f>'INPUT DATA'!R212</f>
        <v>310.39999999999998</v>
      </c>
      <c r="S33" s="41">
        <f>'INPUT DATA'!S212</f>
        <v>310.39999999999998</v>
      </c>
      <c r="T33" s="11"/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304.14999999999998</v>
      </c>
      <c r="AA33" s="11">
        <f>'INPUT DATA'!AA212</f>
        <v>301.14999999999998</v>
      </c>
      <c r="AB33" s="11">
        <f>'INPUT DATA'!AB212</f>
        <v>303.14999999999998</v>
      </c>
      <c r="AC33" s="11">
        <f>'INPUT DATA'!AC212</f>
        <v>297.14999999999998</v>
      </c>
      <c r="AD33" s="11">
        <f>'INPUT DATA'!AD212</f>
        <v>311.14999999999998</v>
      </c>
      <c r="AE33" s="11">
        <f>'INPUT DATA'!AE212</f>
        <v>301.14999999999998</v>
      </c>
      <c r="AF33" s="11">
        <f>'INPUT DATA'!AF212</f>
        <v>306.64999999999998</v>
      </c>
      <c r="AG33" s="11">
        <f>'INPUT DATA'!AG212</f>
        <v>309.14999999999998</v>
      </c>
      <c r="AH33" s="11">
        <f>'INPUT DATA'!AH212</f>
        <v>308.14999999999998</v>
      </c>
      <c r="AI33" s="11">
        <f>'INPUT DATA'!AI212</f>
        <v>312.14999999999998</v>
      </c>
      <c r="AJ33" s="11">
        <f>'INPUT DATA'!AJ212</f>
        <v>309.14999999999998</v>
      </c>
      <c r="AK33" s="11">
        <f>'INPUT DATA'!AK212</f>
        <v>306.14999999999998</v>
      </c>
    </row>
    <row r="34" spans="1:37" s="53" customFormat="1">
      <c r="B34" s="53" t="str">
        <f>'INPUT DATA'!B213</f>
        <v>P Exhaust Fixed Fluid</v>
      </c>
      <c r="C34" s="53" t="str">
        <f>'INPUT DATA'!C213</f>
        <v>bar</v>
      </c>
      <c r="D34" s="53">
        <f>'INPUT DATA'!D213</f>
        <v>1.0105837162</v>
      </c>
      <c r="E34" s="53">
        <f>'INPUT DATA'!E213</f>
        <v>1.01423973142</v>
      </c>
      <c r="F34" s="53">
        <f>'INPUT DATA'!F213</f>
        <v>1.0174957794699999</v>
      </c>
      <c r="G34" s="53">
        <f>'INPUT DATA'!G213</f>
        <v>1.0236938225200001</v>
      </c>
      <c r="H34" s="53">
        <f>'INPUT DATA'!H213</f>
        <v>1.0246744875200002</v>
      </c>
      <c r="I34" s="53">
        <f>'INPUT DATA'!I213</f>
        <v>1.0315391425200002</v>
      </c>
      <c r="M34" s="53" t="str">
        <f>'INPUT DATA'!M213</f>
        <v>P Exhaust Fixed Fluid</v>
      </c>
      <c r="N34" s="53" t="str">
        <f>'INPUT DATA'!N213</f>
        <v>bar</v>
      </c>
      <c r="O34" s="53">
        <f>'INPUT DATA'!O213</f>
        <v>1.02969333007</v>
      </c>
      <c r="P34" s="53">
        <f>'INPUT DATA'!P213</f>
        <v>1.02871266507</v>
      </c>
      <c r="Q34" s="53">
        <f>'INPUT DATA'!Q213</f>
        <v>1.03263532507</v>
      </c>
      <c r="R34" s="53">
        <f>'INPUT DATA'!R213</f>
        <v>1.03263532507</v>
      </c>
      <c r="S34" s="53">
        <f>'INPUT DATA'!S213</f>
        <v>1.03655798507</v>
      </c>
      <c r="X34" s="53" t="str">
        <f>'INPUT DATA'!X213</f>
        <v>P Exhaust Fixed Fluid</v>
      </c>
      <c r="Y34" s="53" t="str">
        <f>'INPUT DATA'!Y213</f>
        <v>bar</v>
      </c>
      <c r="Z34" s="53">
        <f>'INPUT DATA'!Z213</f>
        <v>0</v>
      </c>
      <c r="AA34" s="53">
        <f>'INPUT DATA'!AA213</f>
        <v>0</v>
      </c>
      <c r="AB34" s="53">
        <f>'INPUT DATA'!AB213</f>
        <v>0</v>
      </c>
      <c r="AC34" s="53">
        <f>'INPUT DATA'!AC213</f>
        <v>0</v>
      </c>
      <c r="AD34" s="53">
        <f>'INPUT DATA'!AD213</f>
        <v>0</v>
      </c>
      <c r="AE34" s="53">
        <f>'INPUT DATA'!AE213</f>
        <v>0</v>
      </c>
      <c r="AF34" s="53">
        <f>'INPUT DATA'!AF213</f>
        <v>0</v>
      </c>
      <c r="AG34" s="53">
        <f>'INPUT DATA'!AG213</f>
        <v>0</v>
      </c>
      <c r="AH34" s="53">
        <f>'INPUT DATA'!AH213</f>
        <v>0</v>
      </c>
      <c r="AI34" s="53">
        <f>'INPUT DATA'!AI213</f>
        <v>0</v>
      </c>
      <c r="AJ34" s="53">
        <f>'INPUT DATA'!AJ213</f>
        <v>0</v>
      </c>
      <c r="AK34" s="53">
        <f>'INPUT DATA'!AK213</f>
        <v>0</v>
      </c>
    </row>
    <row r="35" spans="1:37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497.15</v>
      </c>
      <c r="E35" s="11">
        <f>'INPUT DATA'!E214</f>
        <v>493.65</v>
      </c>
      <c r="F35" s="11">
        <f>'INPUT DATA'!F214</f>
        <v>470.15</v>
      </c>
      <c r="G35" s="11">
        <f>'INPUT DATA'!G214</f>
        <v>470.15</v>
      </c>
      <c r="H35" s="11">
        <f>'INPUT DATA'!H214</f>
        <v>478.15</v>
      </c>
      <c r="I35" s="11">
        <f>'INPUT DATA'!I214</f>
        <v>487.15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495.65</v>
      </c>
      <c r="P35" s="11">
        <f>'INPUT DATA'!P214</f>
        <v>498.15</v>
      </c>
      <c r="Q35" s="11">
        <f>'INPUT DATA'!Q214</f>
        <v>495.65</v>
      </c>
      <c r="R35" s="11">
        <f>'INPUT DATA'!R214</f>
        <v>495.65</v>
      </c>
      <c r="S35" s="11">
        <f>'INPUT DATA'!S214</f>
        <v>500.65</v>
      </c>
      <c r="T35" s="11"/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505.65</v>
      </c>
      <c r="AA35" s="11">
        <f>'INPUT DATA'!AA214</f>
        <v>488.15</v>
      </c>
      <c r="AB35" s="11">
        <f>'INPUT DATA'!AB214</f>
        <v>503.15</v>
      </c>
      <c r="AC35" s="11">
        <f>'INPUT DATA'!AC214</f>
        <v>505.65</v>
      </c>
      <c r="AD35" s="11">
        <f>'INPUT DATA'!AD214</f>
        <v>515.65</v>
      </c>
      <c r="AE35" s="11">
        <f>'INPUT DATA'!AE214</f>
        <v>503.15</v>
      </c>
      <c r="AF35" s="11">
        <f>'INPUT DATA'!AF214</f>
        <v>520.65</v>
      </c>
      <c r="AG35" s="11">
        <f>'INPUT DATA'!AG214</f>
        <v>529.65</v>
      </c>
      <c r="AH35" s="11">
        <f>'INPUT DATA'!AH214</f>
        <v>513.65</v>
      </c>
      <c r="AI35" s="11">
        <f>'INPUT DATA'!AI214</f>
        <v>525.65</v>
      </c>
      <c r="AJ35" s="11">
        <f>'INPUT DATA'!AJ214</f>
        <v>519.65</v>
      </c>
      <c r="AK35" s="11">
        <f>'INPUT DATA'!AK214</f>
        <v>508.65</v>
      </c>
    </row>
    <row r="36" spans="1:37" s="53" customFormat="1">
      <c r="B36" s="53" t="str">
        <f>'INPUT DATA'!B215</f>
        <v>P scavenge receiver</v>
      </c>
      <c r="C36" s="53" t="str">
        <f>'INPUT DATA'!C215</f>
        <v>bar</v>
      </c>
      <c r="D36" s="53">
        <f>'INPUT DATA'!D215</f>
        <v>1.3805837161999999</v>
      </c>
      <c r="E36" s="53">
        <f>'INPUT DATA'!E215</f>
        <v>2.1303170714200004</v>
      </c>
      <c r="F36" s="53">
        <f>'INPUT DATA'!F215</f>
        <v>2.9396504594700001</v>
      </c>
      <c r="G36" s="53">
        <f>'INPUT DATA'!G215</f>
        <v>3.4389838475200003</v>
      </c>
      <c r="H36" s="53">
        <f>'INPUT DATA'!H215</f>
        <v>3.80898384752</v>
      </c>
      <c r="I36" s="53">
        <f>'INPUT DATA'!I215</f>
        <v>4.0689838475200002</v>
      </c>
      <c r="M36" s="53" t="str">
        <f>'INPUT DATA'!M215</f>
        <v>P scavenge receiver</v>
      </c>
      <c r="N36" s="53" t="str">
        <f>'INPUT DATA'!N215</f>
        <v>bar</v>
      </c>
      <c r="O36" s="53">
        <f>'INPUT DATA'!O215</f>
        <v>3.0743798550700001</v>
      </c>
      <c r="P36" s="53">
        <f>'INPUT DATA'!P215</f>
        <v>2.9272801050699999</v>
      </c>
      <c r="Q36" s="53">
        <f>'INPUT DATA'!Q215</f>
        <v>3.5647123550700002</v>
      </c>
      <c r="R36" s="53">
        <f>'INPUT DATA'!R215</f>
        <v>3.3587727050700003</v>
      </c>
      <c r="S36" s="53">
        <f>'INPUT DATA'!S215</f>
        <v>3.8589118550700001</v>
      </c>
      <c r="X36" s="53" t="str">
        <f>'INPUT DATA'!X215</f>
        <v>P scavenge receiver</v>
      </c>
      <c r="Y36" s="53" t="str">
        <f>'INPUT DATA'!Y215</f>
        <v>bar</v>
      </c>
      <c r="Z36" s="53">
        <f>'INPUT DATA'!Z215</f>
        <v>2.41</v>
      </c>
      <c r="AA36" s="53">
        <f>'INPUT DATA'!AA215</f>
        <v>2.2999999999999998</v>
      </c>
      <c r="AB36" s="53">
        <f>'INPUT DATA'!AB215</f>
        <v>2.2999999999999998</v>
      </c>
      <c r="AC36" s="53">
        <f>'INPUT DATA'!AC215</f>
        <v>1.9</v>
      </c>
      <c r="AD36" s="53">
        <f>'INPUT DATA'!AD215</f>
        <v>2.15</v>
      </c>
      <c r="AE36" s="53">
        <f>'INPUT DATA'!AE215</f>
        <v>2.3199999999999998</v>
      </c>
      <c r="AF36" s="53">
        <f>'INPUT DATA'!AF215</f>
        <v>2.2000000000000002</v>
      </c>
      <c r="AG36" s="53">
        <f>'INPUT DATA'!AG215</f>
        <v>2.2400000000000002</v>
      </c>
      <c r="AH36" s="53">
        <f>'INPUT DATA'!AH215</f>
        <v>2.33</v>
      </c>
      <c r="AI36" s="53">
        <f>'INPUT DATA'!AI215</f>
        <v>2.29</v>
      </c>
      <c r="AJ36" s="53">
        <f>'INPUT DATA'!AJ215</f>
        <v>2.34</v>
      </c>
      <c r="AK36" s="53">
        <f>'INPUT DATA'!AK215</f>
        <v>2.4</v>
      </c>
    </row>
    <row r="37" spans="1:37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305.14999999999998</v>
      </c>
      <c r="E37" s="11">
        <f>'INPUT DATA'!E216</f>
        <v>299.14999999999998</v>
      </c>
      <c r="F37" s="11">
        <f>'INPUT DATA'!F216</f>
        <v>301.14999999999998</v>
      </c>
      <c r="G37" s="11">
        <f>'INPUT DATA'!G216</f>
        <v>303.14999999999998</v>
      </c>
      <c r="H37" s="11">
        <f>'INPUT DATA'!H216</f>
        <v>307.14999999999998</v>
      </c>
      <c r="I37" s="11">
        <f>'INPUT DATA'!I216</f>
        <v>309.14999999999998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315.14999999999998</v>
      </c>
      <c r="P37" s="11">
        <f>'INPUT DATA'!P216</f>
        <v>314.14999999999998</v>
      </c>
      <c r="Q37" s="11">
        <f>'INPUT DATA'!Q216</f>
        <v>317.14999999999998</v>
      </c>
      <c r="R37" s="11">
        <f>'INPUT DATA'!R216</f>
        <v>315.14999999999998</v>
      </c>
      <c r="S37" s="11">
        <f>'INPUT DATA'!S216</f>
        <v>319.14999999999998</v>
      </c>
      <c r="T37" s="11"/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316.14999999999998</v>
      </c>
      <c r="AA37" s="11">
        <f>'INPUT DATA'!AA216</f>
        <v>312.14999999999998</v>
      </c>
      <c r="AB37" s="11">
        <f>'INPUT DATA'!AB216</f>
        <v>313.14999999999998</v>
      </c>
      <c r="AC37" s="11">
        <f>'INPUT DATA'!AC216</f>
        <v>311.14999999999998</v>
      </c>
      <c r="AD37" s="11">
        <f>'INPUT DATA'!AD216</f>
        <v>317.14999999999998</v>
      </c>
      <c r="AE37" s="11">
        <f>'INPUT DATA'!AE216</f>
        <v>316.14999999999998</v>
      </c>
      <c r="AF37" s="11">
        <f>'INPUT DATA'!AF216</f>
        <v>315.14999999999998</v>
      </c>
      <c r="AG37" s="11">
        <f>'INPUT DATA'!AG216</f>
        <v>314.14999999999998</v>
      </c>
      <c r="AH37" s="11">
        <f>'INPUT DATA'!AH216</f>
        <v>314.14999999999998</v>
      </c>
      <c r="AI37" s="11">
        <f>'INPUT DATA'!AI216</f>
        <v>316.14999999999998</v>
      </c>
      <c r="AJ37" s="11">
        <f>'INPUT DATA'!AJ216</f>
        <v>314.14999999999998</v>
      </c>
      <c r="AK37" s="11">
        <f>'INPUT DATA'!AK216</f>
        <v>317.14999999999998</v>
      </c>
    </row>
    <row r="38" spans="1:37" s="53" customFormat="1">
      <c r="B38" s="53" t="str">
        <f>'INPUT DATA'!B217</f>
        <v>P Exhaust receiver</v>
      </c>
      <c r="C38" s="53" t="str">
        <f>'INPUT DATA'!C217</f>
        <v>bar</v>
      </c>
      <c r="D38" s="53">
        <f>'INPUT DATA'!D217</f>
        <v>1.3105837162</v>
      </c>
      <c r="E38" s="53">
        <f>'INPUT DATA'!E217</f>
        <v>1.98031707142</v>
      </c>
      <c r="F38" s="53">
        <f>'INPUT DATA'!F217</f>
        <v>2.73965045947</v>
      </c>
      <c r="G38" s="53">
        <f>'INPUT DATA'!G217</f>
        <v>3.1489838475200003</v>
      </c>
      <c r="H38" s="53">
        <f>'INPUT DATA'!H217</f>
        <v>3.5289838475200002</v>
      </c>
      <c r="I38" s="53">
        <f>'INPUT DATA'!I217</f>
        <v>3.82898384752</v>
      </c>
      <c r="M38" s="53" t="str">
        <f>'INPUT DATA'!M217</f>
        <v>P Exhaust receiver</v>
      </c>
      <c r="N38" s="53" t="str">
        <f>'INPUT DATA'!N217</f>
        <v>bar</v>
      </c>
      <c r="O38" s="53">
        <f>'INPUT DATA'!O217</f>
        <v>1.01498335507</v>
      </c>
      <c r="P38" s="53">
        <f>'INPUT DATA'!P217</f>
        <v>1.01498335507</v>
      </c>
      <c r="Q38" s="53">
        <f>'INPUT DATA'!Q217</f>
        <v>1.01498335507</v>
      </c>
      <c r="R38" s="53">
        <f>'INPUT DATA'!R217</f>
        <v>1.01498335507</v>
      </c>
      <c r="S38" s="53">
        <f>'INPUT DATA'!S217</f>
        <v>1.01498335507</v>
      </c>
      <c r="X38" s="53" t="str">
        <f>'INPUT DATA'!X217</f>
        <v>P Exhaust receiver</v>
      </c>
      <c r="Y38" s="53" t="str">
        <f>'INPUT DATA'!Y217</f>
        <v>bar</v>
      </c>
      <c r="Z38" s="53">
        <f>'INPUT DATA'!Z217</f>
        <v>2.15</v>
      </c>
      <c r="AA38" s="53">
        <f>'INPUT DATA'!AA217</f>
        <v>2.1</v>
      </c>
      <c r="AB38" s="53">
        <f>'INPUT DATA'!AB217</f>
        <v>2</v>
      </c>
      <c r="AC38" s="53">
        <f>'INPUT DATA'!AC217</f>
        <v>1.45</v>
      </c>
      <c r="AD38" s="53">
        <f>'INPUT DATA'!AD217</f>
        <v>1.9</v>
      </c>
      <c r="AE38" s="53">
        <f>'INPUT DATA'!AE217</f>
        <v>2.1</v>
      </c>
      <c r="AF38" s="53">
        <f>'INPUT DATA'!AF217</f>
        <v>2</v>
      </c>
      <c r="AG38" s="53">
        <f>'INPUT DATA'!AG217</f>
        <v>1.9</v>
      </c>
      <c r="AH38" s="53">
        <f>'INPUT DATA'!AH217</f>
        <v>2</v>
      </c>
      <c r="AI38" s="53">
        <f>'INPUT DATA'!AI217</f>
        <v>1.9</v>
      </c>
      <c r="AJ38" s="53">
        <f>'INPUT DATA'!AJ217</f>
        <v>2</v>
      </c>
      <c r="AK38" s="53">
        <f>'INPUT DATA'!AK217</f>
        <v>2.1</v>
      </c>
    </row>
    <row r="39" spans="1:37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535.65</v>
      </c>
      <c r="E39" s="11">
        <f>'INPUT DATA'!E218</f>
        <v>587.15</v>
      </c>
      <c r="F39" s="11">
        <f>'INPUT DATA'!F218</f>
        <v>608.15</v>
      </c>
      <c r="G39" s="11">
        <f>'INPUT DATA'!G218</f>
        <v>626.65</v>
      </c>
      <c r="H39" s="11">
        <f>'INPUT DATA'!H218</f>
        <v>648.15</v>
      </c>
      <c r="I39" s="11">
        <f>'INPUT DATA'!I218</f>
        <v>668.15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648.15</v>
      </c>
      <c r="P39" s="11">
        <f>'INPUT DATA'!P218</f>
        <v>645.65</v>
      </c>
      <c r="Q39" s="11">
        <f>'INPUT DATA'!Q218</f>
        <v>670.15</v>
      </c>
      <c r="R39" s="11">
        <f>'INPUT DATA'!R218</f>
        <v>658.15</v>
      </c>
      <c r="S39" s="11">
        <f>'INPUT DATA'!S218</f>
        <v>685.65</v>
      </c>
      <c r="T39" s="11"/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650.65</v>
      </c>
      <c r="AA39" s="11">
        <f>'INPUT DATA'!AA218</f>
        <v>623.15</v>
      </c>
      <c r="AB39" s="11">
        <f>'INPUT DATA'!AB218</f>
        <v>638.15</v>
      </c>
      <c r="AC39" s="11">
        <f>'INPUT DATA'!AC218</f>
        <v>615.65</v>
      </c>
      <c r="AD39" s="11">
        <f>'INPUT DATA'!AD218</f>
        <v>658.15</v>
      </c>
      <c r="AE39" s="11">
        <f>'INPUT DATA'!AE218</f>
        <v>648.15</v>
      </c>
      <c r="AF39" s="11">
        <f>'INPUT DATA'!AF218</f>
        <v>668.15</v>
      </c>
      <c r="AG39" s="11">
        <f>'INPUT DATA'!AG218</f>
        <v>670.65</v>
      </c>
      <c r="AH39" s="11">
        <f>'INPUT DATA'!AH218</f>
        <v>661.65</v>
      </c>
      <c r="AI39" s="11">
        <f>'INPUT DATA'!AI218</f>
        <v>674.15</v>
      </c>
      <c r="AJ39" s="11">
        <f>'INPUT DATA'!AJ218</f>
        <v>667.65</v>
      </c>
      <c r="AK39" s="11">
        <f>'INPUT DATA'!AK218</f>
        <v>648.15</v>
      </c>
    </row>
    <row r="40" spans="1:37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30" customFormat="1" ht="15.75">
      <c r="A41" s="30">
        <f>'INPUT DATA'!A220</f>
        <v>2</v>
      </c>
      <c r="B41" s="30" t="str">
        <f>'INPUT DATA'!B220</f>
        <v>Cylinder Data</v>
      </c>
      <c r="L41" s="30">
        <f>$A$41</f>
        <v>2</v>
      </c>
      <c r="M41" s="30" t="str">
        <f>$B$41</f>
        <v>Cylinder Data</v>
      </c>
      <c r="W41" s="30">
        <f>$A$41</f>
        <v>2</v>
      </c>
      <c r="X41" s="30" t="str">
        <f>$B$41</f>
        <v>Cylinder Data</v>
      </c>
    </row>
    <row r="42" spans="1:37" s="53" customFormat="1">
      <c r="B42" s="53" t="str">
        <f>'INPUT DATA'!B221</f>
        <v>WFCY</v>
      </c>
      <c r="C42" s="53" t="str">
        <f>'INPUT DATA'!C221</f>
        <v>kg/cycle</v>
      </c>
      <c r="D42" s="53">
        <f>'INPUT DATA'!D221</f>
        <v>3.8182346109175376E-2</v>
      </c>
      <c r="E42" s="53">
        <f>'INPUT DATA'!E221</f>
        <v>5.6569847856154924E-2</v>
      </c>
      <c r="F42" s="53">
        <f>'INPUT DATA'!F221</f>
        <v>7.3496771589991933E-2</v>
      </c>
      <c r="G42" s="53">
        <f>'INPUT DATA'!G221</f>
        <v>8.2925673113386417E-2</v>
      </c>
      <c r="H42" s="53">
        <f>'INPUT DATA'!H221</f>
        <v>8.9813186813186827E-2</v>
      </c>
      <c r="I42" s="53">
        <f>'INPUT DATA'!I221</f>
        <v>9.64501242456514E-2</v>
      </c>
      <c r="M42" s="53" t="str">
        <f>'INPUT DATA'!M221</f>
        <v>WFCY</v>
      </c>
      <c r="N42" s="53" t="str">
        <f>'INPUT DATA'!N221</f>
        <v>kg/cycle</v>
      </c>
      <c r="O42" s="53">
        <f>'INPUT DATA'!O221</f>
        <v>0</v>
      </c>
      <c r="P42" s="53">
        <f>'INPUT DATA'!P221</f>
        <v>0</v>
      </c>
      <c r="Q42" s="53">
        <f>'INPUT DATA'!Q221</f>
        <v>0</v>
      </c>
      <c r="R42" s="53">
        <f>'INPUT DATA'!R221</f>
        <v>0</v>
      </c>
      <c r="S42" s="53">
        <f>'INPUT DATA'!S221</f>
        <v>0</v>
      </c>
      <c r="X42" s="53" t="str">
        <f>'INPUT DATA'!X221</f>
        <v>WFCY</v>
      </c>
      <c r="Y42" s="53" t="str">
        <f>'INPUT DATA'!Y221</f>
        <v>kg/cycle</v>
      </c>
      <c r="Z42" s="53">
        <f>'INPUT DATA'!Z221</f>
        <v>8.1274582104228124E-2</v>
      </c>
      <c r="AA42" s="53">
        <f>'INPUT DATA'!AA221</f>
        <v>7.7248980632008149E-2</v>
      </c>
      <c r="AB42" s="53">
        <f>'INPUT DATA'!AB221</f>
        <v>7.6427771556550964E-2</v>
      </c>
      <c r="AC42" s="53">
        <f>'INPUT DATA'!AC221</f>
        <v>6.617945594803086E-2</v>
      </c>
      <c r="AD42" s="53">
        <f>'INPUT DATA'!AD221</f>
        <v>8.2742316784869985E-2</v>
      </c>
      <c r="AE42" s="53">
        <f>'INPUT DATA'!AE221</f>
        <v>8.1458947885939034E-2</v>
      </c>
      <c r="AF42" s="53">
        <f>'INPUT DATA'!AF221</f>
        <v>7.945736434108526E-2</v>
      </c>
      <c r="AG42" s="53">
        <f>'INPUT DATA'!AG221</f>
        <v>8.0913879701090277E-2</v>
      </c>
      <c r="AH42" s="53">
        <f>'INPUT DATA'!AH221</f>
        <v>8.1191874694077334E-2</v>
      </c>
      <c r="AI42" s="53">
        <f>'INPUT DATA'!AI221</f>
        <v>8.0824767498776304E-2</v>
      </c>
      <c r="AJ42" s="53">
        <f>'INPUT DATA'!AJ221</f>
        <v>8.4587616250611855E-2</v>
      </c>
      <c r="AK42" s="53">
        <f>'INPUT DATA'!AK221</f>
        <v>8.4006363191385214E-2</v>
      </c>
    </row>
    <row r="43" spans="1:37" s="53" customFormat="1">
      <c r="B43" s="53" t="str">
        <f>'INPUT DATA'!B222</f>
        <v>WFCY corrected</v>
      </c>
      <c r="C43" s="53" t="str">
        <f>'INPUT DATA'!C222</f>
        <v>kg/cycle</v>
      </c>
      <c r="D43" s="53">
        <f>'INPUT DATA'!D222</f>
        <v>3.7520736007637757E-2</v>
      </c>
      <c r="E43" s="53">
        <f>'INPUT DATA'!E222</f>
        <v>5.5589625669779513E-2</v>
      </c>
      <c r="F43" s="53">
        <f>'INPUT DATA'!F222</f>
        <v>7.2223245694665747E-2</v>
      </c>
      <c r="G43" s="53">
        <f>'INPUT DATA'!G222</f>
        <v>8.1488766568886817E-2</v>
      </c>
      <c r="H43" s="53">
        <f>'INPUT DATA'!H222</f>
        <v>8.8256935883058399E-2</v>
      </c>
      <c r="I43" s="53">
        <f>'INPUT DATA'!I222</f>
        <v>9.4778870826256439E-2</v>
      </c>
      <c r="M43" s="53" t="str">
        <f>'INPUT DATA'!M222</f>
        <v>WFCY corrected</v>
      </c>
      <c r="N43" s="53" t="str">
        <f>'INPUT DATA'!N222</f>
        <v>kg/cycle</v>
      </c>
      <c r="O43" s="53">
        <f>'INPUT DATA'!O222</f>
        <v>0</v>
      </c>
      <c r="P43" s="53">
        <f>'INPUT DATA'!P222</f>
        <v>0</v>
      </c>
      <c r="Q43" s="53">
        <f>'INPUT DATA'!Q222</f>
        <v>0</v>
      </c>
      <c r="R43" s="53">
        <f>'INPUT DATA'!R222</f>
        <v>0</v>
      </c>
      <c r="S43" s="53">
        <f>'INPUT DATA'!S222</f>
        <v>0</v>
      </c>
      <c r="X43" s="53" t="str">
        <f>'INPUT DATA'!X222</f>
        <v>WFCY corrected</v>
      </c>
      <c r="Y43" s="53" t="str">
        <f>'INPUT DATA'!Y222</f>
        <v>kg/cycle</v>
      </c>
      <c r="Z43" s="53">
        <f>'INPUT DATA'!Z222</f>
        <v>7.8210130647839188E-2</v>
      </c>
      <c r="AA43" s="53">
        <f>'INPUT DATA'!AA222</f>
        <v>7.4336314149161947E-2</v>
      </c>
      <c r="AB43" s="53">
        <f>'INPUT DATA'!AB222</f>
        <v>7.3689258898904056E-2</v>
      </c>
      <c r="AC43" s="53">
        <f>'INPUT DATA'!AC222</f>
        <v>6.3761658494191797E-2</v>
      </c>
      <c r="AD43" s="53">
        <f>'INPUT DATA'!AD222</f>
        <v>7.9932565980699921E-2</v>
      </c>
      <c r="AE43" s="53">
        <f>'INPUT DATA'!AE222</f>
        <v>7.8807239746326502E-2</v>
      </c>
      <c r="AF43" s="53">
        <f>'INPUT DATA'!AF222</f>
        <v>7.6870813136539387E-2</v>
      </c>
      <c r="AG43" s="53">
        <f>'INPUT DATA'!AG222</f>
        <v>7.8583105180426549E-2</v>
      </c>
      <c r="AH43" s="53">
        <f>'INPUT DATA'!AH222</f>
        <v>7.8491817034461647E-2</v>
      </c>
      <c r="AI43" s="53">
        <f>'INPUT DATA'!AI222</f>
        <v>7.590335308433091E-2</v>
      </c>
      <c r="AJ43" s="53">
        <f>'INPUT DATA'!AJ222</f>
        <v>7.9437082240035956E-2</v>
      </c>
      <c r="AK43" s="53">
        <f>'INPUT DATA'!AK222</f>
        <v>8.1035646366584474E-2</v>
      </c>
    </row>
    <row r="44" spans="1:37">
      <c r="A44" s="11"/>
      <c r="B44" s="11" t="str">
        <f>'INPUT DATA'!B223</f>
        <v>Cooiling Water Temperature</v>
      </c>
      <c r="C44" s="11" t="str">
        <f>'INPUT DATA'!C223</f>
        <v>K</v>
      </c>
      <c r="D44" s="11">
        <f>'INPUT DATA'!D223</f>
        <v>339.95</v>
      </c>
      <c r="E44" s="11">
        <f>'INPUT DATA'!E223</f>
        <v>344.15</v>
      </c>
      <c r="F44" s="11">
        <f>'INPUT DATA'!F223</f>
        <v>348.15</v>
      </c>
      <c r="G44" s="11">
        <f>'INPUT DATA'!G223</f>
        <v>348.15</v>
      </c>
      <c r="H44" s="11">
        <f>'INPUT DATA'!H223</f>
        <v>348.45</v>
      </c>
      <c r="I44" s="11">
        <f>'INPUT DATA'!I223</f>
        <v>348.45</v>
      </c>
      <c r="J44" s="11"/>
      <c r="K44" s="11"/>
      <c r="L44" s="11"/>
      <c r="M44" s="11" t="str">
        <f>'INPUT DATA'!M223</f>
        <v>Cooiling Water Temperature</v>
      </c>
      <c r="N44" s="11" t="str">
        <f>'INPUT DATA'!N223</f>
        <v>K</v>
      </c>
      <c r="O44" s="11">
        <f>'INPUT DATA'!O223</f>
        <v>353.15</v>
      </c>
      <c r="P44" s="11">
        <f>'INPUT DATA'!P223</f>
        <v>353.15</v>
      </c>
      <c r="Q44" s="11">
        <f>'INPUT DATA'!Q223</f>
        <v>353.15</v>
      </c>
      <c r="R44" s="11">
        <f>'INPUT DATA'!R223</f>
        <v>353.15</v>
      </c>
      <c r="S44" s="11">
        <f>'INPUT DATA'!S223</f>
        <v>353.15</v>
      </c>
      <c r="T44" s="11"/>
      <c r="U44" s="11"/>
      <c r="V44" s="11"/>
      <c r="W44" s="11"/>
      <c r="X44" s="11" t="str">
        <f>'INPUT DATA'!X223</f>
        <v>Cooiling Water Temperature</v>
      </c>
      <c r="Y44" s="11" t="str">
        <f>'INPUT DATA'!Y223</f>
        <v>K</v>
      </c>
      <c r="Z44" s="11">
        <f>'INPUT DATA'!Z223</f>
        <v>354.15</v>
      </c>
      <c r="AA44" s="11">
        <f>'INPUT DATA'!AA223</f>
        <v>353.15</v>
      </c>
      <c r="AB44" s="11">
        <f>'INPUT DATA'!AB223</f>
        <v>353.15</v>
      </c>
      <c r="AC44" s="11">
        <f>'INPUT DATA'!AC223</f>
        <v>353.15</v>
      </c>
      <c r="AD44" s="11">
        <f>'INPUT DATA'!AD223</f>
        <v>351.15</v>
      </c>
      <c r="AE44" s="11">
        <f>'INPUT DATA'!AE223</f>
        <v>354.15</v>
      </c>
      <c r="AF44" s="11">
        <f>'INPUT DATA'!AF223</f>
        <v>354.15</v>
      </c>
      <c r="AG44" s="11">
        <f>'INPUT DATA'!AG223</f>
        <v>354.15</v>
      </c>
      <c r="AH44" s="11">
        <f>'INPUT DATA'!AH223</f>
        <v>354.15</v>
      </c>
      <c r="AI44" s="11">
        <f>'INPUT DATA'!AI223</f>
        <v>354.15</v>
      </c>
      <c r="AJ44" s="11">
        <f>'INPUT DATA'!AJ223</f>
        <v>354.15</v>
      </c>
      <c r="AK44" s="11">
        <f>'INPUT DATA'!AK223</f>
        <v>353.15</v>
      </c>
    </row>
    <row r="45" spans="1:37">
      <c r="A45" s="11"/>
      <c r="B45" s="11" t="str">
        <f>'INPUT DATA'!B224</f>
        <v>Lubrication Oil Temperature</v>
      </c>
      <c r="C45" s="11" t="str">
        <f>'INPUT DATA'!C224</f>
        <v>K</v>
      </c>
      <c r="D45" s="11">
        <f>'INPUT DATA'!D224</f>
        <v>316.14999999999998</v>
      </c>
      <c r="E45" s="11">
        <f>'INPUT DATA'!E224</f>
        <v>319.14999999999998</v>
      </c>
      <c r="F45" s="11">
        <f>'INPUT DATA'!F224</f>
        <v>319.14999999999998</v>
      </c>
      <c r="G45" s="11">
        <f>'INPUT DATA'!G224</f>
        <v>320.14999999999998</v>
      </c>
      <c r="H45" s="11">
        <f>'INPUT DATA'!H224</f>
        <v>321.14999999999998</v>
      </c>
      <c r="I45" s="11">
        <f>'INPUT DATA'!I224</f>
        <v>322.14999999999998</v>
      </c>
      <c r="J45" s="11"/>
      <c r="K45" s="11"/>
      <c r="L45" s="11"/>
      <c r="M45" s="11" t="str">
        <f>'INPUT DATA'!M224</f>
        <v>Lubrication Oil Temperature</v>
      </c>
      <c r="N45" s="11" t="str">
        <f>'INPUT DATA'!N224</f>
        <v>K</v>
      </c>
      <c r="O45" s="11">
        <f>'INPUT DATA'!O224</f>
        <v>323.34999999999997</v>
      </c>
      <c r="P45" s="11">
        <f>'INPUT DATA'!P224</f>
        <v>323.34999999999997</v>
      </c>
      <c r="Q45" s="11">
        <f>'INPUT DATA'!Q224</f>
        <v>324.84999999999997</v>
      </c>
      <c r="R45" s="11">
        <f>'INPUT DATA'!R224</f>
        <v>324.14999999999998</v>
      </c>
      <c r="S45" s="11">
        <f>'INPUT DATA'!S224</f>
        <v>325.14999999999998</v>
      </c>
      <c r="T45" s="11"/>
      <c r="U45" s="11"/>
      <c r="V45" s="11"/>
      <c r="W45" s="11"/>
      <c r="X45" s="11" t="str">
        <f>'INPUT DATA'!X224</f>
        <v>Lubrication Oil Temperature</v>
      </c>
      <c r="Y45" s="11" t="str">
        <f>'INPUT DATA'!Y224</f>
        <v>K</v>
      </c>
      <c r="Z45" s="11">
        <f>'INPUT DATA'!Z224</f>
        <v>324.14999999999998</v>
      </c>
      <c r="AA45" s="11">
        <f>'INPUT DATA'!AA224</f>
        <v>323.14999999999998</v>
      </c>
      <c r="AB45" s="11">
        <f>'INPUT DATA'!AB224</f>
        <v>323.14999999999998</v>
      </c>
      <c r="AC45" s="11">
        <f>'INPUT DATA'!AC224</f>
        <v>323.14999999999998</v>
      </c>
      <c r="AD45" s="11">
        <f>'INPUT DATA'!AD224</f>
        <v>324.14999999999998</v>
      </c>
      <c r="AE45" s="11">
        <f>'INPUT DATA'!AE224</f>
        <v>324.14999999999998</v>
      </c>
      <c r="AF45" s="11">
        <f>'INPUT DATA'!AF224</f>
        <v>325.14999999999998</v>
      </c>
      <c r="AG45" s="11">
        <f>'INPUT DATA'!AG224</f>
        <v>325.14999999999998</v>
      </c>
      <c r="AH45" s="11">
        <f>'INPUT DATA'!AH224</f>
        <v>324.14999999999998</v>
      </c>
      <c r="AI45" s="11">
        <f>'INPUT DATA'!AI224</f>
        <v>324.14999999999998</v>
      </c>
      <c r="AJ45" s="11">
        <f>'INPUT DATA'!AJ224</f>
        <v>324.14999999999998</v>
      </c>
      <c r="AK45" s="11">
        <f>'INPUT DATA'!AK224</f>
        <v>323.14999999999998</v>
      </c>
    </row>
    <row r="46" spans="1:37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30" customFormat="1" ht="15.75">
      <c r="A47" s="30">
        <f>'INPUT DATA'!A226</f>
        <v>3</v>
      </c>
      <c r="B47" s="30" t="str">
        <f>'INPUT DATA'!B226</f>
        <v>Performance Data</v>
      </c>
      <c r="L47" s="30">
        <f>$A$47</f>
        <v>3</v>
      </c>
      <c r="M47" s="30" t="str">
        <f>$B$47</f>
        <v>Performance Data</v>
      </c>
      <c r="W47" s="30">
        <f>$A$47</f>
        <v>3</v>
      </c>
      <c r="X47" s="30" t="str">
        <f>$B$47</f>
        <v>Performance Data</v>
      </c>
    </row>
    <row r="48" spans="1:37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4313.1280596480001</v>
      </c>
      <c r="E48" s="9">
        <f>'INPUT DATA'!E227</f>
        <v>8474.8790452800004</v>
      </c>
      <c r="F48" s="9">
        <f>'INPUT DATA'!F227</f>
        <v>12761.161909536</v>
      </c>
      <c r="G48" s="9">
        <f>'INPUT DATA'!G227</f>
        <v>15376.331360639999</v>
      </c>
      <c r="H48" s="9">
        <f>'INPUT DATA'!H227</f>
        <v>17120.523361248001</v>
      </c>
      <c r="I48" s="9">
        <f>'INPUT DATA'!I227</f>
        <v>18731.98078464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13161.602740799999</v>
      </c>
      <c r="P48" s="9">
        <f>'INPUT DATA'!P227</f>
        <v>12498.675554592</v>
      </c>
      <c r="Q48" s="9">
        <f>'INPUT DATA'!Q227</f>
        <v>15498.626139648</v>
      </c>
      <c r="R48" s="9">
        <f>'INPUT DATA'!R227</f>
        <v>14670.153581856001</v>
      </c>
      <c r="S48" s="9">
        <f>'INPUT DATA'!S227</f>
        <v>17081.001268032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12975.923472672001</v>
      </c>
      <c r="AA48" s="9">
        <f>'INPUT DATA'!AA227</f>
        <v>11878.99896096</v>
      </c>
      <c r="AB48" s="9">
        <f>'INPUT DATA'!AB227</f>
        <v>12309.267787104</v>
      </c>
      <c r="AC48" s="9">
        <f>'INPUT DATA'!AC227</f>
        <v>9765.6855237119998</v>
      </c>
      <c r="AD48" s="9">
        <f>'INPUT DATA'!AD227</f>
        <v>12155.653613471999</v>
      </c>
      <c r="AE48" s="9">
        <f>'INPUT DATA'!AE227</f>
        <v>12820.072199423999</v>
      </c>
      <c r="AF48" s="9">
        <f>'INPUT DATA'!AF227</f>
        <v>12284.659691327999</v>
      </c>
      <c r="AG48" s="9">
        <f>'INPUT DATA'!AG227</f>
        <v>12865.559891616</v>
      </c>
      <c r="AH48" s="9">
        <f>'INPUT DATA'!AH227</f>
        <v>12796.955503392001</v>
      </c>
      <c r="AI48" s="9">
        <f>'INPUT DATA'!AI227</f>
        <v>12732.825314399999</v>
      </c>
      <c r="AJ48" s="9">
        <f>'INPUT DATA'!AJ227</f>
        <v>12948.332577408</v>
      </c>
      <c r="AK48" s="9">
        <f>'INPUT DATA'!AK227</f>
        <v>13205.599033248</v>
      </c>
    </row>
    <row r="49" spans="1:37" s="16" customFormat="1">
      <c r="B49" s="16" t="str">
        <f>'INPUT DATA'!B228</f>
        <v>Brake Power/cylinder</v>
      </c>
      <c r="C49" s="16" t="str">
        <f>'INPUT DATA'!C228</f>
        <v>kW</v>
      </c>
      <c r="D49" s="16">
        <f>'INPUT DATA'!D228</f>
        <v>718.85467660799998</v>
      </c>
      <c r="E49" s="16">
        <f>'INPUT DATA'!E228</f>
        <v>1412.47984088</v>
      </c>
      <c r="F49" s="16">
        <f>'INPUT DATA'!F228</f>
        <v>2126.860318256</v>
      </c>
      <c r="G49" s="16">
        <f>'INPUT DATA'!G228</f>
        <v>2562.7218934399998</v>
      </c>
      <c r="H49" s="16">
        <f>'INPUT DATA'!H228</f>
        <v>2853.4205602080001</v>
      </c>
      <c r="I49" s="16">
        <f>'INPUT DATA'!I228</f>
        <v>3121.9967974400001</v>
      </c>
      <c r="M49" s="16" t="str">
        <f>'INPUT DATA'!M228</f>
        <v>Brake Power/cylinder</v>
      </c>
      <c r="N49" s="16" t="str">
        <f>'INPUT DATA'!N228</f>
        <v>kW</v>
      </c>
      <c r="O49" s="16">
        <f>'INPUT DATA'!O228</f>
        <v>2193.6004567999998</v>
      </c>
      <c r="P49" s="16">
        <f>'INPUT DATA'!P228</f>
        <v>2083.1125924319999</v>
      </c>
      <c r="Q49" s="16">
        <f>'INPUT DATA'!Q228</f>
        <v>2583.1043566080002</v>
      </c>
      <c r="R49" s="16">
        <f>'INPUT DATA'!R228</f>
        <v>2445.0255969760001</v>
      </c>
      <c r="S49" s="16">
        <f>'INPUT DATA'!S228</f>
        <v>2846.8335446719998</v>
      </c>
      <c r="X49" s="16" t="str">
        <f>'INPUT DATA'!X228</f>
        <v>Brake Power/cylinder</v>
      </c>
      <c r="Y49" s="16" t="str">
        <f>'INPUT DATA'!Y228</f>
        <v>kW</v>
      </c>
      <c r="Z49" s="16">
        <f>'INPUT DATA'!Z228</f>
        <v>2162.6539121119999</v>
      </c>
      <c r="AA49" s="16">
        <f>'INPUT DATA'!AA228</f>
        <v>1979.83316016</v>
      </c>
      <c r="AB49" s="16">
        <f>'INPUT DATA'!AB228</f>
        <v>2051.5446311840001</v>
      </c>
      <c r="AC49" s="16">
        <f>'INPUT DATA'!AC228</f>
        <v>1627.6142539519999</v>
      </c>
      <c r="AD49" s="16">
        <f>'INPUT DATA'!AD228</f>
        <v>2025.9422689119999</v>
      </c>
      <c r="AE49" s="16">
        <f>'INPUT DATA'!AE228</f>
        <v>2136.678699904</v>
      </c>
      <c r="AF49" s="16">
        <f>'INPUT DATA'!AF228</f>
        <v>2047.4432818879998</v>
      </c>
      <c r="AG49" s="16">
        <f>'INPUT DATA'!AG228</f>
        <v>2144.2599819359998</v>
      </c>
      <c r="AH49" s="16">
        <f>'INPUT DATA'!AH228</f>
        <v>2132.8259172319999</v>
      </c>
      <c r="AI49" s="16">
        <f>'INPUT DATA'!AI228</f>
        <v>2122.1375524</v>
      </c>
      <c r="AJ49" s="16">
        <f>'INPUT DATA'!AJ228</f>
        <v>2158.0554295679999</v>
      </c>
      <c r="AK49" s="16">
        <f>'INPUT DATA'!AK228</f>
        <v>2200.9331722080001</v>
      </c>
    </row>
    <row r="50" spans="1:37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6.9732697847577176</v>
      </c>
      <c r="E50" s="16">
        <f>'INPUT DATA'!E229</f>
        <v>10.878054205325517</v>
      </c>
      <c r="F50" s="16">
        <f>'INPUT DATA'!F229</f>
        <v>14.337260587034109</v>
      </c>
      <c r="G50" s="16">
        <f>'INPUT DATA'!G229</f>
        <v>16.233787683889293</v>
      </c>
      <c r="H50" s="16">
        <f>'INPUT DATA'!H229</f>
        <v>17.459493936903794</v>
      </c>
      <c r="I50" s="16">
        <f>'INPUT DATA'!I229</f>
        <v>18.512885650188352</v>
      </c>
      <c r="M50" s="16" t="str">
        <f>'INPUT DATA'!M229</f>
        <v>BMEP</v>
      </c>
      <c r="N50" s="16" t="str">
        <f>'INPUT DATA'!N229</f>
        <v>bar</v>
      </c>
      <c r="O50" s="16">
        <f>'INPUT DATA'!O229</f>
        <v>14.219084060794522</v>
      </c>
      <c r="P50" s="16">
        <f>'INPUT DATA'!P229</f>
        <v>13.502893367874051</v>
      </c>
      <c r="Q50" s="16">
        <f>'INPUT DATA'!Q229</f>
        <v>15.822872417761095</v>
      </c>
      <c r="R50" s="16">
        <f>'INPUT DATA'!R229</f>
        <v>15.011748017191533</v>
      </c>
      <c r="S50" s="16">
        <f>'INPUT DATA'!S229</f>
        <v>16.847127539423827</v>
      </c>
      <c r="X50" s="16" t="str">
        <f>'INPUT DATA'!X229</f>
        <v>BMEP</v>
      </c>
      <c r="Y50" s="16" t="str">
        <f>'INPUT DATA'!Y229</f>
        <v>bar</v>
      </c>
      <c r="Z50" s="16">
        <f>'INPUT DATA'!Z229</f>
        <v>13.320663341790947</v>
      </c>
      <c r="AA50" s="16">
        <f>'INPUT DATA'!AA229</f>
        <v>12.642104231552899</v>
      </c>
      <c r="AB50" s="16">
        <f>'INPUT DATA'!AB229</f>
        <v>12.791950441623632</v>
      </c>
      <c r="AC50" s="16">
        <f>'INPUT DATA'!AC229</f>
        <v>11.038640382238325</v>
      </c>
      <c r="AD50" s="16">
        <f>'INPUT DATA'!AD229</f>
        <v>12.632312603677638</v>
      </c>
      <c r="AE50" s="16">
        <f>'INPUT DATA'!AE229</f>
        <v>13.16067146555198</v>
      </c>
      <c r="AF50" s="16">
        <f>'INPUT DATA'!AF229</f>
        <v>12.625000010180566</v>
      </c>
      <c r="AG50" s="16">
        <f>'INPUT DATA'!AG229</f>
        <v>13.163682870807332</v>
      </c>
      <c r="AH50" s="16">
        <f>'INPUT DATA'!AH229</f>
        <v>13.079068628015767</v>
      </c>
      <c r="AI50" s="16">
        <f>'INPUT DATA'!AI229</f>
        <v>13.013524667756494</v>
      </c>
      <c r="AJ50" s="16">
        <f>'INPUT DATA'!AJ229</f>
        <v>13.233782859790555</v>
      </c>
      <c r="AK50" s="16">
        <f>'INPUT DATA'!AK229</f>
        <v>13.496720839900425</v>
      </c>
    </row>
    <row r="51" spans="1:37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182.92882313918381</v>
      </c>
      <c r="E51" s="16">
        <f>'INPUT DATA'!E230</f>
        <v>173.74282183060373</v>
      </c>
      <c r="F51" s="16">
        <f>'INPUT DATA'!F230</f>
        <v>171.26193096624266</v>
      </c>
      <c r="G51" s="16">
        <f>'INPUT DATA'!G230</f>
        <v>170.65847102626299</v>
      </c>
      <c r="H51" s="16">
        <f>'INPUT DATA'!H230</f>
        <v>171.85198068533396</v>
      </c>
      <c r="I51" s="16">
        <f>'INPUT DATA'!I230</f>
        <v>174.01102624837247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0</v>
      </c>
      <c r="X51" s="16" t="str">
        <f>'INPUT DATA'!X230</f>
        <v>bsfc</v>
      </c>
      <c r="Y51" s="16" t="str">
        <f>'INPUT DATA'!Y230</f>
        <v>g/kWh</v>
      </c>
      <c r="Z51" s="16">
        <f>'INPUT DATA'!Z230</f>
        <v>203.83535750425878</v>
      </c>
      <c r="AA51" s="16">
        <f>'INPUT DATA'!AA230</f>
        <v>204.10356192202752</v>
      </c>
      <c r="AB51" s="16">
        <f>'INPUT DATA'!AB230</f>
        <v>199.54408681995861</v>
      </c>
      <c r="AC51" s="16">
        <f>'INPUT DATA'!AC230</f>
        <v>200.34870007326487</v>
      </c>
      <c r="AD51" s="16">
        <f>'INPUT DATA'!AD230</f>
        <v>218.85480489930939</v>
      </c>
      <c r="AE51" s="16">
        <f>'INPUT DATA'!AE230</f>
        <v>206.78560609971512</v>
      </c>
      <c r="AF51" s="16">
        <f>'INPUT DATA'!AF230</f>
        <v>210.27226353070907</v>
      </c>
      <c r="AG51" s="16">
        <f>'INPUT DATA'!AG230</f>
        <v>205.44458401087132</v>
      </c>
      <c r="AH51" s="16">
        <f>'INPUT DATA'!AH230</f>
        <v>207.32201493525267</v>
      </c>
      <c r="AI51" s="16">
        <f>'INPUT DATA'!AI230</f>
        <v>207.59021935302144</v>
      </c>
      <c r="AJ51" s="16">
        <f>'INPUT DATA'!AJ230</f>
        <v>213.62481875281858</v>
      </c>
      <c r="AK51" s="16">
        <f>'INPUT DATA'!AK230</f>
        <v>207.99252597967455</v>
      </c>
    </row>
    <row r="52" spans="1:37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179.95175410195054</v>
      </c>
      <c r="E52" s="16">
        <f>'INPUT DATA'!E231</f>
        <v>170.96690610669702</v>
      </c>
      <c r="F52" s="16">
        <f>'INPUT DATA'!F231</f>
        <v>168.49942546322444</v>
      </c>
      <c r="G52" s="16">
        <f>'INPUT DATA'!G231</f>
        <v>167.73504287258345</v>
      </c>
      <c r="H52" s="16">
        <f>'INPUT DATA'!H231</f>
        <v>168.94196275254291</v>
      </c>
      <c r="I52" s="16">
        <f>'INPUT DATA'!I231</f>
        <v>170.96690610669702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0</v>
      </c>
      <c r="X52" s="16" t="str">
        <f>'INPUT DATA'!X231</f>
        <v>bsfc corrected (recorded)</v>
      </c>
      <c r="Y52" s="16" t="str">
        <f>'INPUT DATA'!Y231</f>
        <v>g/kWh</v>
      </c>
      <c r="Z52" s="16">
        <f>'INPUT DATA'!Z231</f>
        <v>196.05742938896466</v>
      </c>
      <c r="AA52" s="16">
        <f>'INPUT DATA'!AA231</f>
        <v>196.45973601561784</v>
      </c>
      <c r="AB52" s="16">
        <f>'INPUT DATA'!AB231</f>
        <v>192.43666974908641</v>
      </c>
      <c r="AC52" s="16">
        <f>'INPUT DATA'!AC231</f>
        <v>192.97307858462392</v>
      </c>
      <c r="AD52" s="16">
        <f>'INPUT DATA'!AD231</f>
        <v>211.3450812017841</v>
      </c>
      <c r="AE52" s="16">
        <f>'INPUT DATA'!AE231</f>
        <v>199.94639344661172</v>
      </c>
      <c r="AF52" s="16">
        <f>'INPUT DATA'!AF231</f>
        <v>203.29894866872124</v>
      </c>
      <c r="AG52" s="16">
        <f>'INPUT DATA'!AG231</f>
        <v>199.40998461107418</v>
      </c>
      <c r="AH52" s="16">
        <f>'INPUT DATA'!AH231</f>
        <v>200.48280228214924</v>
      </c>
      <c r="AI52" s="16">
        <f>'INPUT DATA'!AI231</f>
        <v>194.85050950900526</v>
      </c>
      <c r="AJ52" s="16">
        <f>'INPUT DATA'!AJ231</f>
        <v>200.48280228214924</v>
      </c>
      <c r="AK52" s="16">
        <f>'INPUT DATA'!AK231</f>
        <v>200.61690449103361</v>
      </c>
    </row>
    <row r="53" spans="1:37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180.10633364270558</v>
      </c>
      <c r="E53" s="16">
        <f>'INPUT DATA'!E232</f>
        <v>171.16701070881453</v>
      </c>
      <c r="F53" s="16">
        <f>'INPUT DATA'!F232</f>
        <v>168.71055870253537</v>
      </c>
      <c r="G53" s="16">
        <f>'INPUT DATA'!G232</f>
        <v>168.00987811977524</v>
      </c>
      <c r="H53" s="16">
        <f>'INPUT DATA'!H232</f>
        <v>169.18148721089833</v>
      </c>
      <c r="I53" s="16">
        <f>'INPUT DATA'!I232</f>
        <v>171.20780471160231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0</v>
      </c>
      <c r="X53" s="16" t="str">
        <f>'INPUT DATA'!X232</f>
        <v>bsfc corrected (ISO)</v>
      </c>
      <c r="Y53" s="16" t="str">
        <f>'INPUT DATA'!Y232</f>
        <v>g/kWh</v>
      </c>
      <c r="Z53" s="16">
        <f>'INPUT DATA'!Z232</f>
        <v>190.69679867218181</v>
      </c>
      <c r="AA53" s="16">
        <f>'INPUT DATA'!AA232</f>
        <v>191.45837593254876</v>
      </c>
      <c r="AB53" s="16">
        <f>'INPUT DATA'!AB232</f>
        <v>187.04558920060879</v>
      </c>
      <c r="AC53" s="16">
        <f>'INPUT DATA'!AC232</f>
        <v>187.93319904588625</v>
      </c>
      <c r="AD53" s="16">
        <f>'INPUT DATA'!AD232</f>
        <v>204.69971690327503</v>
      </c>
      <c r="AE53" s="16">
        <f>'INPUT DATA'!AE232</f>
        <v>194.37263905762578</v>
      </c>
      <c r="AF53" s="16">
        <f>'INPUT DATA'!AF232</f>
        <v>197.60931326344306</v>
      </c>
      <c r="AG53" s="16">
        <f>'INPUT DATA'!AG232</f>
        <v>194.01969041031251</v>
      </c>
      <c r="AH53" s="16">
        <f>'INPUT DATA'!AH232</f>
        <v>194.89566744484961</v>
      </c>
      <c r="AI53" s="16">
        <f>'INPUT DATA'!AI232</f>
        <v>189.53045366102572</v>
      </c>
      <c r="AJ53" s="16">
        <f>'INPUT DATA'!AJ232</f>
        <v>195.08018331581164</v>
      </c>
      <c r="AK53" s="16">
        <f>'INPUT DATA'!AK232</f>
        <v>195.2200800277522</v>
      </c>
    </row>
    <row r="54" spans="1:37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179.7590976093482</v>
      </c>
      <c r="E54" s="16">
        <f>'INPUT DATA'!E233</f>
        <v>170.73226806148489</v>
      </c>
      <c r="F54" s="16">
        <f>'INPUT DATA'!F233</f>
        <v>168.29436519089404</v>
      </c>
      <c r="G54" s="16">
        <f>'INPUT DATA'!G233</f>
        <v>167.70136178993957</v>
      </c>
      <c r="H54" s="16">
        <f>'INPUT DATA'!H233</f>
        <v>168.87419073849404</v>
      </c>
      <c r="I54" s="16">
        <f>'INPUT DATA'!I233</f>
        <v>170.99582512857575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0</v>
      </c>
      <c r="X54" s="16" t="str">
        <f>'INPUT DATA'!X233</f>
        <v>bsfc corrected (LHV)</v>
      </c>
      <c r="Y54" s="16" t="str">
        <f>'INPUT DATA'!Y233</f>
        <v>g/kWh</v>
      </c>
      <c r="Z54" s="16">
        <f>'INPUT DATA'!Z233</f>
        <v>196.1497620573769</v>
      </c>
      <c r="AA54" s="16">
        <f>'INPUT DATA'!AA233</f>
        <v>196.40785384955763</v>
      </c>
      <c r="AB54" s="16">
        <f>'INPUT DATA'!AB233</f>
        <v>192.39414647254557</v>
      </c>
      <c r="AC54" s="16">
        <f>'INPUT DATA'!AC233</f>
        <v>193.02916911040086</v>
      </c>
      <c r="AD54" s="16">
        <f>'INPUT DATA'!AD233</f>
        <v>211.4229672622134</v>
      </c>
      <c r="AE54" s="16">
        <f>'INPUT DATA'!AE233</f>
        <v>200.05417770443165</v>
      </c>
      <c r="AF54" s="16">
        <f>'INPUT DATA'!AF233</f>
        <v>203.42733504575156</v>
      </c>
      <c r="AG54" s="16">
        <f>'INPUT DATA'!AG233</f>
        <v>199.52662526770104</v>
      </c>
      <c r="AH54" s="16">
        <f>'INPUT DATA'!AH233</f>
        <v>200.42746549244097</v>
      </c>
      <c r="AI54" s="16">
        <f>'INPUT DATA'!AI233</f>
        <v>194.9500654814089</v>
      </c>
      <c r="AJ54" s="16">
        <f>'INPUT DATA'!AJ233</f>
        <v>200.61721854772895</v>
      </c>
      <c r="AK54" s="16">
        <f>'INPUT DATA'!AK233</f>
        <v>200.63728677055727</v>
      </c>
    </row>
    <row r="55" spans="1:37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4949.9557503360002</v>
      </c>
      <c r="E55" s="9">
        <f>'INPUT DATA'!E234</f>
        <v>9275.760707808</v>
      </c>
      <c r="F55" s="9">
        <f>'INPUT DATA'!F234</f>
        <v>13671.661453248</v>
      </c>
      <c r="G55" s="9">
        <f>'INPUT DATA'!G234</f>
        <v>16352.452493088</v>
      </c>
      <c r="H55" s="9">
        <f>'INPUT DATA'!H234</f>
        <v>18127.218188448001</v>
      </c>
      <c r="I55" s="9">
        <f>'INPUT DATA'!I234</f>
        <v>19830.396696095999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13963.2301032</v>
      </c>
      <c r="AA55" s="9">
        <f>'INPUT DATA'!AA234</f>
        <v>12831.257697503999</v>
      </c>
      <c r="AB55" s="9">
        <f>'INPUT DATA'!AB234</f>
        <v>13284.64321968</v>
      </c>
      <c r="AC55" s="9">
        <f>'INPUT DATA'!AC234</f>
        <v>10662.762469727999</v>
      </c>
      <c r="AD55" s="9">
        <f>'INPUT DATA'!AD234</f>
        <v>13131.029046047999</v>
      </c>
      <c r="AE55" s="9">
        <f>'INPUT DATA'!AE234</f>
        <v>13539.672575904</v>
      </c>
      <c r="AF55" s="9">
        <f>'INPUT DATA'!AF234</f>
        <v>13271.220621983999</v>
      </c>
      <c r="AG55" s="9">
        <f>'INPUT DATA'!AG234</f>
        <v>13856.595021503999</v>
      </c>
      <c r="AH55" s="9">
        <f>'INPUT DATA'!AH234</f>
        <v>13788.736333151999</v>
      </c>
      <c r="AI55" s="9">
        <f>'INPUT DATA'!AI234</f>
        <v>13725.351844032</v>
      </c>
      <c r="AJ55" s="9">
        <f>'INPUT DATA'!AJ234</f>
        <v>13940.113407167999</v>
      </c>
      <c r="AK55" s="9">
        <f>'INPUT DATA'!AK234</f>
        <v>14481.49151424</v>
      </c>
    </row>
    <row r="56" spans="1:37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824.99262505600007</v>
      </c>
      <c r="E56" s="16">
        <f>'INPUT DATA'!E235</f>
        <v>1545.9601179680001</v>
      </c>
      <c r="F56" s="16">
        <f>'INPUT DATA'!F235</f>
        <v>2278.6102422079998</v>
      </c>
      <c r="G56" s="16">
        <f>'INPUT DATA'!G235</f>
        <v>2725.408748848</v>
      </c>
      <c r="H56" s="16">
        <f>'INPUT DATA'!H235</f>
        <v>3021.2030314080002</v>
      </c>
      <c r="I56" s="16">
        <f>'INPUT DATA'!I235</f>
        <v>3305.0661160159998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2327.2050171999999</v>
      </c>
      <c r="AA56" s="16">
        <f>'INPUT DATA'!AA235</f>
        <v>2138.5429495839999</v>
      </c>
      <c r="AB56" s="16">
        <f>'INPUT DATA'!AB235</f>
        <v>2214.1072032799998</v>
      </c>
      <c r="AC56" s="16">
        <f>'INPUT DATA'!AC235</f>
        <v>1777.1270782879999</v>
      </c>
      <c r="AD56" s="16">
        <f>'INPUT DATA'!AD235</f>
        <v>2188.5048410079999</v>
      </c>
      <c r="AE56" s="16">
        <f>'INPUT DATA'!AE235</f>
        <v>2256.612095984</v>
      </c>
      <c r="AF56" s="16">
        <f>'INPUT DATA'!AF235</f>
        <v>2211.870103664</v>
      </c>
      <c r="AG56" s="16">
        <f>'INPUT DATA'!AG235</f>
        <v>2309.4325035839997</v>
      </c>
      <c r="AH56" s="16">
        <f>'INPUT DATA'!AH235</f>
        <v>2298.1227221919999</v>
      </c>
      <c r="AI56" s="16">
        <f>'INPUT DATA'!AI235</f>
        <v>2287.5586406719999</v>
      </c>
      <c r="AJ56" s="16">
        <f>'INPUT DATA'!AJ235</f>
        <v>2323.3522345279998</v>
      </c>
      <c r="AK56" s="16">
        <f>'INPUT DATA'!AK235</f>
        <v>2413.5819190400002</v>
      </c>
    </row>
    <row r="57" spans="1:37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8.0028639058128874</v>
      </c>
      <c r="E57" s="16">
        <f>'INPUT DATA'!E236</f>
        <v>11.906037506383118</v>
      </c>
      <c r="F57" s="16">
        <f>'INPUT DATA'!F236</f>
        <v>15.360213615536921</v>
      </c>
      <c r="G57" s="16">
        <f>'INPUT DATA'!G236</f>
        <v>17.264341906886919</v>
      </c>
      <c r="H57" s="16">
        <f>'INPUT DATA'!H236</f>
        <v>18.48612039340539</v>
      </c>
      <c r="I57" s="16">
        <f>'INPUT DATA'!I236</f>
        <v>19.598454143927498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>
        <f>'INPUT DATA'!Z236</f>
        <v>14.334200395094275</v>
      </c>
      <c r="AA57" s="16">
        <f>'INPUT DATA'!AA236</f>
        <v>13.655535939254911</v>
      </c>
      <c r="AB57" s="16">
        <f>'INPUT DATA'!AB236</f>
        <v>13.805573218484579</v>
      </c>
      <c r="AC57" s="16">
        <f>'INPUT DATA'!AC236</f>
        <v>12.052651101529158</v>
      </c>
      <c r="AD57" s="16">
        <f>'INPUT DATA'!AD236</f>
        <v>13.645935380538589</v>
      </c>
      <c r="AE57" s="16">
        <f>'INPUT DATA'!AE236</f>
        <v>13.89938993718167</v>
      </c>
      <c r="AF57" s="16">
        <f>'INPUT DATA'!AF236</f>
        <v>13.638893115283697</v>
      </c>
      <c r="AG57" s="16">
        <f>'INPUT DATA'!AG236</f>
        <v>14.177682438146514</v>
      </c>
      <c r="AH57" s="16">
        <f>'INPUT DATA'!AH236</f>
        <v>14.092713594816127</v>
      </c>
      <c r="AI57" s="16">
        <f>'INPUT DATA'!AI236</f>
        <v>14.027931773629634</v>
      </c>
      <c r="AJ57" s="16">
        <f>'INPUT DATA'!AJ236</f>
        <v>14.247427826590917</v>
      </c>
      <c r="AK57" s="16">
        <f>'INPUT DATA'!AK236</f>
        <v>14.800740793430814</v>
      </c>
    </row>
    <row r="58" spans="1:37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159.39536428107326</v>
      </c>
      <c r="E58" s="16">
        <f>'INPUT DATA'!E237</f>
        <v>158.73630706757959</v>
      </c>
      <c r="F58" s="16">
        <f>'INPUT DATA'!F237</f>
        <v>159.85621114694783</v>
      </c>
      <c r="G58" s="16">
        <f>'INPUT DATA'!G237</f>
        <v>160.47134221054475</v>
      </c>
      <c r="H58" s="16">
        <f>'INPUT DATA'!H237</f>
        <v>162.31282535535638</v>
      </c>
      <c r="I58" s="16">
        <f>'INPUT DATA'!I237</f>
        <v>164.41426008597568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>
        <f>'INPUT DATA'!Z237</f>
        <v>189.42608411171543</v>
      </c>
      <c r="AA58" s="16">
        <f>'INPUT DATA'!AA237</f>
        <v>188.99160605836192</v>
      </c>
      <c r="AB58" s="16">
        <f>'INPUT DATA'!AB237</f>
        <v>184.95039417845834</v>
      </c>
      <c r="AC58" s="16">
        <f>'INPUT DATA'!AC237</f>
        <v>183.44214321130764</v>
      </c>
      <c r="AD58" s="16">
        <f>'INPUT DATA'!AD237</f>
        <v>202.57361328437327</v>
      </c>
      <c r="AE58" s="16">
        <f>'INPUT DATA'!AE237</f>
        <v>195.79498581951501</v>
      </c>
      <c r="AF58" s="16">
        <f>'INPUT DATA'!AF237</f>
        <v>194.63168261412346</v>
      </c>
      <c r="AG58" s="16">
        <f>'INPUT DATA'!AG237</f>
        <v>190.66733175790228</v>
      </c>
      <c r="AH58" s="16">
        <f>'INPUT DATA'!AH237</f>
        <v>192.47594093296556</v>
      </c>
      <c r="AI58" s="16">
        <f>'INPUT DATA'!AI237</f>
        <v>192.49051172038139</v>
      </c>
      <c r="AJ58" s="16">
        <f>'INPUT DATA'!AJ237</f>
        <v>198.34845809634794</v>
      </c>
      <c r="AK58" s="16">
        <f>'INPUT DATA'!AK237</f>
        <v>189.62135200644158</v>
      </c>
    </row>
    <row r="59" spans="1:37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156.633418149081</v>
      </c>
      <c r="E59" s="16">
        <f>'INPUT DATA'!E238</f>
        <v>155.9857808443769</v>
      </c>
      <c r="F59" s="16">
        <f>'INPUT DATA'!F238</f>
        <v>157.08627962451223</v>
      </c>
      <c r="G59" s="16">
        <f>'INPUT DATA'!G238</f>
        <v>157.69075191600851</v>
      </c>
      <c r="H59" s="16">
        <f>'INPUT DATA'!H238</f>
        <v>159.50032649640309</v>
      </c>
      <c r="I59" s="16">
        <f>'INPUT DATA'!I238</f>
        <v>161.56534831406194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>
        <f>'INPUT DATA'!Z238</f>
        <v>182.28378913701141</v>
      </c>
      <c r="AA59" s="16">
        <f>'INPUT DATA'!AA238</f>
        <v>181.86569304304663</v>
      </c>
      <c r="AB59" s="16">
        <f>'INPUT DATA'!AB238</f>
        <v>178.32336600297728</v>
      </c>
      <c r="AC59" s="16">
        <f>'INPUT DATA'!AC238</f>
        <v>176.74027568414979</v>
      </c>
      <c r="AD59" s="16">
        <f>'INPUT DATA'!AD238</f>
        <v>195.6946498356065</v>
      </c>
      <c r="AE59" s="16">
        <f>'INPUT DATA'!AE238</f>
        <v>189.42133171438326</v>
      </c>
      <c r="AF59" s="16">
        <f>'INPUT DATA'!AF238</f>
        <v>188.29589716134521</v>
      </c>
      <c r="AG59" s="16">
        <f>'INPUT DATA'!AG238</f>
        <v>185.175040936773</v>
      </c>
      <c r="AH59" s="16">
        <f>'INPUT DATA'!AH238</f>
        <v>186.07510167945711</v>
      </c>
      <c r="AI59" s="16">
        <f>'INPUT DATA'!AI238</f>
        <v>180.7697779856509</v>
      </c>
      <c r="AJ59" s="16">
        <f>'INPUT DATA'!AJ238</f>
        <v>186.27103441835015</v>
      </c>
      <c r="AK59" s="16">
        <f>'INPUT DATA'!AK238</f>
        <v>182.9157725795159</v>
      </c>
    </row>
    <row r="60" spans="1:37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1.0295941210551698</v>
      </c>
      <c r="E60" s="16">
        <f>'INPUT DATA'!E239</f>
        <v>1.0279833010576009</v>
      </c>
      <c r="F60" s="16">
        <f>'INPUT DATA'!F239</f>
        <v>1.0229530285028119</v>
      </c>
      <c r="G60" s="16">
        <f>'INPUT DATA'!G239</f>
        <v>1.0305542229976261</v>
      </c>
      <c r="H60" s="16">
        <f>'INPUT DATA'!H239</f>
        <v>1.0266264565015959</v>
      </c>
      <c r="I60" s="16">
        <f>'INPUT DATA'!I239</f>
        <v>1.0855684937391459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-14.219084060794522</v>
      </c>
      <c r="P60" s="16">
        <f>'INPUT DATA'!P239</f>
        <v>-13.502893367874051</v>
      </c>
      <c r="Q60" s="16">
        <f>'INPUT DATA'!Q239</f>
        <v>-15.822872417761095</v>
      </c>
      <c r="R60" s="16">
        <f>'INPUT DATA'!R239</f>
        <v>-15.011748017191533</v>
      </c>
      <c r="S60" s="16">
        <f>'INPUT DATA'!S239</f>
        <v>-16.847127539423827</v>
      </c>
      <c r="X60" s="16" t="str">
        <f>'INPUT DATA'!X239</f>
        <v>FMEP</v>
      </c>
      <c r="Y60" s="16" t="str">
        <f>'INPUT DATA'!Y239</f>
        <v>bar</v>
      </c>
      <c r="Z60" s="16">
        <f>'INPUT DATA'!Z239</f>
        <v>1.0135370533033274</v>
      </c>
      <c r="AA60" s="16">
        <f>'INPUT DATA'!AA239</f>
        <v>1.0134317077020114</v>
      </c>
      <c r="AB60" s="16">
        <f>'INPUT DATA'!AB239</f>
        <v>1.0136227768609469</v>
      </c>
      <c r="AC60" s="16">
        <f>'INPUT DATA'!AC239</f>
        <v>1.0140107192908321</v>
      </c>
      <c r="AD60" s="16">
        <f>'INPUT DATA'!AD239</f>
        <v>1.0136227768609505</v>
      </c>
      <c r="AE60" s="16">
        <f>'INPUT DATA'!AE239</f>
        <v>0.7387184716296904</v>
      </c>
      <c r="AF60" s="16">
        <f>'INPUT DATA'!AF239</f>
        <v>1.013893105103131</v>
      </c>
      <c r="AG60" s="16">
        <f>'INPUT DATA'!AG239</f>
        <v>1.013999567339182</v>
      </c>
      <c r="AH60" s="16">
        <f>'INPUT DATA'!AH239</f>
        <v>1.01364496680036</v>
      </c>
      <c r="AI60" s="16">
        <f>'INPUT DATA'!AI239</f>
        <v>1.0144071058731399</v>
      </c>
      <c r="AJ60" s="16">
        <f>'INPUT DATA'!AJ239</f>
        <v>1.0136449668003618</v>
      </c>
      <c r="AK60" s="16">
        <f>'INPUT DATA'!AK239</f>
        <v>1.3040199535303891</v>
      </c>
    </row>
    <row r="61" spans="1:37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76.093917049533331</v>
      </c>
      <c r="E61" s="16">
        <f>'INPUT DATA'!E240</f>
        <v>103.76031707142</v>
      </c>
      <c r="F61" s="16">
        <f>'INPUT DATA'!F240</f>
        <v>135.34298379280335</v>
      </c>
      <c r="G61" s="16">
        <f>'INPUT DATA'!G240</f>
        <v>151.00898384752</v>
      </c>
      <c r="H61" s="16">
        <f>'INPUT DATA'!H240</f>
        <v>151.50898384752</v>
      </c>
      <c r="I61" s="16">
        <f>'INPUT DATA'!I240</f>
        <v>153.67565051418666</v>
      </c>
      <c r="M61" s="16" t="str">
        <f>'INPUT DATA'!M240</f>
        <v>Pmax</v>
      </c>
      <c r="N61" s="16" t="str">
        <f>'INPUT DATA'!N240</f>
        <v>bar</v>
      </c>
      <c r="O61" s="16">
        <f>'INPUT DATA'!O240</f>
        <v>131.18165002173666</v>
      </c>
      <c r="P61" s="16">
        <f>'INPUT DATA'!P240</f>
        <v>130.34831668840334</v>
      </c>
      <c r="Q61" s="16">
        <f>'INPUT DATA'!Q240</f>
        <v>146.34831668840334</v>
      </c>
      <c r="R61" s="16">
        <f>'INPUT DATA'!R240</f>
        <v>145.68165002173666</v>
      </c>
      <c r="S61" s="16">
        <f>'INPUT DATA'!S240</f>
        <v>146.68165002173666</v>
      </c>
      <c r="X61" s="16" t="str">
        <f>'INPUT DATA'!X240</f>
        <v>Pmax</v>
      </c>
      <c r="Y61" s="16" t="str">
        <f>'INPUT DATA'!Y240</f>
        <v>bar</v>
      </c>
      <c r="Z61" s="16">
        <f>'INPUT DATA'!Z240</f>
        <v>136.5</v>
      </c>
      <c r="AA61" s="16">
        <f>'INPUT DATA'!AA240</f>
        <v>135.5</v>
      </c>
      <c r="AB61" s="16">
        <f>'INPUT DATA'!AB240</f>
        <v>134.16666666666666</v>
      </c>
      <c r="AC61" s="16">
        <f>'INPUT DATA'!AC240</f>
        <v>120.16666666666667</v>
      </c>
      <c r="AD61" s="16">
        <f>'INPUT DATA'!AD240</f>
        <v>128.83333333333334</v>
      </c>
      <c r="AE61" s="16">
        <f>'INPUT DATA'!AE240</f>
        <v>135.33333333333334</v>
      </c>
      <c r="AF61" s="16">
        <f>'INPUT DATA'!AF240</f>
        <v>126.16666666666667</v>
      </c>
      <c r="AG61" s="16">
        <f>'INPUT DATA'!AG240</f>
        <v>129.16666666666666</v>
      </c>
      <c r="AH61" s="16">
        <f>'INPUT DATA'!AH240</f>
        <v>134</v>
      </c>
      <c r="AI61" s="16">
        <f>'INPUT DATA'!AI240</f>
        <v>132.33333333333334</v>
      </c>
      <c r="AJ61" s="16">
        <f>'INPUT DATA'!AJ240</f>
        <v>134.66666666666666</v>
      </c>
      <c r="AK61" s="16">
        <f>'INPUT DATA'!AK240</f>
        <v>138.33333333333334</v>
      </c>
    </row>
    <row r="62" spans="1:37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50.343917049533339</v>
      </c>
      <c r="E62" s="16">
        <f>'INPUT DATA'!E241</f>
        <v>76.926983738086676</v>
      </c>
      <c r="F62" s="16">
        <f>'INPUT DATA'!F241</f>
        <v>108.00965045947</v>
      </c>
      <c r="G62" s="16">
        <f>'INPUT DATA'!G241</f>
        <v>126.00898384752</v>
      </c>
      <c r="H62" s="16">
        <f>'INPUT DATA'!H241</f>
        <v>140.67565051418666</v>
      </c>
      <c r="I62" s="16">
        <f>'INPUT DATA'!I241</f>
        <v>150.00898384752</v>
      </c>
      <c r="M62" s="16" t="str">
        <f>'INPUT DATA'!M241</f>
        <v>Pcomp</v>
      </c>
      <c r="N62" s="16" t="str">
        <f>'INPUT DATA'!N241</f>
        <v>bar</v>
      </c>
      <c r="O62" s="16">
        <f>'INPUT DATA'!O241</f>
        <v>104.68165002173667</v>
      </c>
      <c r="P62" s="16">
        <f>'INPUT DATA'!P241</f>
        <v>104.34831668840333</v>
      </c>
      <c r="Q62" s="16">
        <f>'INPUT DATA'!Q241</f>
        <v>129.51498335507</v>
      </c>
      <c r="R62" s="16">
        <f>'INPUT DATA'!R241</f>
        <v>120.34831668840333</v>
      </c>
      <c r="S62" s="16">
        <f>'INPUT DATA'!S241</f>
        <v>137.68165002173666</v>
      </c>
      <c r="X62" s="16" t="str">
        <f>'INPUT DATA'!X241</f>
        <v>Pcomp</v>
      </c>
      <c r="Y62" s="16" t="str">
        <f>'INPUT DATA'!Y241</f>
        <v>bar</v>
      </c>
      <c r="Z62" s="16">
        <f>'INPUT DATA'!Z241</f>
        <v>116.40000000000002</v>
      </c>
      <c r="AA62" s="16">
        <f>'INPUT DATA'!AA241</f>
        <v>114.58333333333333</v>
      </c>
      <c r="AB62" s="16">
        <f>'INPUT DATA'!AB241</f>
        <v>114.11666666666667</v>
      </c>
      <c r="AC62" s="16">
        <f>'INPUT DATA'!AC241</f>
        <v>97.083333333333329</v>
      </c>
      <c r="AD62" s="16">
        <f>'INPUT DATA'!AD241</f>
        <v>107.2</v>
      </c>
      <c r="AE62" s="16">
        <f>'INPUT DATA'!AE241</f>
        <v>115.45</v>
      </c>
      <c r="AF62" s="16">
        <f>'INPUT DATA'!AF241</f>
        <v>104.8</v>
      </c>
      <c r="AG62" s="16">
        <f>'INPUT DATA'!AG241</f>
        <v>110.13333333333333</v>
      </c>
      <c r="AH62" s="16">
        <f>'INPUT DATA'!AH241</f>
        <v>114.33333333333333</v>
      </c>
      <c r="AI62" s="16">
        <f>'INPUT DATA'!AI241</f>
        <v>111</v>
      </c>
      <c r="AJ62" s="16">
        <f>'INPUT DATA'!AJ241</f>
        <v>113.84999999999998</v>
      </c>
      <c r="AK62" s="16">
        <f>'INPUT DATA'!AK241</f>
        <v>117.35000000000001</v>
      </c>
    </row>
    <row r="63" spans="1:37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30" customFormat="1" ht="15.75">
      <c r="A64" s="30">
        <f>'INPUT DATA'!A243</f>
        <v>4</v>
      </c>
      <c r="B64" s="30" t="str">
        <f>'INPUT DATA'!B243</f>
        <v>Turbocharger Data</v>
      </c>
      <c r="L64" s="30">
        <f>$A$64</f>
        <v>4</v>
      </c>
      <c r="M64" s="30" t="str">
        <f>$B$64</f>
        <v>Turbocharger Data</v>
      </c>
      <c r="W64" s="30">
        <f>$A$64</f>
        <v>4</v>
      </c>
      <c r="X64" s="30" t="str">
        <f>$B$64</f>
        <v>Turbocharger Data</v>
      </c>
    </row>
    <row r="65" spans="1:37" s="53" customFormat="1">
      <c r="B65" s="53" t="str">
        <f>'INPUT DATA'!B244</f>
        <v xml:space="preserve">Air Cooler Pressure Drop </v>
      </c>
      <c r="C65" s="53" t="str">
        <f>'INPUT DATA'!C244</f>
        <v>bar</v>
      </c>
      <c r="D65" s="53">
        <f>'INPUT DATA'!D244</f>
        <v>6.3743224999999997E-3</v>
      </c>
      <c r="E65" s="53">
        <f>'INPUT DATA'!E244</f>
        <v>1.12776475E-2</v>
      </c>
      <c r="F65" s="53">
        <f>'INPUT DATA'!F244</f>
        <v>1.5445473750000001E-2</v>
      </c>
      <c r="G65" s="53">
        <f>'INPUT DATA'!G244</f>
        <v>1.7406803750000002E-2</v>
      </c>
      <c r="H65" s="53">
        <f>'INPUT DATA'!H244</f>
        <v>1.9122967500000001E-2</v>
      </c>
      <c r="I65" s="53">
        <f>'INPUT DATA'!I244</f>
        <v>2.0593964999999999E-2</v>
      </c>
      <c r="M65" s="53" t="str">
        <f>'INPUT DATA'!M244</f>
        <v xml:space="preserve">Air Cooler Pressure Drop </v>
      </c>
      <c r="N65" s="53" t="str">
        <f>'INPUT DATA'!N244</f>
        <v>bar</v>
      </c>
      <c r="O65" s="53">
        <f>'INPUT DATA'!O244</f>
        <v>1.7651969999999999E-2</v>
      </c>
      <c r="P65" s="53">
        <f>'INPUT DATA'!P244</f>
        <v>1.6671305000000001E-2</v>
      </c>
      <c r="Q65" s="53">
        <f>'INPUT DATA'!Q244</f>
        <v>1.96133E-2</v>
      </c>
      <c r="R65" s="53">
        <f>'INPUT DATA'!R244</f>
        <v>1.8877801249999999E-2</v>
      </c>
      <c r="S65" s="53">
        <f>'INPUT DATA'!S244</f>
        <v>2.0103632499999999E-2</v>
      </c>
      <c r="X65" s="53" t="str">
        <f>'INPUT DATA'!X244</f>
        <v xml:space="preserve">Air Cooler Pressure Drop </v>
      </c>
      <c r="Y65" s="53" t="str">
        <f>'INPUT DATA'!Y244</f>
        <v>bar</v>
      </c>
      <c r="Z65" s="53">
        <f>'INPUT DATA'!Z244</f>
        <v>9.5614837500000004E-3</v>
      </c>
      <c r="AA65" s="53">
        <f>'INPUT DATA'!AA244</f>
        <v>9.0711512499999994E-3</v>
      </c>
      <c r="AB65" s="53">
        <f>'INPUT DATA'!AB244</f>
        <v>1.12776475E-2</v>
      </c>
      <c r="AC65" s="53">
        <f>'INPUT DATA'!AC244</f>
        <v>1.5445473750000001E-2</v>
      </c>
      <c r="AD65" s="53">
        <f>'INPUT DATA'!AD244</f>
        <v>8.8259849999999997E-3</v>
      </c>
      <c r="AE65" s="53">
        <f>'INPUT DATA'!AE244</f>
        <v>9.0711512499999994E-3</v>
      </c>
      <c r="AF65" s="53">
        <f>'INPUT DATA'!AF244</f>
        <v>8.5808187500000001E-3</v>
      </c>
      <c r="AG65" s="53">
        <f>'INPUT DATA'!AG244</f>
        <v>8.5808187500000001E-3</v>
      </c>
      <c r="AH65" s="53">
        <f>'INPUT DATA'!AH244</f>
        <v>8.8259849999999997E-3</v>
      </c>
      <c r="AI65" s="53">
        <f>'INPUT DATA'!AI244</f>
        <v>8.8259849999999997E-3</v>
      </c>
      <c r="AJ65" s="53">
        <f>'INPUT DATA'!AJ244</f>
        <v>9.0711512499999994E-3</v>
      </c>
      <c r="AK65" s="53">
        <f>'INPUT DATA'!AK244</f>
        <v>1.7651969999999999E-2</v>
      </c>
    </row>
    <row r="66" spans="1:37" s="53" customFormat="1">
      <c r="B66" s="53" t="str">
        <f>'INPUT DATA'!B245</f>
        <v>Compressor Outlet Pressure</v>
      </c>
      <c r="C66" s="53" t="str">
        <f>'INPUT DATA'!C245</f>
        <v>bar</v>
      </c>
      <c r="D66" s="53">
        <f>'INPUT DATA'!D245</f>
        <v>1.3869580386999998</v>
      </c>
      <c r="E66" s="53">
        <f>'INPUT DATA'!E245</f>
        <v>2.1415947189200004</v>
      </c>
      <c r="F66" s="53">
        <f>'INPUT DATA'!F245</f>
        <v>2.95509593322</v>
      </c>
      <c r="G66" s="53">
        <f>'INPUT DATA'!G245</f>
        <v>3.4563906512700004</v>
      </c>
      <c r="H66" s="53">
        <f>'INPUT DATA'!H245</f>
        <v>3.8281068150199999</v>
      </c>
      <c r="I66" s="53">
        <f>'INPUT DATA'!I245</f>
        <v>4.08957781252</v>
      </c>
      <c r="M66" s="53" t="str">
        <f>'INPUT DATA'!M245</f>
        <v>Compressor Outlet Pressure</v>
      </c>
      <c r="N66" s="53" t="str">
        <f>'INPUT DATA'!N245</f>
        <v>bar</v>
      </c>
      <c r="O66" s="53">
        <f>'INPUT DATA'!O245</f>
        <v>3.0920318250700003</v>
      </c>
      <c r="P66" s="53">
        <f>'INPUT DATA'!P245</f>
        <v>2.9439514100699999</v>
      </c>
      <c r="Q66" s="53">
        <f>'INPUT DATA'!Q245</f>
        <v>3.5843256550700002</v>
      </c>
      <c r="R66" s="53">
        <f>'INPUT DATA'!R245</f>
        <v>3.3776505063200002</v>
      </c>
      <c r="S66" s="53">
        <f>'INPUT DATA'!S245</f>
        <v>3.8790154875700003</v>
      </c>
      <c r="X66" s="53" t="str">
        <f>'INPUT DATA'!X245</f>
        <v>Compressor Outlet Pressure</v>
      </c>
      <c r="Y66" s="53" t="str">
        <f>'INPUT DATA'!Y245</f>
        <v>bar</v>
      </c>
      <c r="Z66" s="53">
        <f>'INPUT DATA'!Z245</f>
        <v>2.4195614837500004</v>
      </c>
      <c r="AA66" s="53">
        <f>'INPUT DATA'!AA245</f>
        <v>2.30907115125</v>
      </c>
      <c r="AB66" s="53">
        <f>'INPUT DATA'!AB245</f>
        <v>2.3112776474999999</v>
      </c>
      <c r="AC66" s="53">
        <f>'INPUT DATA'!AC245</f>
        <v>1.91544547375</v>
      </c>
      <c r="AD66" s="53">
        <f>'INPUT DATA'!AD245</f>
        <v>2.158825985</v>
      </c>
      <c r="AE66" s="53">
        <f>'INPUT DATA'!AE245</f>
        <v>2.32907115125</v>
      </c>
      <c r="AF66" s="53">
        <f>'INPUT DATA'!AF245</f>
        <v>2.2085808187500002</v>
      </c>
      <c r="AG66" s="53">
        <f>'INPUT DATA'!AG245</f>
        <v>2.2485808187500003</v>
      </c>
      <c r="AH66" s="53">
        <f>'INPUT DATA'!AH245</f>
        <v>2.3388259850000002</v>
      </c>
      <c r="AI66" s="53">
        <f>'INPUT DATA'!AI245</f>
        <v>2.2988259850000001</v>
      </c>
      <c r="AJ66" s="53">
        <f>'INPUT DATA'!AJ245</f>
        <v>2.34907115125</v>
      </c>
      <c r="AK66" s="53">
        <f>'INPUT DATA'!AK245</f>
        <v>2.4176519700000001</v>
      </c>
    </row>
    <row r="67" spans="1:37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307.14999999999998</v>
      </c>
      <c r="E67" s="11">
        <f>'INPUT DATA'!E246</f>
        <v>361.15</v>
      </c>
      <c r="F67" s="11">
        <f>'INPUT DATA'!F246</f>
        <v>407.15</v>
      </c>
      <c r="G67" s="11">
        <f>'INPUT DATA'!G246</f>
        <v>431.15</v>
      </c>
      <c r="H67" s="11">
        <f>'INPUT DATA'!H246</f>
        <v>449.15</v>
      </c>
      <c r="I67" s="11">
        <f>'INPUT DATA'!I246</f>
        <v>466.65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448.15</v>
      </c>
      <c r="P67" s="11">
        <f>'INPUT DATA'!P246</f>
        <v>440.15</v>
      </c>
      <c r="Q67" s="11">
        <f>'INPUT DATA'!Q246</f>
        <v>470.15</v>
      </c>
      <c r="R67" s="11">
        <f>'INPUT DATA'!R246</f>
        <v>462.15</v>
      </c>
      <c r="S67" s="11">
        <f>'INPUT DATA'!S246</f>
        <v>483.15</v>
      </c>
      <c r="T67" s="11"/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453.15</v>
      </c>
      <c r="AA67" s="11">
        <f>'INPUT DATA'!AA246</f>
        <v>425.65</v>
      </c>
      <c r="AB67" s="11">
        <f>'INPUT DATA'!AB246</f>
        <v>440.65</v>
      </c>
      <c r="AC67" s="11">
        <f>'INPUT DATA'!AC246</f>
        <v>408.15</v>
      </c>
      <c r="AD67" s="11">
        <f>'INPUT DATA'!AD246</f>
        <v>440.65</v>
      </c>
      <c r="AE67" s="11">
        <f>'INPUT DATA'!AE246</f>
        <v>443.15</v>
      </c>
      <c r="AF67" s="11">
        <f>'INPUT DATA'!AF246</f>
        <v>447.15</v>
      </c>
      <c r="AG67" s="11">
        <f>'INPUT DATA'!AG246</f>
        <v>455.65</v>
      </c>
      <c r="AH67" s="11">
        <f>'INPUT DATA'!AH246</f>
        <v>455.65</v>
      </c>
      <c r="AI67" s="11">
        <f>'INPUT DATA'!AI246</f>
        <v>443.15</v>
      </c>
      <c r="AJ67" s="11">
        <f>'INPUT DATA'!AJ246</f>
        <v>454.65</v>
      </c>
      <c r="AK67" s="11">
        <f>'INPUT DATA'!AK246</f>
        <v>449.15</v>
      </c>
    </row>
    <row r="68" spans="1:37" s="60" customFormat="1">
      <c r="B68" s="60" t="str">
        <f>'INPUT DATA'!B247</f>
        <v>Compressor Pressure Ratio (π)</v>
      </c>
      <c r="D68" s="60">
        <f>'INPUT DATA'!D247</f>
        <v>1.3730988253972463</v>
      </c>
      <c r="E68" s="60">
        <f>'INPUT DATA'!E247</f>
        <v>2.1226097988224639</v>
      </c>
      <c r="F68" s="60">
        <f>'INPUT DATA'!F247</f>
        <v>2.93483209893482</v>
      </c>
      <c r="G68" s="60">
        <f>'INPUT DATA'!G247</f>
        <v>3.4368056029155785</v>
      </c>
      <c r="H68" s="60">
        <f>'INPUT DATA'!H247</f>
        <v>3.8088296141112528</v>
      </c>
      <c r="I68" s="60">
        <f>'INPUT DATA'!I247</f>
        <v>4.0713674469426122</v>
      </c>
      <c r="M68" s="60" t="str">
        <f>'INPUT DATA'!M247</f>
        <v>Compressor Pressure Ratio (π)</v>
      </c>
      <c r="O68" s="60">
        <f>'INPUT DATA'!O247</f>
        <v>3.0595413445050461</v>
      </c>
      <c r="P68" s="60">
        <f>'INPUT DATA'!P247</f>
        <v>2.9127342900680233</v>
      </c>
      <c r="Q68" s="60">
        <f>'INPUT DATA'!Q247</f>
        <v>3.5511418983788348</v>
      </c>
      <c r="R68" s="60">
        <f>'INPUT DATA'!R247</f>
        <v>3.343943455733823</v>
      </c>
      <c r="S68" s="60">
        <f>'INPUT DATA'!S247</f>
        <v>3.8459059579171342</v>
      </c>
      <c r="X68" s="60" t="str">
        <f>'INPUT DATA'!X247</f>
        <v>Compressor Pressure Ratio (π)</v>
      </c>
      <c r="Z68" s="60">
        <f>'INPUT DATA'!Z247</f>
        <v>-299.06255433658271</v>
      </c>
      <c r="AA68" s="60">
        <f>'INPUT DATA'!AA247</f>
        <v>-285.40573210293752</v>
      </c>
      <c r="AB68" s="60">
        <f>'INPUT DATA'!AB247</f>
        <v>-325.08238480679097</v>
      </c>
      <c r="AC68" s="60">
        <f>'INPUT DATA'!AC247</f>
        <v>-300.49396994739442</v>
      </c>
      <c r="AD68" s="60">
        <f>'INPUT DATA'!AD247</f>
        <v>-366.89830965042427</v>
      </c>
      <c r="AE68" s="60">
        <f>'INPUT DATA'!AE247</f>
        <v>-499.99823454921966</v>
      </c>
      <c r="AF68" s="60">
        <f>'INPUT DATA'!AF247</f>
        <v>-405.78840874800767</v>
      </c>
      <c r="AG68" s="60">
        <f>'INPUT DATA'!AG247</f>
        <v>-295.85991188007222</v>
      </c>
      <c r="AH68" s="60">
        <f>'INPUT DATA'!AH247</f>
        <v>-635.98367366361947</v>
      </c>
      <c r="AI68" s="60">
        <f>'INPUT DATA'!AI247</f>
        <v>-586.03753192986403</v>
      </c>
      <c r="AJ68" s="60">
        <f>'INPUT DATA'!AJ247</f>
        <v>-532.30798630407821</v>
      </c>
      <c r="AK68" s="60">
        <f>'INPUT DATA'!AK247</f>
        <v>-493.06378222940555</v>
      </c>
    </row>
    <row r="69" spans="1:37" s="60" customFormat="1">
      <c r="B69" s="60" t="s">
        <v>182</v>
      </c>
      <c r="D69" s="60">
        <f>D38/D34</f>
        <v>1.2968581377187245</v>
      </c>
      <c r="E69" s="60">
        <f t="shared" ref="E69:I69" si="0">E38/E34</f>
        <v>1.9525137993237855</v>
      </c>
      <c r="F69" s="60">
        <f t="shared" si="0"/>
        <v>2.6925423326051021</v>
      </c>
      <c r="G69" s="60">
        <f t="shared" si="0"/>
        <v>3.0760992967293967</v>
      </c>
      <c r="H69" s="60">
        <f t="shared" si="0"/>
        <v>3.4440047942065304</v>
      </c>
      <c r="I69" s="60">
        <f t="shared" si="0"/>
        <v>3.7119132853901964</v>
      </c>
    </row>
    <row r="70" spans="1:37" s="41" customFormat="1">
      <c r="B70" s="41" t="str">
        <f>'INPUT DATA'!B248</f>
        <v xml:space="preserve">Scavenge Temperature </v>
      </c>
      <c r="C70" s="41" t="str">
        <f>'INPUT DATA'!C248</f>
        <v>°C</v>
      </c>
      <c r="D70" s="41">
        <f>'INPUT DATA'!D248</f>
        <v>32</v>
      </c>
      <c r="E70" s="41">
        <f>'INPUT DATA'!E248</f>
        <v>26</v>
      </c>
      <c r="F70" s="41">
        <f>'INPUT DATA'!F248</f>
        <v>28</v>
      </c>
      <c r="G70" s="41">
        <f>'INPUT DATA'!G248</f>
        <v>30</v>
      </c>
      <c r="H70" s="41">
        <f>'INPUT DATA'!H248</f>
        <v>34</v>
      </c>
      <c r="I70" s="41">
        <f>'INPUT DATA'!I248</f>
        <v>36</v>
      </c>
      <c r="M70" s="41" t="str">
        <f>'INPUT DATA'!M248</f>
        <v xml:space="preserve">Scavenge Temperature </v>
      </c>
      <c r="N70" s="41" t="str">
        <f>'INPUT DATA'!N248</f>
        <v>°C</v>
      </c>
      <c r="O70" s="41">
        <f>'INPUT DATA'!O248</f>
        <v>42</v>
      </c>
      <c r="P70" s="41">
        <f>'INPUT DATA'!P248</f>
        <v>41</v>
      </c>
      <c r="Q70" s="41">
        <f>'INPUT DATA'!Q248</f>
        <v>44</v>
      </c>
      <c r="R70" s="41">
        <f>'INPUT DATA'!R248</f>
        <v>42</v>
      </c>
      <c r="S70" s="41">
        <f>'INPUT DATA'!S248</f>
        <v>46</v>
      </c>
      <c r="X70" s="41" t="str">
        <f>'INPUT DATA'!X248</f>
        <v xml:space="preserve">Scavenge Temperature </v>
      </c>
      <c r="Y70" s="41" t="str">
        <f>'INPUT DATA'!Y248</f>
        <v>°C</v>
      </c>
      <c r="Z70" s="41">
        <f>'INPUT DATA'!Z248</f>
        <v>43</v>
      </c>
      <c r="AA70" s="41">
        <f>'INPUT DATA'!AA248</f>
        <v>39</v>
      </c>
      <c r="AB70" s="41">
        <f>'INPUT DATA'!AB248</f>
        <v>40</v>
      </c>
      <c r="AC70" s="41">
        <f>'INPUT DATA'!AC248</f>
        <v>38</v>
      </c>
      <c r="AD70" s="41">
        <f>'INPUT DATA'!AD248</f>
        <v>44</v>
      </c>
      <c r="AE70" s="41">
        <f>'INPUT DATA'!AE248</f>
        <v>43</v>
      </c>
      <c r="AF70" s="41">
        <f>'INPUT DATA'!AF248</f>
        <v>42</v>
      </c>
      <c r="AG70" s="41">
        <f>'INPUT DATA'!AG248</f>
        <v>41</v>
      </c>
      <c r="AH70" s="41">
        <f>'INPUT DATA'!AH248</f>
        <v>41</v>
      </c>
      <c r="AI70" s="41">
        <f>'INPUT DATA'!AI248</f>
        <v>43</v>
      </c>
      <c r="AJ70" s="41">
        <f>'INPUT DATA'!AJ248</f>
        <v>41</v>
      </c>
      <c r="AK70" s="41">
        <f>'INPUT DATA'!AK248</f>
        <v>44</v>
      </c>
    </row>
    <row r="71" spans="1:37" s="60" customFormat="1">
      <c r="B71" s="60" t="str">
        <f>'INPUT DATA'!B249</f>
        <v>TC speed corrected</v>
      </c>
      <c r="C71" s="60" t="str">
        <f>'INPUT DATA'!C249</f>
        <v>rpm</v>
      </c>
      <c r="D71" s="60">
        <f>'INPUT DATA'!D249</f>
        <v>5725.137340144991</v>
      </c>
      <c r="E71" s="60">
        <f>'INPUT DATA'!E249</f>
        <v>9395.7055960871839</v>
      </c>
      <c r="F71" s="60">
        <f>'INPUT DATA'!F249</f>
        <v>11625.337433389073</v>
      </c>
      <c r="G71" s="60">
        <f>'INPUT DATA'!G249</f>
        <v>12424.338869420601</v>
      </c>
      <c r="H71" s="60">
        <f>'INPUT DATA'!H249</f>
        <v>13162.220902315092</v>
      </c>
      <c r="I71" s="60">
        <f>'INPUT DATA'!I249</f>
        <v>13701.515559547193</v>
      </c>
      <c r="M71" s="60" t="str">
        <f>'INPUT DATA'!M249</f>
        <v>TC speed corrected</v>
      </c>
      <c r="N71" s="60" t="str">
        <f>'INPUT DATA'!N249</f>
        <v>rpm</v>
      </c>
      <c r="O71" s="60">
        <f>'INPUT DATA'!O249</f>
        <v>11647.701626953934</v>
      </c>
      <c r="P71" s="60">
        <f>'INPUT DATA'!P249</f>
        <v>11374.678143939795</v>
      </c>
      <c r="Q71" s="60">
        <f>'INPUT DATA'!Q249</f>
        <v>12532.629395625549</v>
      </c>
      <c r="R71" s="60">
        <f>'INPUT DATA'!R249</f>
        <v>12270.460999666228</v>
      </c>
      <c r="S71" s="60">
        <f>'INPUT DATA'!S249</f>
        <v>13162.323580312894</v>
      </c>
      <c r="X71" s="60" t="str">
        <f>'INPUT DATA'!X249</f>
        <v>TC speed corrected</v>
      </c>
      <c r="Y71" s="60" t="str">
        <f>'INPUT DATA'!Y249</f>
        <v>rpm</v>
      </c>
      <c r="Z71" s="60">
        <f>'INPUT DATA'!Z249</f>
        <v>12286.983581289518</v>
      </c>
      <c r="AA71" s="60">
        <f>'INPUT DATA'!AA249</f>
        <v>12173.906076279545</v>
      </c>
      <c r="AB71" s="60">
        <f>'INPUT DATA'!AB249</f>
        <v>12108.888620429596</v>
      </c>
      <c r="AC71" s="60">
        <f>'INPUT DATA'!AC249</f>
        <v>11092.618036010032</v>
      </c>
      <c r="AD71" s="60">
        <f>'INPUT DATA'!AD249</f>
        <v>11871.450540810645</v>
      </c>
      <c r="AE71" s="60">
        <f>'INPUT DATA'!AE249</f>
        <v>12171.418559713082</v>
      </c>
      <c r="AF71" s="60">
        <f>'INPUT DATA'!AF249</f>
        <v>12000.145188398272</v>
      </c>
      <c r="AG71" s="60">
        <f>'INPUT DATA'!AG249</f>
        <v>12187.217529622822</v>
      </c>
      <c r="AH71" s="60">
        <f>'INPUT DATA'!AH249</f>
        <v>12113.530495827421</v>
      </c>
      <c r="AI71" s="60">
        <f>'INPUT DATA'!AI249</f>
        <v>12030.780137597292</v>
      </c>
      <c r="AJ71" s="60">
        <f>'INPUT DATA'!AJ249</f>
        <v>12157.756085151534</v>
      </c>
      <c r="AK71" s="60">
        <f>'INPUT DATA'!AK249</f>
        <v>12197.441551479715</v>
      </c>
    </row>
    <row r="72" spans="1:37" s="12" customFormat="1">
      <c r="B72" s="12" t="s">
        <v>109</v>
      </c>
      <c r="C72" s="12" t="s">
        <v>175</v>
      </c>
      <c r="D72" s="12">
        <f>D71/60</f>
        <v>95.418955669083189</v>
      </c>
      <c r="E72" s="12">
        <f t="shared" ref="E72:I72" si="1">E71/60</f>
        <v>156.59509326811974</v>
      </c>
      <c r="F72" s="12">
        <f t="shared" si="1"/>
        <v>193.75562388981788</v>
      </c>
      <c r="G72" s="12">
        <f t="shared" si="1"/>
        <v>207.07231449034333</v>
      </c>
      <c r="H72" s="12">
        <f t="shared" si="1"/>
        <v>219.3703483719182</v>
      </c>
      <c r="I72" s="12">
        <f t="shared" si="1"/>
        <v>228.35859265911989</v>
      </c>
      <c r="M72" s="12" t="s">
        <v>109</v>
      </c>
      <c r="N72" s="12" t="s">
        <v>175</v>
      </c>
      <c r="O72" s="12">
        <f>O71/60</f>
        <v>194.12836044923225</v>
      </c>
      <c r="P72" s="12">
        <f t="shared" ref="P72" si="2">P71/60</f>
        <v>189.57796906566324</v>
      </c>
      <c r="Q72" s="12">
        <f t="shared" ref="Q72" si="3">Q71/60</f>
        <v>208.87715659375914</v>
      </c>
      <c r="R72" s="12">
        <f t="shared" ref="R72" si="4">R71/60</f>
        <v>204.50768332777045</v>
      </c>
      <c r="S72" s="12">
        <f t="shared" ref="S72" si="5">S71/60</f>
        <v>219.37205967188157</v>
      </c>
      <c r="X72" s="12" t="s">
        <v>109</v>
      </c>
      <c r="Y72" s="12" t="s">
        <v>175</v>
      </c>
      <c r="Z72" s="12">
        <f t="shared" ref="Z72" si="6">Z71/60</f>
        <v>204.78305968815863</v>
      </c>
      <c r="AA72" s="12">
        <f t="shared" ref="AA72" si="7">AA71/60</f>
        <v>202.89843460465909</v>
      </c>
      <c r="AB72" s="12">
        <f t="shared" ref="AB72" si="8">AB71/60</f>
        <v>201.81481034049327</v>
      </c>
      <c r="AC72" s="12">
        <f t="shared" ref="AC72" si="9">AC71/60</f>
        <v>184.87696726683387</v>
      </c>
      <c r="AD72" s="12">
        <f t="shared" ref="AD72:AI72" si="10">AD71/60</f>
        <v>197.85750901351076</v>
      </c>
      <c r="AE72" s="12">
        <f t="shared" si="10"/>
        <v>202.85697599521802</v>
      </c>
      <c r="AF72" s="12">
        <f t="shared" si="10"/>
        <v>200.00241980663787</v>
      </c>
      <c r="AG72" s="12">
        <f t="shared" si="10"/>
        <v>203.12029216038036</v>
      </c>
      <c r="AH72" s="12">
        <f t="shared" si="10"/>
        <v>201.892174930457</v>
      </c>
      <c r="AI72" s="12">
        <f t="shared" si="10"/>
        <v>200.5130022932882</v>
      </c>
      <c r="AJ72" s="12">
        <f t="shared" ref="AJ72:AK72" si="11">AJ71/60</f>
        <v>202.62926808585888</v>
      </c>
      <c r="AK72" s="12">
        <f t="shared" si="11"/>
        <v>203.29069252466192</v>
      </c>
    </row>
    <row r="73" spans="1:37">
      <c r="A73" s="11"/>
      <c r="B73" s="11" t="str">
        <f>'INPUT DATA'!B250</f>
        <v>Corrected flow rate - map</v>
      </c>
      <c r="C73" s="11" t="str">
        <f>'INPUT DATA'!C250</f>
        <v>m3/s</v>
      </c>
      <c r="D73" s="11">
        <f>'INPUT DATA'!D250</f>
        <v>0</v>
      </c>
      <c r="E73" s="11">
        <f>'INPUT DATA'!E250</f>
        <v>0</v>
      </c>
      <c r="F73" s="11">
        <f>'INPUT DATA'!F250</f>
        <v>0</v>
      </c>
      <c r="G73" s="11">
        <f>'INPUT DATA'!G250</f>
        <v>0</v>
      </c>
      <c r="H73" s="11">
        <f>'INPUT DATA'!H250</f>
        <v>0</v>
      </c>
      <c r="I73" s="11">
        <f>'INPUT DATA'!I250</f>
        <v>0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>'INPUT DATA'!O250</f>
        <v>0</v>
      </c>
      <c r="P73" s="11">
        <f>'INPUT DATA'!P250</f>
        <v>0</v>
      </c>
      <c r="Q73" s="11">
        <f>'INPUT DATA'!Q250</f>
        <v>0</v>
      </c>
      <c r="R73" s="11">
        <f>'INPUT DATA'!R250</f>
        <v>0</v>
      </c>
      <c r="S73" s="11">
        <f>'INPUT DATA'!S250</f>
        <v>0</v>
      </c>
      <c r="T73" s="11"/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>'INPUT DATA'!Z250</f>
        <v>0</v>
      </c>
      <c r="AA73" s="11">
        <f>'INPUT DATA'!AA250</f>
        <v>0</v>
      </c>
      <c r="AB73" s="11">
        <f>'INPUT DATA'!AB250</f>
        <v>0</v>
      </c>
      <c r="AC73" s="11">
        <f>'INPUT DATA'!AC250</f>
        <v>0</v>
      </c>
      <c r="AD73" s="11">
        <f>'INPUT DATA'!AD250</f>
        <v>0</v>
      </c>
      <c r="AE73" s="11">
        <f>'INPUT DATA'!AE250</f>
        <v>0</v>
      </c>
      <c r="AF73" s="11">
        <f>'INPUT DATA'!AF250</f>
        <v>0</v>
      </c>
      <c r="AG73" s="11">
        <f>'INPUT DATA'!AG250</f>
        <v>0</v>
      </c>
      <c r="AH73" s="11">
        <f>'INPUT DATA'!AH250</f>
        <v>0</v>
      </c>
      <c r="AI73" s="11">
        <f>'INPUT DATA'!AI250</f>
        <v>0</v>
      </c>
      <c r="AJ73" s="11">
        <f>'INPUT DATA'!AJ250</f>
        <v>0</v>
      </c>
      <c r="AK73" s="11">
        <f>'INPUT DATA'!AK250</f>
        <v>0</v>
      </c>
    </row>
    <row r="74" spans="1:37">
      <c r="A74" s="11"/>
      <c r="B74" s="11" t="str">
        <f>'INPUT DATA'!B251</f>
        <v>Actual volumetric rate</v>
      </c>
      <c r="C74" s="11" t="str">
        <f>'INPUT DATA'!C251</f>
        <v>m3/s</v>
      </c>
      <c r="D74" s="11">
        <f>'INPUT DATA'!D251</f>
        <v>0</v>
      </c>
      <c r="E74" s="11">
        <f>'INPUT DATA'!E251</f>
        <v>0</v>
      </c>
      <c r="F74" s="11">
        <f>'INPUT DATA'!F251</f>
        <v>0</v>
      </c>
      <c r="G74" s="11">
        <f>'INPUT DATA'!G251</f>
        <v>0</v>
      </c>
      <c r="H74" s="11">
        <f>'INPUT DATA'!H251</f>
        <v>0</v>
      </c>
      <c r="I74" s="11">
        <f>'INPUT DATA'!I251</f>
        <v>0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>'INPUT DATA'!O251</f>
        <v>0</v>
      </c>
      <c r="P74" s="11">
        <f>'INPUT DATA'!P251</f>
        <v>0</v>
      </c>
      <c r="Q74" s="11">
        <f>'INPUT DATA'!Q251</f>
        <v>0</v>
      </c>
      <c r="R74" s="11">
        <f>'INPUT DATA'!R251</f>
        <v>0</v>
      </c>
      <c r="S74" s="11">
        <f>'INPUT DATA'!S251</f>
        <v>0</v>
      </c>
      <c r="T74" s="11"/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>'INPUT DATA'!Z251</f>
        <v>0</v>
      </c>
      <c r="AA74" s="11">
        <f>'INPUT DATA'!AA251</f>
        <v>0</v>
      </c>
      <c r="AB74" s="11">
        <f>'INPUT DATA'!AB251</f>
        <v>0</v>
      </c>
      <c r="AC74" s="11">
        <f>'INPUT DATA'!AC251</f>
        <v>0</v>
      </c>
      <c r="AD74" s="11">
        <f>'INPUT DATA'!AD251</f>
        <v>0</v>
      </c>
      <c r="AE74" s="11">
        <f>'INPUT DATA'!AE251</f>
        <v>0</v>
      </c>
      <c r="AF74" s="11">
        <f>'INPUT DATA'!AF251</f>
        <v>0</v>
      </c>
      <c r="AG74" s="11">
        <f>'INPUT DATA'!AG251</f>
        <v>0</v>
      </c>
      <c r="AH74" s="11">
        <f>'INPUT DATA'!AH251</f>
        <v>0</v>
      </c>
      <c r="AI74" s="11">
        <f>'INPUT DATA'!AI251</f>
        <v>0</v>
      </c>
      <c r="AJ74" s="11">
        <f>'INPUT DATA'!AJ251</f>
        <v>0</v>
      </c>
      <c r="AK74" s="11">
        <f>'INPUT DATA'!AK251</f>
        <v>0</v>
      </c>
    </row>
    <row r="75" spans="1:37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1.2256169917931095</v>
      </c>
      <c r="E75" s="16">
        <f>'INPUT DATA'!E252</f>
        <v>1.2208318160336749</v>
      </c>
      <c r="F75" s="16">
        <f>'INPUT DATA'!F252</f>
        <v>1.216019997169667</v>
      </c>
      <c r="G75" s="16">
        <f>'INPUT DATA'!G252</f>
        <v>1.2060456816777332</v>
      </c>
      <c r="H75" s="16">
        <f>'INPUT DATA'!H252</f>
        <v>1.2097808541261503</v>
      </c>
      <c r="I75" s="16">
        <f>'INPUT DATA'!I252</f>
        <v>1.2052187734283828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1.1411834041890552</v>
      </c>
      <c r="P75" s="16">
        <f>'INPUT DATA'!P252</f>
        <v>1.1393451577261218</v>
      </c>
      <c r="Q75" s="16">
        <f>'INPUT DATA'!Q252</f>
        <v>1.1393451577261218</v>
      </c>
      <c r="R75" s="16">
        <f>'INPUT DATA'!R252</f>
        <v>1.1393451577261218</v>
      </c>
      <c r="S75" s="16">
        <f>'INPUT DATA'!S252</f>
        <v>1.1393451577261218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1.1765238246074485</v>
      </c>
      <c r="AA75" s="16">
        <f>'INPUT DATA'!AA252</f>
        <v>1.1616330199970961</v>
      </c>
      <c r="AB75" s="16">
        <f>'INPUT DATA'!AB252</f>
        <v>1.1781060766711438</v>
      </c>
      <c r="AC75" s="16">
        <f>'INPUT DATA'!AC252</f>
        <v>1.2007216055430188</v>
      </c>
      <c r="AD75" s="16">
        <f>'INPUT DATA'!AD252</f>
        <v>1.1422166057017886</v>
      </c>
      <c r="AE75" s="16">
        <f>'INPUT DATA'!AE252</f>
        <v>1.1928721549970178</v>
      </c>
      <c r="AF75" s="16">
        <f>'INPUT DATA'!AF252</f>
        <v>1.1703408362028462</v>
      </c>
      <c r="AG75" s="16">
        <f>'INPUT DATA'!AG252</f>
        <v>1.154114265201708</v>
      </c>
      <c r="AH75" s="16">
        <f>'INPUT DATA'!AH252</f>
        <v>1.1623824543569838</v>
      </c>
      <c r="AI75" s="16">
        <f>'INPUT DATA'!AI252</f>
        <v>1.1419061125464005</v>
      </c>
      <c r="AJ75" s="16">
        <f>'INPUT DATA'!AJ252</f>
        <v>1.1574954593380413</v>
      </c>
      <c r="AK75" s="16">
        <f>'INPUT DATA'!AK252</f>
        <v>1.1779427656388974</v>
      </c>
    </row>
    <row r="76" spans="1:37">
      <c r="A76" s="11"/>
      <c r="B76" s="11" t="str">
        <f>'INPUT DATA'!B253</f>
        <v>Compressor Flow Rate</v>
      </c>
      <c r="C76" s="11" t="str">
        <f>'INPUT DATA'!C253</f>
        <v>kg/s</v>
      </c>
      <c r="D76" s="11">
        <f>'INPUT DATA'!D253</f>
        <v>0</v>
      </c>
      <c r="E76" s="11">
        <f>'INPUT DATA'!E253</f>
        <v>0</v>
      </c>
      <c r="F76" s="11">
        <f>'INPUT DATA'!F253</f>
        <v>0</v>
      </c>
      <c r="G76" s="11">
        <f>'INPUT DATA'!G253</f>
        <v>0</v>
      </c>
      <c r="H76" s="11">
        <f>'INPUT DATA'!H253</f>
        <v>0</v>
      </c>
      <c r="I76" s="11">
        <f>'INPUT DATA'!I253</f>
        <v>0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>'INPUT DATA'!O253</f>
        <v>0</v>
      </c>
      <c r="P76" s="11">
        <f>'INPUT DATA'!P253</f>
        <v>0</v>
      </c>
      <c r="Q76" s="11">
        <f>'INPUT DATA'!Q253</f>
        <v>0</v>
      </c>
      <c r="R76" s="11">
        <f>'INPUT DATA'!R253</f>
        <v>0</v>
      </c>
      <c r="S76" s="11">
        <f>'INPUT DATA'!S253</f>
        <v>0</v>
      </c>
      <c r="T76" s="11"/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>'INPUT DATA'!Z253</f>
        <v>0</v>
      </c>
      <c r="AA76" s="11">
        <f>'INPUT DATA'!AA253</f>
        <v>0</v>
      </c>
      <c r="AB76" s="11">
        <f>'INPUT DATA'!AB253</f>
        <v>0</v>
      </c>
      <c r="AC76" s="11">
        <f>'INPUT DATA'!AC253</f>
        <v>0</v>
      </c>
      <c r="AD76" s="11">
        <f>'INPUT DATA'!AD253</f>
        <v>0</v>
      </c>
      <c r="AE76" s="11">
        <f>'INPUT DATA'!AE253</f>
        <v>0</v>
      </c>
      <c r="AF76" s="11">
        <f>'INPUT DATA'!AF253</f>
        <v>0</v>
      </c>
      <c r="AG76" s="11">
        <f>'INPUT DATA'!AG253</f>
        <v>0</v>
      </c>
      <c r="AH76" s="11">
        <f>'INPUT DATA'!AH253</f>
        <v>0</v>
      </c>
      <c r="AI76" s="11">
        <f>'INPUT DATA'!AI253</f>
        <v>0</v>
      </c>
      <c r="AJ76" s="11">
        <f>'INPUT DATA'!AJ253</f>
        <v>0</v>
      </c>
      <c r="AK76" s="11">
        <f>'INPUT DATA'!AK253</f>
        <v>0</v>
      </c>
    </row>
    <row r="77" spans="1:37">
      <c r="A77" s="11"/>
      <c r="B77" s="11" t="str">
        <f>'INPUT DATA'!B254</f>
        <v>Actual Flow Rate/cylinder</v>
      </c>
      <c r="C77" s="11" t="str">
        <f>'INPUT DATA'!C254</f>
        <v>kg/s</v>
      </c>
      <c r="D77" s="11">
        <f>'INPUT DATA'!D254</f>
        <v>0</v>
      </c>
      <c r="E77" s="11">
        <f>'INPUT DATA'!E254</f>
        <v>0</v>
      </c>
      <c r="F77" s="11">
        <f>'INPUT DATA'!F254</f>
        <v>0</v>
      </c>
      <c r="G77" s="11">
        <f>'INPUT DATA'!G254</f>
        <v>0</v>
      </c>
      <c r="H77" s="11">
        <f>'INPUT DATA'!H254</f>
        <v>0</v>
      </c>
      <c r="I77" s="11">
        <f>'INPUT DATA'!I254</f>
        <v>0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>'INPUT DATA'!O254</f>
        <v>0</v>
      </c>
      <c r="P77" s="11">
        <f>'INPUT DATA'!P254</f>
        <v>0</v>
      </c>
      <c r="Q77" s="11">
        <f>'INPUT DATA'!Q254</f>
        <v>0</v>
      </c>
      <c r="R77" s="11">
        <f>'INPUT DATA'!R254</f>
        <v>0</v>
      </c>
      <c r="S77" s="11">
        <f>'INPUT DATA'!S254</f>
        <v>0</v>
      </c>
      <c r="T77" s="11"/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>'INPUT DATA'!Z254</f>
        <v>0</v>
      </c>
      <c r="AA77" s="11">
        <f>'INPUT DATA'!AA254</f>
        <v>0</v>
      </c>
      <c r="AB77" s="11">
        <f>'INPUT DATA'!AB254</f>
        <v>0</v>
      </c>
      <c r="AC77" s="11">
        <f>'INPUT DATA'!AC254</f>
        <v>0</v>
      </c>
      <c r="AD77" s="11">
        <f>'INPUT DATA'!AD254</f>
        <v>0</v>
      </c>
      <c r="AE77" s="11">
        <f>'INPUT DATA'!AE254</f>
        <v>0</v>
      </c>
      <c r="AF77" s="11">
        <f>'INPUT DATA'!AF254</f>
        <v>0</v>
      </c>
      <c r="AG77" s="11">
        <f>'INPUT DATA'!AG254</f>
        <v>0</v>
      </c>
      <c r="AH77" s="11">
        <f>'INPUT DATA'!AH254</f>
        <v>0</v>
      </c>
      <c r="AI77" s="11">
        <f>'INPUT DATA'!AI254</f>
        <v>0</v>
      </c>
      <c r="AJ77" s="11">
        <f>'INPUT DATA'!AJ254</f>
        <v>0</v>
      </c>
      <c r="AK77" s="11">
        <f>'INPUT DATA'!AK254</f>
        <v>0</v>
      </c>
    </row>
    <row r="78" spans="1:37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30" customFormat="1" ht="15.75">
      <c r="A79" s="30">
        <v>5</v>
      </c>
      <c r="B79" s="30" t="s">
        <v>169</v>
      </c>
      <c r="L79" s="30">
        <v>5</v>
      </c>
      <c r="M79" s="30" t="str">
        <f>$B$79</f>
        <v>EXTRA</v>
      </c>
      <c r="W79" s="30">
        <v>5</v>
      </c>
      <c r="X79" s="30" t="str">
        <f>$B$79</f>
        <v>EXTRA</v>
      </c>
    </row>
    <row r="80" spans="1:37">
      <c r="A80" s="11"/>
      <c r="B80" s="11"/>
      <c r="C80" s="11"/>
      <c r="D80" s="11"/>
      <c r="E80" s="11"/>
      <c r="F80" s="11"/>
      <c r="G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s="16" customFormat="1">
      <c r="B81" s="16" t="s">
        <v>170</v>
      </c>
      <c r="D81" s="16">
        <f>D62/D36</f>
        <v>36.465674959648886</v>
      </c>
      <c r="E81" s="16">
        <f t="shared" ref="E81:I81" si="12">E62/E36</f>
        <v>36.110579392207399</v>
      </c>
      <c r="F81" s="16">
        <f t="shared" si="12"/>
        <v>36.742344693233846</v>
      </c>
      <c r="G81" s="16">
        <f t="shared" si="12"/>
        <v>36.641342162275791</v>
      </c>
      <c r="H81" s="16">
        <f t="shared" si="12"/>
        <v>36.932593086678352</v>
      </c>
      <c r="I81" s="16">
        <f t="shared" si="12"/>
        <v>36.866448594763725</v>
      </c>
      <c r="M81" s="16" t="str">
        <f>$B$81</f>
        <v>Pcomp/Pscav</v>
      </c>
      <c r="O81" s="16">
        <f>O62/O36</f>
        <v>34.049679921335937</v>
      </c>
      <c r="P81" s="16">
        <f t="shared" ref="P81:S81" si="13">P62/P36</f>
        <v>35.646850640522509</v>
      </c>
      <c r="Q81" s="16">
        <f t="shared" si="13"/>
        <v>36.332520117889487</v>
      </c>
      <c r="R81" s="16">
        <f t="shared" si="13"/>
        <v>35.831039268224359</v>
      </c>
      <c r="S81" s="16">
        <f t="shared" si="13"/>
        <v>35.678879226236987</v>
      </c>
      <c r="X81" s="16" t="str">
        <f>$B$81</f>
        <v>Pcomp/Pscav</v>
      </c>
      <c r="Z81" s="16">
        <f>Z62/Z36</f>
        <v>48.298755186721998</v>
      </c>
      <c r="AA81" s="16">
        <f t="shared" ref="AA81:AD81" si="14">AA62/AA36</f>
        <v>49.818840579710148</v>
      </c>
      <c r="AB81" s="16">
        <f t="shared" si="14"/>
        <v>49.615942028985515</v>
      </c>
      <c r="AC81" s="16">
        <f>AC62/AC36</f>
        <v>51.096491228070178</v>
      </c>
      <c r="AD81" s="16">
        <f t="shared" si="14"/>
        <v>49.860465116279073</v>
      </c>
      <c r="AE81" s="16">
        <f t="shared" ref="AE81:AI81" si="15">AE62/AE36</f>
        <v>49.762931034482762</v>
      </c>
      <c r="AF81" s="16">
        <f t="shared" si="15"/>
        <v>47.636363636363633</v>
      </c>
      <c r="AG81" s="16">
        <f t="shared" si="15"/>
        <v>49.166666666666657</v>
      </c>
      <c r="AH81" s="16">
        <f t="shared" si="15"/>
        <v>49.070100143061516</v>
      </c>
      <c r="AI81" s="16">
        <f t="shared" si="15"/>
        <v>48.471615720524014</v>
      </c>
      <c r="AJ81" s="16">
        <f t="shared" ref="AJ81:AK81" si="16">AJ62/AJ36</f>
        <v>48.653846153846146</v>
      </c>
      <c r="AK81" s="16">
        <f t="shared" si="16"/>
        <v>48.895833333333336</v>
      </c>
    </row>
    <row r="82" spans="1:37" s="12" customFormat="1">
      <c r="B82" s="12" t="s">
        <v>172</v>
      </c>
      <c r="D82" s="12">
        <f>D27/D36</f>
        <v>4070.7419144916612</v>
      </c>
      <c r="E82" s="12">
        <f t="shared" ref="E82:I82" si="17">E27/E36</f>
        <v>4337.3825070278926</v>
      </c>
      <c r="F82" s="12">
        <f t="shared" si="17"/>
        <v>3895.5311721192293</v>
      </c>
      <c r="G82" s="12">
        <f t="shared" si="17"/>
        <v>3572.2761561846951</v>
      </c>
      <c r="H82" s="12">
        <f t="shared" si="17"/>
        <v>3411.5398017401985</v>
      </c>
      <c r="I82" s="12">
        <f t="shared" si="17"/>
        <v>3330.6841481467409</v>
      </c>
      <c r="M82" s="12" t="s">
        <v>172</v>
      </c>
      <c r="O82" s="12">
        <f>O27/O36</f>
        <v>3862.5675940521082</v>
      </c>
      <c r="P82" s="12">
        <f t="shared" ref="P82:S82" si="18">P27/P36</f>
        <v>3964.7726160194247</v>
      </c>
      <c r="Q82" s="12">
        <f t="shared" si="18"/>
        <v>3587.2459616026695</v>
      </c>
      <c r="R82" s="12">
        <f t="shared" si="18"/>
        <v>3727.5520255066117</v>
      </c>
      <c r="S82" s="12">
        <f t="shared" si="18"/>
        <v>3480.2557053370119</v>
      </c>
      <c r="X82" s="12" t="s">
        <v>172</v>
      </c>
      <c r="Z82" s="12">
        <f t="shared" ref="Z82:AD82" si="19">Z27/Z36</f>
        <v>5149.3775933609959</v>
      </c>
      <c r="AA82" s="12">
        <f t="shared" si="19"/>
        <v>5319.5652173913049</v>
      </c>
      <c r="AB82" s="12">
        <f t="shared" si="19"/>
        <v>5308.695652173913</v>
      </c>
      <c r="AC82" s="12">
        <f t="shared" si="19"/>
        <v>5828.4210526315792</v>
      </c>
      <c r="AD82" s="12">
        <f t="shared" si="19"/>
        <v>5640.6976744186049</v>
      </c>
      <c r="AE82" s="12">
        <f t="shared" ref="AE82:AI82" si="20">AE27/AE36</f>
        <v>5272.6293103448279</v>
      </c>
      <c r="AF82" s="12">
        <f t="shared" si="20"/>
        <v>5531.8181818181811</v>
      </c>
      <c r="AG82" s="12">
        <f t="shared" si="20"/>
        <v>5540.1785714285706</v>
      </c>
      <c r="AH82" s="12">
        <f t="shared" si="20"/>
        <v>5285.4077253218884</v>
      </c>
      <c r="AI82" s="12">
        <f t="shared" si="20"/>
        <v>5375.5458515283844</v>
      </c>
      <c r="AJ82" s="12">
        <f t="shared" ref="AJ82:AK82" si="21">AJ27/AJ36</f>
        <v>5290.598290598291</v>
      </c>
      <c r="AK82" s="12">
        <f t="shared" si="21"/>
        <v>5150</v>
      </c>
    </row>
    <row r="83" spans="1:37">
      <c r="A83" s="11"/>
      <c r="B83" s="11" t="s">
        <v>173</v>
      </c>
      <c r="C83" s="11" t="s">
        <v>20</v>
      </c>
      <c r="D83" s="11">
        <f>D36-D38</f>
        <v>6.999999999999984E-2</v>
      </c>
      <c r="E83" s="11">
        <f t="shared" ref="E83:I83" si="22">E36-E38</f>
        <v>0.15000000000000036</v>
      </c>
      <c r="F83" s="11">
        <f t="shared" si="22"/>
        <v>0.20000000000000018</v>
      </c>
      <c r="G83" s="11">
        <f t="shared" si="22"/>
        <v>0.29000000000000004</v>
      </c>
      <c r="H83" s="11">
        <f t="shared" si="22"/>
        <v>0.2799999999999998</v>
      </c>
      <c r="I83" s="11">
        <f t="shared" si="22"/>
        <v>0.24000000000000021</v>
      </c>
      <c r="M83" s="11" t="s">
        <v>173</v>
      </c>
      <c r="N83" s="11" t="s">
        <v>20</v>
      </c>
      <c r="O83" s="11">
        <f>O36-O38</f>
        <v>2.0593965000000001</v>
      </c>
      <c r="P83" s="11">
        <f t="shared" ref="P83:S83" si="23">P36-P38</f>
        <v>1.9122967499999999</v>
      </c>
      <c r="Q83" s="11">
        <f t="shared" si="23"/>
        <v>2.5497290000000001</v>
      </c>
      <c r="R83" s="11">
        <f t="shared" si="23"/>
        <v>2.3437893500000002</v>
      </c>
      <c r="S83" s="11">
        <f t="shared" si="23"/>
        <v>2.8439285000000001</v>
      </c>
      <c r="X83" s="11" t="s">
        <v>173</v>
      </c>
      <c r="Y83" s="11" t="s">
        <v>20</v>
      </c>
      <c r="Z83" s="11">
        <f t="shared" ref="Z83:AD83" si="24">Z36-Z38</f>
        <v>0.26000000000000023</v>
      </c>
      <c r="AA83" s="11">
        <f t="shared" si="24"/>
        <v>0.19999999999999973</v>
      </c>
      <c r="AB83" s="11">
        <f t="shared" si="24"/>
        <v>0.29999999999999982</v>
      </c>
      <c r="AC83" s="11">
        <f t="shared" si="24"/>
        <v>0.44999999999999996</v>
      </c>
      <c r="AD83" s="11">
        <f t="shared" si="24"/>
        <v>0.25</v>
      </c>
      <c r="AE83" s="11">
        <f t="shared" ref="AE83:AI83" si="25">AE36-AE38</f>
        <v>0.21999999999999975</v>
      </c>
      <c r="AF83" s="11">
        <f t="shared" si="25"/>
        <v>0.20000000000000018</v>
      </c>
      <c r="AG83" s="11">
        <f t="shared" si="25"/>
        <v>0.3400000000000003</v>
      </c>
      <c r="AH83" s="11">
        <f t="shared" si="25"/>
        <v>0.33000000000000007</v>
      </c>
      <c r="AI83" s="11">
        <f t="shared" si="25"/>
        <v>0.39000000000000012</v>
      </c>
      <c r="AJ83" s="11">
        <f t="shared" ref="AJ83:AK83" si="26">AJ36-AJ38</f>
        <v>0.33999999999999986</v>
      </c>
      <c r="AK83" s="11">
        <f t="shared" si="26"/>
        <v>0.29999999999999982</v>
      </c>
    </row>
    <row r="84" spans="1:37" s="11" customFormat="1">
      <c r="B84" s="11" t="s">
        <v>193</v>
      </c>
      <c r="C84" s="11" t="s">
        <v>20</v>
      </c>
      <c r="D84" s="16">
        <f>D61-D62</f>
        <v>25.749999999999993</v>
      </c>
      <c r="E84" s="16">
        <f t="shared" ref="E84:I84" si="27">E61-E62</f>
        <v>26.833333333333329</v>
      </c>
      <c r="F84" s="16">
        <f t="shared" si="27"/>
        <v>27.333333333333357</v>
      </c>
      <c r="G84" s="16">
        <f t="shared" si="27"/>
        <v>25</v>
      </c>
      <c r="H84" s="16">
        <f t="shared" si="27"/>
        <v>10.833333333333343</v>
      </c>
      <c r="I84" s="16">
        <f t="shared" si="27"/>
        <v>3.6666666666666572</v>
      </c>
      <c r="J84" s="16"/>
      <c r="K84" s="16"/>
      <c r="M84" s="11" t="s">
        <v>193</v>
      </c>
      <c r="N84" s="11" t="s">
        <v>20</v>
      </c>
      <c r="O84" s="16">
        <f>O61-O62</f>
        <v>26.499999999999986</v>
      </c>
      <c r="P84" s="16">
        <f t="shared" ref="P84:S84" si="28">P61-P62</f>
        <v>26.000000000000014</v>
      </c>
      <c r="Q84" s="16">
        <f t="shared" si="28"/>
        <v>16.833333333333343</v>
      </c>
      <c r="R84" s="16">
        <f t="shared" si="28"/>
        <v>25.333333333333329</v>
      </c>
      <c r="S84" s="16">
        <f t="shared" si="28"/>
        <v>9</v>
      </c>
      <c r="X84" s="11" t="s">
        <v>193</v>
      </c>
      <c r="Y84" s="11" t="s">
        <v>20</v>
      </c>
      <c r="Z84" s="16">
        <f>Z61-Z62</f>
        <v>20.09999999999998</v>
      </c>
      <c r="AA84" s="16">
        <f t="shared" ref="AA84:AI84" si="29">AA61-AA62</f>
        <v>20.916666666666671</v>
      </c>
      <c r="AB84" s="16">
        <f t="shared" si="29"/>
        <v>20.049999999999983</v>
      </c>
      <c r="AC84" s="16">
        <f t="shared" si="29"/>
        <v>23.083333333333343</v>
      </c>
      <c r="AD84" s="16">
        <f t="shared" si="29"/>
        <v>21.63333333333334</v>
      </c>
      <c r="AE84" s="16">
        <f t="shared" si="29"/>
        <v>19.88333333333334</v>
      </c>
      <c r="AF84" s="16">
        <f t="shared" si="29"/>
        <v>21.366666666666674</v>
      </c>
      <c r="AG84" s="16">
        <f t="shared" si="29"/>
        <v>19.033333333333331</v>
      </c>
      <c r="AH84" s="16">
        <f t="shared" si="29"/>
        <v>19.666666666666671</v>
      </c>
      <c r="AI84" s="16">
        <f t="shared" si="29"/>
        <v>21.333333333333343</v>
      </c>
      <c r="AJ84" s="16">
        <f t="shared" ref="AJ84:AK84" si="30">AJ61-AJ62</f>
        <v>20.816666666666677</v>
      </c>
      <c r="AK84" s="16">
        <f t="shared" si="30"/>
        <v>20.983333333333334</v>
      </c>
    </row>
    <row r="85" spans="1:37" s="16" customFormat="1">
      <c r="B85" s="16" t="s">
        <v>180</v>
      </c>
      <c r="C85" s="16" t="s">
        <v>77</v>
      </c>
      <c r="D85" s="16">
        <f>D33*D68^'INPUT DATA'!$J$12</f>
        <v>314.54225513729625</v>
      </c>
      <c r="E85" s="16">
        <f>E33*E68^'INPUT DATA'!$J$12</f>
        <v>357.52912941898791</v>
      </c>
      <c r="F85" s="16">
        <f>F33*F68^'INPUT DATA'!$J$12</f>
        <v>393.49901620447224</v>
      </c>
      <c r="G85" s="16">
        <f>G33*G68^'INPUT DATA'!$J$12</f>
        <v>414.7875312028425</v>
      </c>
      <c r="H85" s="16">
        <f>H33*H68^'INPUT DATA'!$J$12</f>
        <v>425.82980088917185</v>
      </c>
      <c r="I85" s="16">
        <f>I33*I68^'INPUT DATA'!$J$12</f>
        <v>435.66025703475623</v>
      </c>
      <c r="M85" s="16" t="s">
        <v>180</v>
      </c>
      <c r="N85" s="16" t="s">
        <v>77</v>
      </c>
      <c r="O85" s="16">
        <f>O33*O68^'INPUT DATA'!$J$12</f>
        <v>426.56039178032404</v>
      </c>
      <c r="P85" s="16">
        <f>P33*P68^'INPUT DATA'!$J$12</f>
        <v>421.28801433386394</v>
      </c>
      <c r="Q85" s="16">
        <f>Q33*Q68^'INPUT DATA'!$J$12</f>
        <v>445.83044268739604</v>
      </c>
      <c r="R85" s="16">
        <f>R33*R68^'INPUT DATA'!$J$12</f>
        <v>438.23794349338419</v>
      </c>
      <c r="S85" s="16">
        <f>S33*S68^'INPUT DATA'!$J$12</f>
        <v>456.10432137483843</v>
      </c>
      <c r="X85" s="16" t="s">
        <v>180</v>
      </c>
      <c r="Y85" s="16" t="s">
        <v>77</v>
      </c>
      <c r="Z85" s="16" t="e">
        <f>Z33*Z68^'INPUT DATA'!$J$12</f>
        <v>#NUM!</v>
      </c>
      <c r="AA85" s="16" t="e">
        <f>AA33*AA68^'INPUT DATA'!$J$12</f>
        <v>#NUM!</v>
      </c>
      <c r="AB85" s="16" t="e">
        <f>AB33*AB68^'INPUT DATA'!$J$12</f>
        <v>#NUM!</v>
      </c>
      <c r="AC85" s="16" t="e">
        <f>AC33*AC68^'INPUT DATA'!$J$12</f>
        <v>#NUM!</v>
      </c>
      <c r="AD85" s="16" t="e">
        <f>AD33*AD68^'INPUT DATA'!$J$12</f>
        <v>#NUM!</v>
      </c>
      <c r="AE85" s="16" t="e">
        <f>AE33*AE68^'INPUT DATA'!$J$12</f>
        <v>#NUM!</v>
      </c>
      <c r="AF85" s="16" t="e">
        <f>AF33*AF68^'INPUT DATA'!$J$12</f>
        <v>#NUM!</v>
      </c>
      <c r="AG85" s="16" t="e">
        <f>AG33*AG68^'INPUT DATA'!$J$12</f>
        <v>#NUM!</v>
      </c>
      <c r="AH85" s="16" t="e">
        <f>AH33*AH68^'INPUT DATA'!$J$12</f>
        <v>#NUM!</v>
      </c>
      <c r="AI85" s="16" t="e">
        <f>AI33*AI68^'INPUT DATA'!$J$12</f>
        <v>#NUM!</v>
      </c>
      <c r="AJ85" s="16" t="e">
        <f>AJ33*AJ68^'INPUT DATA'!$J$12</f>
        <v>#NUM!</v>
      </c>
      <c r="AK85" s="16" t="e">
        <f>AK33*AK68^'INPUT DATA'!$J$12</f>
        <v>#NUM!</v>
      </c>
    </row>
    <row r="86" spans="1:37" s="16" customFormat="1">
      <c r="B86" s="16" t="s">
        <v>183</v>
      </c>
      <c r="C86" s="16" t="s">
        <v>77</v>
      </c>
      <c r="D86" s="16">
        <f>D39*(1/D69)^'INPUT DATA'!$J$13</f>
        <v>500.0320111236984</v>
      </c>
      <c r="E86" s="16">
        <f>E39*(1/E69)^'INPUT DATA'!$J$13</f>
        <v>491.84367905898438</v>
      </c>
      <c r="F86" s="16">
        <f>F39*(1/F69)^'INPUT DATA'!$J$13</f>
        <v>467.89042344379175</v>
      </c>
      <c r="G86" s="16">
        <f>G39*(1/G69)^'INPUT DATA'!$J$13</f>
        <v>465.42368530479212</v>
      </c>
      <c r="H86" s="16">
        <f>H39*(1/H69)^'INPUT DATA'!$J$13</f>
        <v>467.20942182326149</v>
      </c>
      <c r="I86" s="16">
        <f>I39*(1/I69)^'INPUT DATA'!$J$13</f>
        <v>472.16966142003082</v>
      </c>
      <c r="M86" s="16" t="s">
        <v>181</v>
      </c>
      <c r="N86" s="16" t="s">
        <v>77</v>
      </c>
      <c r="O86" s="16" t="e">
        <f>O39*(1/O69)^'INPUT DATA'!$J$13</f>
        <v>#DIV/0!</v>
      </c>
      <c r="P86" s="16" t="e">
        <f>P39*(1/P69)^'INPUT DATA'!$J$13</f>
        <v>#DIV/0!</v>
      </c>
      <c r="Q86" s="16" t="e">
        <f>Q39*(1/Q69)^'INPUT DATA'!$J$13</f>
        <v>#DIV/0!</v>
      </c>
      <c r="R86" s="16" t="e">
        <f>R39*(1/R69)^'INPUT DATA'!$J$13</f>
        <v>#DIV/0!</v>
      </c>
      <c r="S86" s="16" t="e">
        <f>S39*(1/S69)^'INPUT DATA'!$J$13</f>
        <v>#DIV/0!</v>
      </c>
      <c r="X86" s="16" t="s">
        <v>181</v>
      </c>
      <c r="Y86" s="16" t="s">
        <v>77</v>
      </c>
      <c r="Z86" s="16" t="e">
        <f>Z39*(1/Z69)^'INPUT DATA'!$J$13</f>
        <v>#DIV/0!</v>
      </c>
      <c r="AA86" s="16" t="e">
        <f>AA39*(1/AA69)^'INPUT DATA'!$J$13</f>
        <v>#DIV/0!</v>
      </c>
      <c r="AB86" s="16" t="e">
        <f>AB39*(1/AB69)^'INPUT DATA'!$J$13</f>
        <v>#DIV/0!</v>
      </c>
      <c r="AC86" s="16" t="e">
        <f>AC39*(1/AC69)^'INPUT DATA'!$J$13</f>
        <v>#DIV/0!</v>
      </c>
      <c r="AD86" s="16" t="e">
        <f>AD39*(1/AD69)^'INPUT DATA'!$J$13</f>
        <v>#DIV/0!</v>
      </c>
      <c r="AE86" s="16" t="e">
        <f>AE39*(1/AE69)^'INPUT DATA'!$J$13</f>
        <v>#DIV/0!</v>
      </c>
      <c r="AF86" s="16" t="e">
        <f>AF39*(1/AF69)^'INPUT DATA'!$J$13</f>
        <v>#DIV/0!</v>
      </c>
      <c r="AG86" s="16" t="e">
        <f>AG39*(1/AG69)^'INPUT DATA'!$J$13</f>
        <v>#DIV/0!</v>
      </c>
      <c r="AH86" s="16" t="e">
        <f>AH39*(1/AH69)^'INPUT DATA'!$J$13</f>
        <v>#DIV/0!</v>
      </c>
      <c r="AI86" s="16" t="e">
        <f>AI39*(1/AI69)^'INPUT DATA'!$J$13</f>
        <v>#DIV/0!</v>
      </c>
      <c r="AJ86" s="16" t="e">
        <f>AJ39*(1/AJ69)^'INPUT DATA'!$J$13</f>
        <v>#DIV/0!</v>
      </c>
      <c r="AK86" s="16" t="e">
        <f>AK39*(1/AK69)^'INPUT DATA'!$J$13</f>
        <v>#DIV/0!</v>
      </c>
    </row>
    <row r="87" spans="1:37" s="47" customFormat="1">
      <c r="B87" s="47" t="s">
        <v>184</v>
      </c>
      <c r="D87" s="47">
        <f>0.9055*D33*(D68^'INPUT DATA'!$J$12-1)/(D39*(1-(1/D69^'INPUT DATA'!$J$13)))</f>
        <v>0.69256751447958831</v>
      </c>
      <c r="E87" s="47">
        <f>0.9055*E33*(E68^'INPUT DATA'!$J$12-1)/(E39*(1-(1/E69^'INPUT DATA'!$J$13)))</f>
        <v>0.65726702143567206</v>
      </c>
      <c r="F87" s="47">
        <f>0.9055*F33*(F68^'INPUT DATA'!$J$12-1)/(F39*(1-(1/F69^'INPUT DATA'!$J$13)))</f>
        <v>0.67269709127731847</v>
      </c>
      <c r="G87" s="47">
        <f>0.9055*G33*(G68^'INPUT DATA'!$J$12-1)/(G39*(1-(1/G69^'INPUT DATA'!$J$13)))</f>
        <v>0.69242331635018184</v>
      </c>
      <c r="H87" s="47">
        <f>0.9055*H33*(H68^'INPUT DATA'!$J$12-1)/(H39*(1-(1/H69^'INPUT DATA'!$J$13)))</f>
        <v>0.67674474094770665</v>
      </c>
      <c r="I87" s="47">
        <f>0.9055*I33*(I68^'INPUT DATA'!$J$12-1)/(I39*(1-(1/I69^'INPUT DATA'!$J$13)))</f>
        <v>0.6651484209564239</v>
      </c>
      <c r="M87" s="47" t="s">
        <v>184</v>
      </c>
      <c r="O87" s="47" t="e">
        <f>0.9055*O33*(O68^'INPUT DATA'!$J$12-1)/(O39*(1-(1/O69^'INPUT DATA'!$J$13)))</f>
        <v>#DIV/0!</v>
      </c>
      <c r="P87" s="47" t="e">
        <f>0.9055*P33*(P68^'INPUT DATA'!$J$12-1)/(P39*(1-(1/P69^'INPUT DATA'!$J$13)))</f>
        <v>#DIV/0!</v>
      </c>
      <c r="Q87" s="47" t="e">
        <f>0.9055*Q33*(Q68^'INPUT DATA'!$J$12-1)/(Q39*(1-(1/Q69^'INPUT DATA'!$J$13)))</f>
        <v>#DIV/0!</v>
      </c>
      <c r="R87" s="47" t="e">
        <f>0.9055*R33*(R68^'INPUT DATA'!$J$12-1)/(R39*(1-(1/R69^'INPUT DATA'!$J$13)))</f>
        <v>#DIV/0!</v>
      </c>
      <c r="S87" s="47" t="e">
        <f>0.9055*S33*(S68^'INPUT DATA'!$J$12-1)/(S39*(1-(1/S69^'INPUT DATA'!$J$13)))</f>
        <v>#DIV/0!</v>
      </c>
      <c r="X87" s="47" t="s">
        <v>184</v>
      </c>
      <c r="Z87" s="47" t="e">
        <f>0.9055*Z33*(Z68^'INPUT DATA'!$J$12-1)/(Z39*(1-(1/Z69^'INPUT DATA'!$J$13)))</f>
        <v>#NUM!</v>
      </c>
      <c r="AA87" s="47" t="e">
        <f>0.9055*AA33*(AA68^'INPUT DATA'!$J$12-1)/(AA39*(1-(1/AA69^'INPUT DATA'!$J$13)))</f>
        <v>#NUM!</v>
      </c>
      <c r="AB87" s="47" t="e">
        <f>0.9055*AB33*(AB68^'INPUT DATA'!$J$12-1)/(AB39*(1-(1/AB69^'INPUT DATA'!$J$13)))</f>
        <v>#NUM!</v>
      </c>
      <c r="AC87" s="47" t="e">
        <f>0.9055*AC33*(AC68^'INPUT DATA'!$J$12-1)/(AC39*(1-(1/AC69^'INPUT DATA'!$J$13)))</f>
        <v>#NUM!</v>
      </c>
      <c r="AD87" s="47" t="e">
        <f>0.9055*AD33*(AD68^'INPUT DATA'!$J$12-1)/(AD39*(1-(1/AD69^'INPUT DATA'!$J$13)))</f>
        <v>#NUM!</v>
      </c>
      <c r="AE87" s="47" t="e">
        <f>0.9055*AE33*(AE68^'INPUT DATA'!$J$12-1)/(AE39*(1-(1/AE69^'INPUT DATA'!$J$13)))</f>
        <v>#NUM!</v>
      </c>
      <c r="AF87" s="47" t="e">
        <f>0.9055*AF33*(AF68^'INPUT DATA'!$J$12-1)/(AF39*(1-(1/AF69^'INPUT DATA'!$J$13)))</f>
        <v>#NUM!</v>
      </c>
      <c r="AG87" s="47" t="e">
        <f>0.9055*AG33*(AG68^'INPUT DATA'!$J$12-1)/(AG39*(1-(1/AG69^'INPUT DATA'!$J$13)))</f>
        <v>#NUM!</v>
      </c>
      <c r="AH87" s="47" t="e">
        <f>0.9055*AH33*(AH68^'INPUT DATA'!$J$12-1)/(AH39*(1-(1/AH69^'INPUT DATA'!$J$13)))</f>
        <v>#NUM!</v>
      </c>
      <c r="AI87" s="47" t="e">
        <f>0.9055*AI33*(AI68^'INPUT DATA'!$J$12-1)/(AI39*(1-(1/AI69^'INPUT DATA'!$J$13)))</f>
        <v>#NUM!</v>
      </c>
      <c r="AJ87" s="47" t="e">
        <f>0.9055*AJ33*(AJ68^'INPUT DATA'!$J$12-1)/(AJ39*(1-(1/AJ69^'INPUT DATA'!$J$13)))</f>
        <v>#NUM!</v>
      </c>
      <c r="AK87" s="47" t="e">
        <f>0.9055*AK33*(AK68^'INPUT DATA'!$J$12-1)/(AK39*(1-(1/AK69^'INPUT DATA'!$J$13)))</f>
        <v>#NUM!</v>
      </c>
    </row>
    <row r="88" spans="1:37" s="47" customFormat="1">
      <c r="B88" s="47" t="s">
        <v>186</v>
      </c>
      <c r="D88" s="47">
        <f>(D68^'INPUT DATA'!$J$12-1)*3614400*D33/((PI()*D27*'INPUT DATA'!$C$14)^2)/'INPUT DATA'!$C$15</f>
        <v>0.82324419377495583</v>
      </c>
      <c r="E88" s="47">
        <f>(E68^'INPUT DATA'!$J$12-1)*3614400*E33/((PI()*E27*'INPUT DATA'!$C$14)^2)/'INPUT DATA'!$C$15</f>
        <v>0.7733737043275386</v>
      </c>
      <c r="F88" s="47">
        <f>(F68^'INPUT DATA'!$J$12-1)*3614400*F33/((PI()*F27*'INPUT DATA'!$C$14)^2)/'INPUT DATA'!$C$15</f>
        <v>0.75839788862565827</v>
      </c>
      <c r="G88" s="47">
        <f>(G68^'INPUT DATA'!$J$12-1)*3614400*G33/((PI()*G27*'INPUT DATA'!$C$14)^2)/'INPUT DATA'!$C$15</f>
        <v>0.77969919517434116</v>
      </c>
      <c r="H88" s="47">
        <f>(H68^'INPUT DATA'!$J$12-1)*3614400*H33/((PI()*H27*'INPUT DATA'!$C$14)^2)/'INPUT DATA'!$C$15</f>
        <v>0.76438386855207641</v>
      </c>
      <c r="I88" s="47">
        <f>(I68^'INPUT DATA'!$J$12-1)*3614400*I33/((PI()*I27*'INPUT DATA'!$C$14)^2)/'INPUT DATA'!$C$15</f>
        <v>0.74810409672059242</v>
      </c>
      <c r="M88" s="47" t="s">
        <v>186</v>
      </c>
      <c r="O88" s="47">
        <f>(O68^'INPUT DATA'!$J$12-1)*3614400*O33/((PI()*O27*'INPUT DATA'!$C$14)^2)/'INPUT DATA'!$C$15</f>
        <v>0.78961328302705691</v>
      </c>
      <c r="P88" s="47">
        <f>(P68^'INPUT DATA'!$J$12-1)*3614400*P33/((PI()*P27*'INPUT DATA'!$C$14)^2)/'INPUT DATA'!$C$15</f>
        <v>0.78573794325161139</v>
      </c>
      <c r="Q88" s="47">
        <f>(Q68^'INPUT DATA'!$J$12-1)*3614400*Q33/((PI()*Q27*'INPUT DATA'!$C$14)^2)/'INPUT DATA'!$C$15</f>
        <v>0.79050251527824866</v>
      </c>
      <c r="R88" s="47">
        <f>(R68^'INPUT DATA'!$J$12-1)*3614400*R33/((PI()*R27*'INPUT DATA'!$C$14)^2)/'INPUT DATA'!$C$15</f>
        <v>0.7784117257293024</v>
      </c>
      <c r="S88" s="47">
        <f>(S68^'INPUT DATA'!$J$12-1)*3614400*S33/((PI()*S27*'INPUT DATA'!$C$14)^2)/'INPUT DATA'!$C$15</f>
        <v>0.77104310642399398</v>
      </c>
      <c r="X88" s="47" t="s">
        <v>186</v>
      </c>
      <c r="Z88" s="47" t="e">
        <f>(Z68^'INPUT DATA'!$J$12-1)*3614400*Z33/((PI()*Z27*'INPUT DATA'!$C$14)^2)/'INPUT DATA'!$C$15</f>
        <v>#NUM!</v>
      </c>
      <c r="AA88" s="47" t="e">
        <f>(AA68^'INPUT DATA'!$J$12-1)*3614400*AA33/((PI()*AA27*'INPUT DATA'!$C$14)^2)/'INPUT DATA'!$C$15</f>
        <v>#NUM!</v>
      </c>
      <c r="AB88" s="47" t="e">
        <f>(AB68^'INPUT DATA'!$J$12-1)*3614400*AB33/((PI()*AB27*'INPUT DATA'!$C$14)^2)/'INPUT DATA'!$C$15</f>
        <v>#NUM!</v>
      </c>
      <c r="AC88" s="47" t="e">
        <f>(AC68^'INPUT DATA'!$J$12-1)*3614400*AC33/((PI()*AC27*'INPUT DATA'!$C$14)^2)/'INPUT DATA'!$C$15</f>
        <v>#NUM!</v>
      </c>
      <c r="AD88" s="47" t="e">
        <f>(AD68^'INPUT DATA'!$J$12-1)*3614400*AD33/((PI()*AD27*'INPUT DATA'!$C$14)^2)/'INPUT DATA'!$C$15</f>
        <v>#NUM!</v>
      </c>
      <c r="AE88" s="47" t="e">
        <f>(AE68^'INPUT DATA'!$J$12-1)*3614400*AE33/((PI()*AE27*'INPUT DATA'!$C$14)^2)/'INPUT DATA'!$C$15</f>
        <v>#NUM!</v>
      </c>
      <c r="AF88" s="47" t="e">
        <f>(AF68^'INPUT DATA'!$J$12-1)*3614400*AF33/((PI()*AF27*'INPUT DATA'!$C$14)^2)/'INPUT DATA'!$C$15</f>
        <v>#NUM!</v>
      </c>
      <c r="AG88" s="47" t="e">
        <f>(AG68^'INPUT DATA'!$J$12-1)*3614400*AG33/((PI()*AG27*'INPUT DATA'!$C$14)^2)/'INPUT DATA'!$C$15</f>
        <v>#NUM!</v>
      </c>
      <c r="AH88" s="47" t="e">
        <f>(AH68^'INPUT DATA'!$J$12-1)*3614400*AH33/((PI()*AH27*'INPUT DATA'!$C$14)^2)/'INPUT DATA'!$C$15</f>
        <v>#NUM!</v>
      </c>
      <c r="AI88" s="47" t="e">
        <f>(AI68^'INPUT DATA'!$J$12-1)*3614400*AI33/((PI()*AI27*'INPUT DATA'!$C$14)^2)/'INPUT DATA'!$C$15</f>
        <v>#NUM!</v>
      </c>
      <c r="AJ88" s="47" t="e">
        <f>(AJ68^'INPUT DATA'!$J$12-1)*3614400*AJ33/((PI()*AJ27*'INPUT DATA'!$C$14)^2)/'INPUT DATA'!$C$15</f>
        <v>#NUM!</v>
      </c>
      <c r="AK88" s="47" t="e">
        <f>(AK68^'INPUT DATA'!$J$12-1)*3614400*AK33/((PI()*AK27*'INPUT DATA'!$C$14)^2)/'INPUT DATA'!$C$15</f>
        <v>#NUM!</v>
      </c>
    </row>
    <row r="89" spans="1:37" s="47" customFormat="1">
      <c r="B89" s="47" t="s">
        <v>185</v>
      </c>
      <c r="D89" s="47">
        <f>D87/D88</f>
        <v>0.8412661998912444</v>
      </c>
      <c r="E89" s="47">
        <f t="shared" ref="E89:I89" si="31">E87/E88</f>
        <v>0.84986988535791597</v>
      </c>
      <c r="F89" s="47">
        <f t="shared" si="31"/>
        <v>0.88699757919468403</v>
      </c>
      <c r="G89" s="47">
        <f t="shared" si="31"/>
        <v>0.88806468011725426</v>
      </c>
      <c r="H89" s="47">
        <f t="shared" si="31"/>
        <v>0.88534670705390606</v>
      </c>
      <c r="I89" s="47">
        <f t="shared" si="31"/>
        <v>0.88911212205919599</v>
      </c>
      <c r="M89" s="47" t="s">
        <v>185</v>
      </c>
      <c r="O89" s="47" t="e">
        <f>O87/O88</f>
        <v>#DIV/0!</v>
      </c>
      <c r="P89" s="47" t="e">
        <f t="shared" ref="P89" si="32">P87/P88</f>
        <v>#DIV/0!</v>
      </c>
      <c r="Q89" s="47" t="e">
        <f t="shared" ref="Q89" si="33">Q87/Q88</f>
        <v>#DIV/0!</v>
      </c>
      <c r="R89" s="47" t="e">
        <f t="shared" ref="R89" si="34">R87/R88</f>
        <v>#DIV/0!</v>
      </c>
      <c r="S89" s="47" t="e">
        <f t="shared" ref="S89" si="35">S87/S88</f>
        <v>#DIV/0!</v>
      </c>
      <c r="X89" s="47" t="s">
        <v>185</v>
      </c>
      <c r="Z89" s="47" t="e">
        <f t="shared" ref="Z89" si="36">Z87/Z88</f>
        <v>#NUM!</v>
      </c>
      <c r="AA89" s="47" t="e">
        <f t="shared" ref="AA89" si="37">AA87/AA88</f>
        <v>#NUM!</v>
      </c>
      <c r="AB89" s="47" t="e">
        <f t="shared" ref="AB89" si="38">AB87/AB88</f>
        <v>#NUM!</v>
      </c>
      <c r="AC89" s="47" t="e">
        <f t="shared" ref="AC89" si="39">AC87/AC88</f>
        <v>#NUM!</v>
      </c>
      <c r="AD89" s="47" t="e">
        <f t="shared" ref="AD89:AI89" si="40">AD87/AD88</f>
        <v>#NUM!</v>
      </c>
      <c r="AE89" s="47" t="e">
        <f t="shared" si="40"/>
        <v>#NUM!</v>
      </c>
      <c r="AF89" s="47" t="e">
        <f t="shared" si="40"/>
        <v>#NUM!</v>
      </c>
      <c r="AG89" s="47" t="e">
        <f t="shared" si="40"/>
        <v>#NUM!</v>
      </c>
      <c r="AH89" s="47" t="e">
        <f t="shared" si="40"/>
        <v>#NUM!</v>
      </c>
      <c r="AI89" s="47" t="e">
        <f t="shared" si="40"/>
        <v>#NUM!</v>
      </c>
      <c r="AJ89" s="47" t="e">
        <f t="shared" ref="AJ89:AK89" si="41">AJ87/AJ88</f>
        <v>#NUM!</v>
      </c>
      <c r="AK89" s="47" t="e">
        <f t="shared" si="41"/>
        <v>#NUM!</v>
      </c>
    </row>
    <row r="90" spans="1:37">
      <c r="A90" s="11"/>
      <c r="B90" s="47" t="s">
        <v>213</v>
      </c>
      <c r="C90" s="11" t="s">
        <v>214</v>
      </c>
      <c r="D90" s="16">
        <f t="shared" ref="D90:I90" si="42">30*D48/PI()/D8</f>
        <v>717.54946085156917</v>
      </c>
      <c r="E90" s="11">
        <f t="shared" si="42"/>
        <v>1119.3517777279958</v>
      </c>
      <c r="F90" s="11">
        <f t="shared" si="42"/>
        <v>1475.3041144058097</v>
      </c>
      <c r="G90" s="11">
        <f t="shared" si="42"/>
        <v>1670.4567526722078</v>
      </c>
      <c r="H90" s="11">
        <f t="shared" si="42"/>
        <v>1796.5819261074002</v>
      </c>
      <c r="I90" s="11">
        <f t="shared" si="42"/>
        <v>1904.9759334043808</v>
      </c>
      <c r="M90" s="47" t="s">
        <v>213</v>
      </c>
      <c r="N90" s="11" t="s">
        <v>214</v>
      </c>
      <c r="O90" s="11">
        <f>30*O48/PI()/O8</f>
        <v>1463.1437498557561</v>
      </c>
      <c r="P90" s="11">
        <f>30*P48/PI()/P8</f>
        <v>1389.4477275542397</v>
      </c>
      <c r="Q90" s="11">
        <f>30*Q48/PI()/Q8</f>
        <v>1628.1735717876165</v>
      </c>
      <c r="R90" s="11">
        <f>30*R48/PI()/R8</f>
        <v>1544.7088709690086</v>
      </c>
      <c r="S90" s="11">
        <f>30*S48/PI()/S8</f>
        <v>1733.5694238067115</v>
      </c>
      <c r="X90" s="47" t="s">
        <v>213</v>
      </c>
      <c r="Y90" t="s">
        <v>214</v>
      </c>
      <c r="Z90">
        <f t="shared" ref="Z90:AI90" si="43">30*Z48/PI()/Z8</f>
        <v>1370.6962578702885</v>
      </c>
      <c r="AA90" s="11">
        <f t="shared" si="43"/>
        <v>1300.8725254267931</v>
      </c>
      <c r="AB90" s="11">
        <f t="shared" si="43"/>
        <v>1316.291700443071</v>
      </c>
      <c r="AC90" s="11">
        <f t="shared" si="43"/>
        <v>1135.8760953323238</v>
      </c>
      <c r="AD90" s="11">
        <f t="shared" si="43"/>
        <v>1299.8649669184285</v>
      </c>
      <c r="AE90" s="11">
        <f t="shared" si="43"/>
        <v>1354.2330938052983</v>
      </c>
      <c r="AF90" s="11">
        <f t="shared" si="43"/>
        <v>1299.1125010475801</v>
      </c>
      <c r="AG90" s="11">
        <f t="shared" si="43"/>
        <v>1354.5429674060742</v>
      </c>
      <c r="AH90" s="11">
        <f t="shared" si="43"/>
        <v>1345.8361618228221</v>
      </c>
      <c r="AI90" s="11">
        <f t="shared" si="43"/>
        <v>1339.0916883121429</v>
      </c>
      <c r="AJ90" s="11">
        <f t="shared" ref="AJ90:AK90" si="44">30*AJ48/PI()/AJ8</f>
        <v>1361.7562562724481</v>
      </c>
      <c r="AK90" s="11">
        <f t="shared" si="44"/>
        <v>1388.8125744257536</v>
      </c>
    </row>
    <row r="91" spans="1:37">
      <c r="A91" s="11"/>
      <c r="B91" s="11"/>
      <c r="C91" s="11"/>
      <c r="D91" s="46"/>
      <c r="E91" s="46"/>
      <c r="F91" s="46"/>
      <c r="G91" s="46"/>
      <c r="H91" s="46"/>
      <c r="I91" s="46"/>
      <c r="AJ91" s="11"/>
      <c r="AK91" s="11"/>
    </row>
    <row r="92" spans="1:37">
      <c r="A92" s="11"/>
      <c r="B92" s="47" t="s">
        <v>209</v>
      </c>
      <c r="C92" s="11"/>
      <c r="D92" s="11">
        <f>D19*'INPUT DATA'!$J$6</f>
        <v>0</v>
      </c>
      <c r="E92" s="11">
        <f>E19*'INPUT DATA'!$J$6</f>
        <v>3.9226599999999997E-3</v>
      </c>
      <c r="F92" s="11">
        <f>F19*'INPUT DATA'!$J$6</f>
        <v>7.8453199999999994E-3</v>
      </c>
      <c r="G92" s="11">
        <f>G19*'INPUT DATA'!$J$6</f>
        <v>1.4709975E-2</v>
      </c>
      <c r="H92" s="11">
        <f>H19*'INPUT DATA'!$J$6</f>
        <v>1.5690639999999999E-2</v>
      </c>
      <c r="I92" s="11">
        <f>I19*'INPUT DATA'!$J$6</f>
        <v>2.2555295E-2</v>
      </c>
      <c r="M92" s="47" t="s">
        <v>210</v>
      </c>
      <c r="O92">
        <f>$S$23/42700</f>
        <v>0</v>
      </c>
      <c r="P92" s="11">
        <f t="shared" ref="P92:S92" si="45">$S$23/42700</f>
        <v>0</v>
      </c>
      <c r="Q92" s="11">
        <f t="shared" si="45"/>
        <v>0</v>
      </c>
      <c r="R92" s="11">
        <f t="shared" si="45"/>
        <v>0</v>
      </c>
      <c r="S92" s="11">
        <f t="shared" si="45"/>
        <v>0</v>
      </c>
      <c r="X92" s="47" t="s">
        <v>210</v>
      </c>
      <c r="Z92">
        <f>Z23/42700</f>
        <v>0.96229508196721314</v>
      </c>
      <c r="AA92" s="11">
        <f t="shared" ref="AA92:AI92" si="46">AA23/42700</f>
        <v>0.96229508196721314</v>
      </c>
      <c r="AB92" s="11">
        <f t="shared" si="46"/>
        <v>0.96416861826697897</v>
      </c>
      <c r="AC92" s="11">
        <f t="shared" si="46"/>
        <v>0.96346604215456677</v>
      </c>
      <c r="AD92" s="11">
        <f t="shared" si="46"/>
        <v>0.96604215456674469</v>
      </c>
      <c r="AE92" s="11">
        <f t="shared" si="46"/>
        <v>0.96744730679156909</v>
      </c>
      <c r="AF92" s="11">
        <f t="shared" si="46"/>
        <v>0.96744730679156909</v>
      </c>
      <c r="AG92" s="11">
        <f t="shared" si="46"/>
        <v>0.97119437939110065</v>
      </c>
      <c r="AH92" s="11">
        <f t="shared" si="46"/>
        <v>0.96674473067915689</v>
      </c>
      <c r="AI92" s="11">
        <f t="shared" si="46"/>
        <v>0.93911007025761128</v>
      </c>
      <c r="AJ92" s="11">
        <f t="shared" ref="AJ92:AK92" si="47">AJ23/42700</f>
        <v>0.93911007025761128</v>
      </c>
      <c r="AK92" s="11">
        <f t="shared" si="47"/>
        <v>0.9646370023419204</v>
      </c>
    </row>
    <row r="93" spans="1:37">
      <c r="A93" s="11"/>
      <c r="B93" s="11"/>
      <c r="C93" s="11"/>
      <c r="D93" s="11"/>
      <c r="E93" s="11"/>
      <c r="F93" s="11"/>
      <c r="G93" s="11"/>
      <c r="M93" s="47" t="s">
        <v>211</v>
      </c>
      <c r="O93" s="59">
        <f>('INPUT DATA'!$S$40+0.009807692-0.000653846*'INPUT DATA'!O37)/'INPUT DATA'!$I$40</f>
        <v>-8.2847386513882765E-2</v>
      </c>
      <c r="P93" s="59">
        <f>('INPUT DATA'!$S$40+0.009807692-0.000653846*'INPUT DATA'!P37)/'INPUT DATA'!$I$40</f>
        <v>-7.7084089907448222E-2</v>
      </c>
      <c r="Q93" s="59">
        <f>('INPUT DATA'!$S$40+0.009807692-0.000653846*'INPUT DATA'!Q37)/'INPUT DATA'!$I$40</f>
        <v>-7.7084089907448222E-2</v>
      </c>
      <c r="R93" s="59">
        <f>('INPUT DATA'!$S$40+0.009807692-0.000653846*'INPUT DATA'!R37)/'INPUT DATA'!$I$40</f>
        <v>-7.8524914059056858E-2</v>
      </c>
      <c r="S93" s="59">
        <f>('INPUT DATA'!$S$40+0.009807692-0.000653846*'INPUT DATA'!S37)/'INPUT DATA'!$I$40</f>
        <v>-7.9965738210665493E-2</v>
      </c>
      <c r="X93" s="47" t="s">
        <v>211</v>
      </c>
      <c r="Z93">
        <f>('INPUT DATA'!Z40+0.009807692-0.000653846*'INPUT DATA'!Z37)/'INPUT DATA'!$I$40</f>
        <v>1.0242990965182899</v>
      </c>
      <c r="AA93" s="11" t="e">
        <f>('INPUT DATA'!AA40+0.009807692-0.000653846*'INPUT DATA'!AA37)/'INPUT DATA'!$S$40</f>
        <v>#DIV/0!</v>
      </c>
      <c r="AB93" s="11" t="e">
        <f>('INPUT DATA'!AB40+0.009807692-0.000653846*'INPUT DATA'!AB37)/'INPUT DATA'!$S$40</f>
        <v>#DIV/0!</v>
      </c>
      <c r="AC93" s="11" t="e">
        <f>('INPUT DATA'!AC40+0.009807692-0.000653846*'INPUT DATA'!AC37)/'INPUT DATA'!$S$40</f>
        <v>#DIV/0!</v>
      </c>
      <c r="AD93" s="11" t="e">
        <f>('INPUT DATA'!AD40+0.009807692-0.000653846*'INPUT DATA'!AD37)/'INPUT DATA'!$S$40</f>
        <v>#DIV/0!</v>
      </c>
      <c r="AE93" s="11" t="e">
        <f>('INPUT DATA'!AE40+0.009807692-0.000653846*'INPUT DATA'!AE37)/'INPUT DATA'!$S$40</f>
        <v>#DIV/0!</v>
      </c>
      <c r="AF93" s="11" t="e">
        <f>('INPUT DATA'!AF40+0.009807692-0.000653846*'INPUT DATA'!AF37)/'INPUT DATA'!$S$40</f>
        <v>#DIV/0!</v>
      </c>
      <c r="AG93" s="11" t="e">
        <f>('INPUT DATA'!AG40+0.009807692-0.000653846*'INPUT DATA'!AG37)/'INPUT DATA'!$S$40</f>
        <v>#DIV/0!</v>
      </c>
      <c r="AH93" s="11" t="e">
        <f>('INPUT DATA'!AH40+0.009807692-0.000653846*'INPUT DATA'!AH37)/'INPUT DATA'!$S$40</f>
        <v>#DIV/0!</v>
      </c>
      <c r="AI93" s="11" t="e">
        <f>('INPUT DATA'!AI40+0.009807692-0.000653846*'INPUT DATA'!AI37)/'INPUT DATA'!$S$40</f>
        <v>#DIV/0!</v>
      </c>
      <c r="AJ93" s="11" t="e">
        <f>('INPUT DATA'!AJ40+0.009807692-0.000653846*'INPUT DATA'!AJ37)/'INPUT DATA'!$S$40</f>
        <v>#DIV/0!</v>
      </c>
      <c r="AK93" s="11" t="e">
        <f>('INPUT DATA'!AK40+0.009807692-0.000653846*'INPUT DATA'!AK37)/'INPUT DATA'!$S$40</f>
        <v>#DIV/0!</v>
      </c>
    </row>
    <row r="94" spans="1:37">
      <c r="A94" s="11"/>
      <c r="B94" s="11"/>
      <c r="C94" s="11"/>
      <c r="D94" s="11"/>
      <c r="E94" s="11"/>
      <c r="F94" s="11"/>
      <c r="G94" s="11"/>
      <c r="M94" s="47" t="s">
        <v>212</v>
      </c>
      <c r="O94" s="16">
        <f>O92*O93*O12</f>
        <v>0</v>
      </c>
      <c r="P94" s="16">
        <f t="shared" ref="P94:S94" si="48">P92*P93*P12</f>
        <v>0</v>
      </c>
      <c r="Q94" s="16">
        <f t="shared" si="48"/>
        <v>0</v>
      </c>
      <c r="R94" s="16">
        <f>R92*R93*R12</f>
        <v>0</v>
      </c>
      <c r="S94" s="16">
        <f t="shared" si="48"/>
        <v>0</v>
      </c>
      <c r="X94" s="47" t="s">
        <v>212</v>
      </c>
      <c r="Z94" s="16">
        <f>Z92*Z93*Z12</f>
        <v>79.100658139201556</v>
      </c>
      <c r="AA94" s="16" t="e">
        <f t="shared" ref="AA94:AI94" si="49">AA92*AA93*AA12</f>
        <v>#DIV/0!</v>
      </c>
      <c r="AB94" s="16" t="e">
        <f t="shared" si="49"/>
        <v>#DIV/0!</v>
      </c>
      <c r="AC94" s="16" t="e">
        <f t="shared" si="49"/>
        <v>#DIV/0!</v>
      </c>
      <c r="AD94" s="16" t="e">
        <f t="shared" si="49"/>
        <v>#DIV/0!</v>
      </c>
      <c r="AE94" s="16" t="e">
        <f t="shared" si="49"/>
        <v>#DIV/0!</v>
      </c>
      <c r="AF94" s="16" t="e">
        <f t="shared" si="49"/>
        <v>#DIV/0!</v>
      </c>
      <c r="AG94" s="16" t="e">
        <f t="shared" si="49"/>
        <v>#DIV/0!</v>
      </c>
      <c r="AH94" s="16" t="e">
        <f t="shared" si="49"/>
        <v>#DIV/0!</v>
      </c>
      <c r="AI94" s="16" t="e">
        <f t="shared" si="49"/>
        <v>#DIV/0!</v>
      </c>
      <c r="AJ94" s="16" t="e">
        <f t="shared" ref="AJ94:AK94" si="50">AJ92*AJ93*AJ12</f>
        <v>#DIV/0!</v>
      </c>
      <c r="AK94" s="16" t="e">
        <f t="shared" si="50"/>
        <v>#DIV/0!</v>
      </c>
    </row>
    <row r="95" spans="1:37">
      <c r="A95" s="11"/>
      <c r="B95" s="11" t="s">
        <v>231</v>
      </c>
      <c r="C95" s="11"/>
      <c r="D95" s="11">
        <f>'INPUT DATA'!D40*1000-81-141*LOG10(LOG10('INPUT DATA'!D41+0.85))-483*LOG10((50+273)/323)</f>
        <v>825.19242558775863</v>
      </c>
      <c r="E95" s="11">
        <f>'INPUT DATA'!E40*1000-81-141*LOG10(LOG10('INPUT DATA'!E41+0.85))-483*LOG10((50+273)/323)</f>
        <v>825.19242558775863</v>
      </c>
      <c r="F95" s="11">
        <f>'INPUT DATA'!F40*1000-81-141*LOG10(LOG10('INPUT DATA'!F41+0.85))-483*LOG10((50+273)/323)</f>
        <v>825.19242558775863</v>
      </c>
      <c r="G95" s="11">
        <f>'INPUT DATA'!G40*1000-81-141*LOG10(LOG10('INPUT DATA'!G41+0.85))-483*LOG10((50+273)/323)</f>
        <v>825.19242558775863</v>
      </c>
      <c r="H95" s="11">
        <f>'INPUT DATA'!H40*1000-81-141*LOG10(LOG10('INPUT DATA'!H41+0.85))-483*LOG10((50+273)/323)</f>
        <v>825.19242558775863</v>
      </c>
      <c r="I95" s="11">
        <f>'INPUT DATA'!I40*1000-81-141*LOG10(LOG10('INPUT DATA'!I41+0.85))-483*LOG10((50+273)/323)</f>
        <v>825.19242558775863</v>
      </c>
      <c r="M95" s="11" t="s">
        <v>231</v>
      </c>
      <c r="O95" s="11" t="e">
        <f>'INPUT DATA'!O40*1000-81-141*LOG10(LOG10('INPUT DATA'!O41+0.85))-483*LOG10((50+273)/323)</f>
        <v>#NUM!</v>
      </c>
      <c r="P95" s="11" t="e">
        <f>'INPUT DATA'!P40*1000-81-141*LOG10(LOG10('INPUT DATA'!P41+0.85))-483*LOG10((50+273)/323)</f>
        <v>#NUM!</v>
      </c>
      <c r="Q95" s="11" t="e">
        <f>'INPUT DATA'!Q40*1000-81-141*LOG10(LOG10('INPUT DATA'!Q41+0.85))-483*LOG10((50+273)/323)</f>
        <v>#NUM!</v>
      </c>
      <c r="R95" s="11" t="e">
        <f>'INPUT DATA'!R40*1000-81-141*LOG10(LOG10('INPUT DATA'!R41+0.85))-483*LOG10((50+273)/323)</f>
        <v>#NUM!</v>
      </c>
      <c r="S95" s="11" t="e">
        <f>'INPUT DATA'!S40*1000-81-141*LOG10(LOG10('INPUT DATA'!S41+0.85))-483*LOG10((50+273)/323)</f>
        <v>#NUM!</v>
      </c>
      <c r="X95" s="11" t="s">
        <v>231</v>
      </c>
      <c r="Z95" s="11">
        <f>'INPUT DATA'!Z40*1000-81-141*LOG10(LOG10('INPUT DATA'!Z41+0.85))-483*LOG10((50+273)/323)</f>
        <v>842.03659123253328</v>
      </c>
      <c r="AA95" s="11">
        <f>'INPUT DATA'!AA40*1000-81-141*LOG10(LOG10('INPUT DATA'!AA41+0.85))-483*LOG10((50+273)/323)</f>
        <v>842.03659123253328</v>
      </c>
      <c r="AB95" s="11">
        <f>'INPUT DATA'!AB40*1000-81-141*LOG10(LOG10('INPUT DATA'!AB41+0.85))-483*LOG10((50+273)/323)</f>
        <v>832.00604575902287</v>
      </c>
      <c r="AC95" s="11">
        <f>'INPUT DATA'!AC40*1000-81-141*LOG10(LOG10('INPUT DATA'!AC41+0.85))-483*LOG10((50+273)/323)</f>
        <v>842.31628662744822</v>
      </c>
      <c r="AD95" s="11">
        <f>'INPUT DATA'!AD40*1000-81-141*LOG10(LOG10('INPUT DATA'!AD41+0.85))-483*LOG10((50+273)/323)</f>
        <v>832.28477558042516</v>
      </c>
      <c r="AE95" s="11">
        <f>'INPUT DATA'!AE40*1000-81-141*LOG10(LOG10('INPUT DATA'!AE41+0.85))-483*LOG10((50+273)/323)</f>
        <v>821.64741718161179</v>
      </c>
      <c r="AF95" s="11">
        <f>'INPUT DATA'!AF40*1000-81-141*LOG10(LOG10('INPUT DATA'!AF41+0.85))-483*LOG10((50+273)/323)</f>
        <v>821.64741718161179</v>
      </c>
      <c r="AG95" s="11">
        <f>'INPUT DATA'!AG40*1000-81-141*LOG10(LOG10('INPUT DATA'!AG41+0.85))-483*LOG10((50+273)/323)</f>
        <v>822.31628662744822</v>
      </c>
      <c r="AH95" s="11">
        <f>'INPUT DATA'!AH40*1000-81-141*LOG10(LOG10('INPUT DATA'!AH41+0.85))-483*LOG10((50+273)/323)</f>
        <v>831.88489596883687</v>
      </c>
      <c r="AI95" s="11">
        <f>'INPUT DATA'!AI40*1000-81-141*LOG10(LOG10('INPUT DATA'!AI41+0.85))-483*LOG10((50+273)/323)</f>
        <v>852.83605153765029</v>
      </c>
      <c r="AJ95" s="11">
        <f>'INPUT DATA'!AJ40*1000-81-141*LOG10(LOG10('INPUT DATA'!AJ41+0.85))-483*LOG10((50+273)/323)</f>
        <v>852.83605153765029</v>
      </c>
      <c r="AK95" s="11">
        <f>'INPUT DATA'!AK40*1000-81-141*LOG10(LOG10('INPUT DATA'!AK41+0.85))-483*LOG10((50+273)/323)</f>
        <v>832.60496265786321</v>
      </c>
    </row>
    <row r="96" spans="1:37">
      <c r="A96" s="11"/>
      <c r="B96" s="11"/>
      <c r="C96" s="11"/>
      <c r="D96" s="11"/>
      <c r="E96" s="11"/>
      <c r="F96" s="11"/>
      <c r="G96" s="11"/>
      <c r="X96" s="47" t="s">
        <v>232</v>
      </c>
      <c r="Z96" s="16">
        <f>Z95-$D$95</f>
        <v>16.844165644774648</v>
      </c>
      <c r="AA96" s="16">
        <f t="shared" ref="AA96:AI96" si="51">AA95-$D$95</f>
        <v>16.844165644774648</v>
      </c>
      <c r="AB96" s="16">
        <f t="shared" si="51"/>
        <v>6.8136201712642332</v>
      </c>
      <c r="AC96" s="16">
        <f t="shared" si="51"/>
        <v>17.123861039689587</v>
      </c>
      <c r="AD96" s="16">
        <f t="shared" si="51"/>
        <v>7.0923499926665272</v>
      </c>
      <c r="AE96" s="16">
        <f t="shared" si="51"/>
        <v>-3.5450084061468488</v>
      </c>
      <c r="AF96" s="16">
        <f t="shared" si="51"/>
        <v>-3.5450084061468488</v>
      </c>
      <c r="AG96" s="16">
        <f t="shared" si="51"/>
        <v>-2.8761389603104135</v>
      </c>
      <c r="AH96" s="16">
        <f t="shared" si="51"/>
        <v>6.6924703810782376</v>
      </c>
      <c r="AI96" s="16">
        <f t="shared" si="51"/>
        <v>27.643625949891657</v>
      </c>
      <c r="AJ96" s="16">
        <f t="shared" ref="AJ96:AK96" si="52">AJ95-$D$95</f>
        <v>27.643625949891657</v>
      </c>
      <c r="AK96" s="16">
        <f t="shared" si="52"/>
        <v>7.4125370701045767</v>
      </c>
    </row>
    <row r="97" spans="1:37">
      <c r="A97" s="11"/>
      <c r="B97" s="11"/>
      <c r="C97" s="11"/>
      <c r="D97" s="11"/>
      <c r="E97" s="11"/>
      <c r="F97" s="11"/>
      <c r="G97" s="11"/>
      <c r="X97" s="47" t="s">
        <v>233</v>
      </c>
      <c r="Z97">
        <f>0.007*Z96</f>
        <v>0.11790915951342254</v>
      </c>
      <c r="AA97" s="11">
        <f t="shared" ref="AA97:AI97" si="53">0.007*AA96</f>
        <v>0.11790915951342254</v>
      </c>
      <c r="AB97" s="11">
        <f t="shared" si="53"/>
        <v>4.7695341198849633E-2</v>
      </c>
      <c r="AC97" s="11">
        <f t="shared" si="53"/>
        <v>0.11986702727782711</v>
      </c>
      <c r="AD97" s="11">
        <f t="shared" si="53"/>
        <v>4.964644994866569E-2</v>
      </c>
      <c r="AE97" s="11">
        <f t="shared" si="53"/>
        <v>-2.4815058843027944E-2</v>
      </c>
      <c r="AF97" s="11">
        <f t="shared" si="53"/>
        <v>-2.4815058843027944E-2</v>
      </c>
      <c r="AG97" s="11">
        <f t="shared" si="53"/>
        <v>-2.0132972722172893E-2</v>
      </c>
      <c r="AH97" s="11">
        <f t="shared" si="53"/>
        <v>4.6847292667547662E-2</v>
      </c>
      <c r="AI97" s="11">
        <f t="shared" si="53"/>
        <v>0.19350538164924161</v>
      </c>
      <c r="AJ97" s="11">
        <f t="shared" ref="AJ97:AK97" si="54">0.007*AJ96</f>
        <v>0.19350538164924161</v>
      </c>
      <c r="AK97" s="11">
        <f t="shared" si="54"/>
        <v>5.1887759490732037E-2</v>
      </c>
    </row>
    <row r="98" spans="1:37">
      <c r="A98" s="11"/>
      <c r="B98" s="11"/>
      <c r="C98" s="11"/>
      <c r="D98" s="11"/>
      <c r="E98" s="11"/>
      <c r="F98" s="11"/>
      <c r="G98" s="11"/>
      <c r="X98" s="47" t="s">
        <v>234</v>
      </c>
      <c r="Z98">
        <f>Z97*Z8*'INPUT DATA'!$C$6/1000</f>
        <v>6.3953928120080397E-2</v>
      </c>
      <c r="AA98" s="11">
        <f>AA97*AA8*'INPUT DATA'!$C$6/1000</f>
        <v>6.1690072257422679E-2</v>
      </c>
      <c r="AB98" s="11">
        <f>AB97*AB8*'INPUT DATA'!$C$6/1000</f>
        <v>2.5555163814343636E-2</v>
      </c>
      <c r="AC98" s="11">
        <f>AC97*AC8*'INPUT DATA'!$C$6/1000</f>
        <v>5.9046497637057625E-2</v>
      </c>
      <c r="AD98" s="11">
        <f>AD97*AD8*'INPUT DATA'!$C$6/1000</f>
        <v>2.6600567882495079E-2</v>
      </c>
      <c r="AE98" s="11">
        <f>AE97*AE8*'INPUT DATA'!$C$6/1000</f>
        <v>-1.3459687916458357E-2</v>
      </c>
      <c r="AF98" s="11">
        <f>AF97*AF8*'INPUT DATA'!$C$6/1000</f>
        <v>-1.3444798881152537E-2</v>
      </c>
      <c r="AG98" s="11">
        <f>AG97*AG8*'INPUT DATA'!$C$6/1000</f>
        <v>-1.0956363755406489E-2</v>
      </c>
      <c r="AH98" s="11">
        <f>AH97*AH8*'INPUT DATA'!$C$6/1000</f>
        <v>2.5522405045279969E-2</v>
      </c>
      <c r="AI98" s="11">
        <f>AI97*AI8*'INPUT DATA'!$C$6/1000</f>
        <v>0.10542173192250684</v>
      </c>
      <c r="AJ98" s="11">
        <f>AJ97*AJ8*'INPUT DATA'!$C$6/1000</f>
        <v>0.10542173192250684</v>
      </c>
      <c r="AK98" s="11">
        <f>AK97*AK8*'INPUT DATA'!$C$6/1000</f>
        <v>2.8268451370550812E-2</v>
      </c>
    </row>
    <row r="99" spans="1:37">
      <c r="A99" s="11"/>
      <c r="B99" s="11"/>
      <c r="C99" s="11"/>
      <c r="D99" s="11"/>
      <c r="E99" s="11"/>
      <c r="F99" s="11"/>
      <c r="G99" s="11"/>
      <c r="X99" s="47" t="s">
        <v>235</v>
      </c>
      <c r="Z99">
        <f>-1.427938*Z98</f>
        <v>-9.1322244211931358E-2</v>
      </c>
      <c r="AA99" s="11">
        <f t="shared" ref="AA99:AI99" si="55">-1.427938*AA98</f>
        <v>-8.8089598399119617E-2</v>
      </c>
      <c r="AB99" s="11">
        <f t="shared" si="55"/>
        <v>-3.6491189506726224E-2</v>
      </c>
      <c r="AC99" s="11">
        <f t="shared" si="55"/>
        <v>-8.4314737742864784E-2</v>
      </c>
      <c r="AD99" s="11">
        <f t="shared" si="55"/>
        <v>-3.7983961700994259E-2</v>
      </c>
      <c r="AE99" s="11">
        <f t="shared" si="55"/>
        <v>1.9219599844051711E-2</v>
      </c>
      <c r="AF99" s="11">
        <f t="shared" si="55"/>
        <v>1.9198339224755192E-2</v>
      </c>
      <c r="AG99" s="11">
        <f t="shared" si="55"/>
        <v>1.5645008148167629E-2</v>
      </c>
      <c r="AH99" s="11">
        <f t="shared" si="55"/>
        <v>-3.6444412015546983E-2</v>
      </c>
      <c r="AI99" s="11">
        <f t="shared" si="55"/>
        <v>-0.15053569703796058</v>
      </c>
      <c r="AJ99" s="11">
        <f t="shared" ref="AJ99:AK99" si="56">-1.427938*AJ98</f>
        <v>-0.15053569703796058</v>
      </c>
      <c r="AK99" s="11">
        <f t="shared" si="56"/>
        <v>-4.0365595913161585E-2</v>
      </c>
    </row>
    <row r="100" spans="1:37">
      <c r="A100" s="11"/>
      <c r="B100" s="11"/>
      <c r="C100" s="11"/>
      <c r="D100" s="11"/>
      <c r="E100" s="11"/>
      <c r="F100" s="11"/>
      <c r="G100" s="11"/>
      <c r="X100" s="47" t="s">
        <v>236</v>
      </c>
      <c r="Z100" s="16">
        <f>Z99+Z13</f>
        <v>3.225344422454735</v>
      </c>
      <c r="AA100" s="16">
        <f t="shared" ref="AA100:AI100" si="57">AA99+AA13</f>
        <v>2.9119104016008803</v>
      </c>
      <c r="AB100" s="16">
        <f t="shared" si="57"/>
        <v>3.3135088104932739</v>
      </c>
      <c r="AC100" s="16">
        <f t="shared" si="57"/>
        <v>2.8823519289238022</v>
      </c>
      <c r="AD100" s="16">
        <f t="shared" si="57"/>
        <v>3.3286827049656726</v>
      </c>
      <c r="AE100" s="16">
        <f t="shared" si="57"/>
        <v>3.3192195998440512</v>
      </c>
      <c r="AF100" s="16">
        <f t="shared" si="57"/>
        <v>3.3691983392247553</v>
      </c>
      <c r="AG100" s="16">
        <f t="shared" si="57"/>
        <v>3.3489783414815011</v>
      </c>
      <c r="AH100" s="16">
        <f t="shared" si="57"/>
        <v>3.4802222546511201</v>
      </c>
      <c r="AI100" s="16">
        <f t="shared" si="57"/>
        <v>3.5994643029620392</v>
      </c>
      <c r="AJ100" s="16">
        <f t="shared" ref="AJ100:AK100" si="58">AJ99+AJ13</f>
        <v>3.5827976362953722</v>
      </c>
      <c r="AK100" s="16">
        <f t="shared" si="58"/>
        <v>3.9263010707535049</v>
      </c>
    </row>
    <row r="101" spans="1:37">
      <c r="A101" s="11"/>
      <c r="B101" s="67" t="s">
        <v>245</v>
      </c>
      <c r="C101" s="11"/>
      <c r="D101" s="11"/>
      <c r="E101" s="11"/>
      <c r="F101" s="11"/>
      <c r="G101" s="11"/>
    </row>
    <row r="102" spans="1:37">
      <c r="A102" s="11"/>
      <c r="B102" s="11"/>
      <c r="C102" s="11"/>
      <c r="D102" s="11"/>
      <c r="E102" s="11"/>
      <c r="F102" s="11"/>
      <c r="G102" s="11"/>
    </row>
    <row r="103" spans="1:37">
      <c r="A103" s="11"/>
      <c r="B103" s="47" t="str">
        <f>B6</f>
        <v>Load</v>
      </c>
      <c r="C103" s="47"/>
      <c r="D103" s="47">
        <f t="shared" ref="D103:I103" si="59">D6</f>
        <v>0.25</v>
      </c>
      <c r="E103" s="47">
        <f t="shared" si="59"/>
        <v>0.5</v>
      </c>
      <c r="F103" s="47">
        <f t="shared" si="59"/>
        <v>0.75</v>
      </c>
      <c r="G103" s="47">
        <f t="shared" si="59"/>
        <v>0.9</v>
      </c>
      <c r="H103" s="47">
        <f t="shared" si="59"/>
        <v>1</v>
      </c>
      <c r="I103" s="47">
        <f t="shared" si="59"/>
        <v>1.1000000000000001</v>
      </c>
      <c r="M103" s="47" t="str">
        <f>M6</f>
        <v>Load</v>
      </c>
      <c r="N103" s="47"/>
      <c r="O103" s="47">
        <f>O6</f>
        <v>0.75</v>
      </c>
      <c r="P103" s="47">
        <f t="shared" ref="P103:S103" si="60">P6</f>
        <v>0.75</v>
      </c>
      <c r="Q103" s="47">
        <f t="shared" si="60"/>
        <v>0.9</v>
      </c>
      <c r="R103" s="47">
        <f t="shared" si="60"/>
        <v>0.9</v>
      </c>
      <c r="S103" s="47">
        <f t="shared" si="60"/>
        <v>1</v>
      </c>
      <c r="X103" s="47" t="str">
        <f>X6</f>
        <v>Load</v>
      </c>
      <c r="Y103" s="47"/>
      <c r="Z103" s="47">
        <f>Z6</f>
        <v>0.75900000000000001</v>
      </c>
      <c r="AA103" s="47">
        <f t="shared" ref="AA103:AD103" si="61">AA6</f>
        <v>0.69499999999999995</v>
      </c>
      <c r="AB103" s="47">
        <f t="shared" si="61"/>
        <v>0.72</v>
      </c>
      <c r="AC103" s="47">
        <f t="shared" si="61"/>
        <v>0.57099999999999995</v>
      </c>
      <c r="AD103" s="47">
        <f t="shared" si="61"/>
        <v>0.71099999999999997</v>
      </c>
      <c r="AE103" s="47">
        <f t="shared" ref="AE103:AK103" si="62">AE6</f>
        <v>0.75</v>
      </c>
      <c r="AF103" s="47">
        <f t="shared" si="62"/>
        <v>0.72</v>
      </c>
      <c r="AG103" s="47">
        <f t="shared" si="62"/>
        <v>0.753</v>
      </c>
      <c r="AH103" s="47">
        <f t="shared" si="62"/>
        <v>0.749</v>
      </c>
      <c r="AI103" s="47">
        <f t="shared" si="62"/>
        <v>0.745</v>
      </c>
      <c r="AJ103" s="47">
        <f t="shared" si="62"/>
        <v>0.75800000000000001</v>
      </c>
      <c r="AK103" s="47">
        <f t="shared" si="62"/>
        <v>0.77300000000000002</v>
      </c>
    </row>
    <row r="104" spans="1:37" s="11" customFormat="1">
      <c r="B104" s="47" t="s">
        <v>254</v>
      </c>
      <c r="C104" s="47"/>
      <c r="D104" s="9">
        <f>D48/'INPUT DATA'!$J$3</f>
        <v>5784</v>
      </c>
      <c r="E104" s="9">
        <f>E48/'INPUT DATA'!$J$3</f>
        <v>11365</v>
      </c>
      <c r="F104" s="9">
        <f>F48/'INPUT DATA'!$J$3</f>
        <v>17113</v>
      </c>
      <c r="G104" s="9">
        <f>G48/'INPUT DATA'!$J$3</f>
        <v>20620</v>
      </c>
      <c r="H104" s="9">
        <f>H48/'INPUT DATA'!$J$3</f>
        <v>22959</v>
      </c>
      <c r="I104" s="9">
        <f>I48/'INPUT DATA'!$J$3</f>
        <v>25120</v>
      </c>
      <c r="M104" s="47" t="s">
        <v>254</v>
      </c>
      <c r="N104" s="47"/>
      <c r="O104" s="9">
        <f>O48/'INPUT DATA'!$J$3</f>
        <v>17650</v>
      </c>
      <c r="P104" s="9">
        <f>P48/'INPUT DATA'!$J$3</f>
        <v>16761</v>
      </c>
      <c r="Q104" s="9">
        <f>Q48/'INPUT DATA'!$J$3</f>
        <v>20784</v>
      </c>
      <c r="R104" s="9">
        <f>R48/'INPUT DATA'!$J$3</f>
        <v>19673</v>
      </c>
      <c r="S104" s="9">
        <f>S48/'INPUT DATA'!$J$3</f>
        <v>22906</v>
      </c>
      <c r="T104" s="9"/>
      <c r="X104" s="47" t="s">
        <v>254</v>
      </c>
      <c r="Y104" s="47"/>
      <c r="Z104" s="9">
        <f>Z48/'INPUT DATA'!$J$3</f>
        <v>17401</v>
      </c>
      <c r="AA104" s="9">
        <f>AA48/'INPUT DATA'!$J$3</f>
        <v>15930</v>
      </c>
      <c r="AB104" s="9">
        <f>AB48/'INPUT DATA'!$J$3</f>
        <v>16507</v>
      </c>
      <c r="AC104" s="9">
        <f>AC48/'INPUT DATA'!$J$3</f>
        <v>13096</v>
      </c>
      <c r="AD104" s="9">
        <f>AD48/'INPUT DATA'!$J$3</f>
        <v>16300.999999999998</v>
      </c>
      <c r="AE104" s="9">
        <f>AE48/'INPUT DATA'!$J$3</f>
        <v>17192</v>
      </c>
      <c r="AF104" s="9">
        <f>AF48/'INPUT DATA'!$J$3</f>
        <v>16474</v>
      </c>
      <c r="AG104" s="9">
        <f>AG48/'INPUT DATA'!$J$3</f>
        <v>17253</v>
      </c>
      <c r="AH104" s="9">
        <f>AH48/'INPUT DATA'!$J$3</f>
        <v>17161</v>
      </c>
      <c r="AI104" s="9">
        <f>AI48/'INPUT DATA'!$J$3</f>
        <v>17075</v>
      </c>
      <c r="AJ104" s="9">
        <f>AJ48/'INPUT DATA'!$J$3</f>
        <v>17364</v>
      </c>
      <c r="AK104" s="9">
        <f>AK48/'INPUT DATA'!$J$3</f>
        <v>17709</v>
      </c>
    </row>
    <row r="105" spans="1:37" s="11" customFormat="1">
      <c r="B105" s="47"/>
      <c r="C105" s="47"/>
      <c r="D105" s="9"/>
      <c r="E105" s="9"/>
      <c r="F105" s="9"/>
      <c r="G105" s="9"/>
      <c r="H105" s="9"/>
      <c r="I105" s="9"/>
      <c r="M105" s="47"/>
      <c r="N105" s="47"/>
      <c r="O105" s="9"/>
      <c r="P105" s="9"/>
      <c r="Q105" s="9"/>
      <c r="R105" s="9"/>
      <c r="S105" s="9"/>
      <c r="T105" s="9"/>
      <c r="X105" s="47"/>
      <c r="Y105" s="47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47"/>
    </row>
    <row r="106" spans="1:37">
      <c r="A106" s="11"/>
      <c r="B106" s="66" t="s">
        <v>239</v>
      </c>
      <c r="C106" s="11"/>
      <c r="D106" s="11"/>
      <c r="E106" s="11"/>
      <c r="F106" s="11"/>
      <c r="G106" s="11"/>
      <c r="M106" s="66" t="s">
        <v>239</v>
      </c>
      <c r="N106" s="11"/>
      <c r="O106" s="11"/>
      <c r="P106" s="11"/>
      <c r="Q106" s="11"/>
      <c r="R106" s="11"/>
      <c r="S106" s="11"/>
      <c r="X106" s="66" t="s">
        <v>239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7">
      <c r="A107" s="11"/>
      <c r="B107" s="11" t="str">
        <f>B8</f>
        <v>Engine Speed</v>
      </c>
      <c r="C107" s="11" t="str">
        <f t="shared" ref="C107:I107" si="63">C8</f>
        <v>rpm</v>
      </c>
      <c r="D107" s="11">
        <f t="shared" si="63"/>
        <v>57.4</v>
      </c>
      <c r="E107" s="11">
        <f t="shared" si="63"/>
        <v>72.3</v>
      </c>
      <c r="F107" s="11">
        <f t="shared" si="63"/>
        <v>82.6</v>
      </c>
      <c r="G107" s="11">
        <f t="shared" si="63"/>
        <v>87.9</v>
      </c>
      <c r="H107" s="11">
        <f t="shared" si="63"/>
        <v>91</v>
      </c>
      <c r="I107" s="11">
        <f t="shared" si="63"/>
        <v>93.9</v>
      </c>
      <c r="M107" s="11" t="str">
        <f>M8</f>
        <v>Engine Speed</v>
      </c>
      <c r="N107" s="11" t="str">
        <f t="shared" ref="N107:O107" si="64">N8</f>
        <v>rpm</v>
      </c>
      <c r="O107" s="11">
        <f t="shared" si="64"/>
        <v>85.9</v>
      </c>
      <c r="P107" s="11">
        <f t="shared" ref="P107:S107" si="65">P8</f>
        <v>85.9</v>
      </c>
      <c r="Q107" s="11">
        <f t="shared" si="65"/>
        <v>90.9</v>
      </c>
      <c r="R107" s="11">
        <f t="shared" si="65"/>
        <v>90.69</v>
      </c>
      <c r="S107" s="11">
        <f t="shared" si="65"/>
        <v>94.09</v>
      </c>
      <c r="X107" s="11" t="str">
        <f>X8</f>
        <v>Engine Speed</v>
      </c>
      <c r="Y107" s="11" t="str">
        <f t="shared" ref="Y107:AD107" si="66">Y8</f>
        <v>rpm</v>
      </c>
      <c r="Z107" s="11">
        <f t="shared" si="66"/>
        <v>90.4</v>
      </c>
      <c r="AA107" s="11">
        <f t="shared" si="66"/>
        <v>87.2</v>
      </c>
      <c r="AB107" s="11">
        <f t="shared" si="66"/>
        <v>89.3</v>
      </c>
      <c r="AC107" s="11">
        <f t="shared" si="66"/>
        <v>82.1</v>
      </c>
      <c r="AD107" s="11">
        <f t="shared" si="66"/>
        <v>89.3</v>
      </c>
      <c r="AE107" s="11">
        <f>AE8</f>
        <v>90.4</v>
      </c>
      <c r="AF107" s="11">
        <f>AF8</f>
        <v>90.3</v>
      </c>
      <c r="AG107" s="11">
        <f>AG8</f>
        <v>90.7</v>
      </c>
      <c r="AH107" s="11">
        <f>AH8</f>
        <v>90.8</v>
      </c>
      <c r="AI107" s="11">
        <f>AI8</f>
        <v>90.8</v>
      </c>
      <c r="AJ107" s="11">
        <f t="shared" ref="AJ107:AK107" si="67">AJ8</f>
        <v>90.8</v>
      </c>
      <c r="AK107" s="11">
        <f t="shared" si="67"/>
        <v>90.8</v>
      </c>
    </row>
    <row r="108" spans="1:37">
      <c r="A108" s="11"/>
      <c r="B108" s="16" t="str">
        <f>B57</f>
        <v>IMEP</v>
      </c>
      <c r="C108" s="16" t="str">
        <f t="shared" ref="C108:I108" si="68">C57</f>
        <v>bar</v>
      </c>
      <c r="D108" s="16">
        <f t="shared" si="68"/>
        <v>8.0028639058128874</v>
      </c>
      <c r="E108" s="16">
        <f t="shared" si="68"/>
        <v>11.906037506383118</v>
      </c>
      <c r="F108" s="16">
        <f t="shared" si="68"/>
        <v>15.360213615536921</v>
      </c>
      <c r="G108" s="16">
        <f t="shared" si="68"/>
        <v>17.264341906886919</v>
      </c>
      <c r="H108" s="16">
        <f t="shared" si="68"/>
        <v>18.48612039340539</v>
      </c>
      <c r="I108" s="16">
        <f t="shared" si="68"/>
        <v>19.598454143927498</v>
      </c>
      <c r="M108" s="16" t="str">
        <f>M57</f>
        <v>IMEP</v>
      </c>
      <c r="N108" s="16" t="str">
        <f t="shared" ref="N108:O108" si="69">N57</f>
        <v>bar</v>
      </c>
      <c r="O108" s="16">
        <f t="shared" si="69"/>
        <v>0</v>
      </c>
      <c r="P108" s="16">
        <f t="shared" ref="P108:S108" si="70">P57</f>
        <v>0</v>
      </c>
      <c r="Q108" s="16">
        <f t="shared" si="70"/>
        <v>0</v>
      </c>
      <c r="R108" s="16">
        <f t="shared" si="70"/>
        <v>0</v>
      </c>
      <c r="S108" s="16">
        <f t="shared" si="70"/>
        <v>0</v>
      </c>
      <c r="X108" s="16" t="str">
        <f>X57</f>
        <v>IMEP</v>
      </c>
      <c r="Y108" s="16" t="str">
        <f t="shared" ref="Y108:AD108" si="71">Y57</f>
        <v>bar</v>
      </c>
      <c r="Z108" s="16">
        <f t="shared" si="71"/>
        <v>14.334200395094275</v>
      </c>
      <c r="AA108" s="16">
        <f t="shared" si="71"/>
        <v>13.655535939254911</v>
      </c>
      <c r="AB108" s="16">
        <f t="shared" si="71"/>
        <v>13.805573218484579</v>
      </c>
      <c r="AC108" s="16">
        <f t="shared" si="71"/>
        <v>12.052651101529158</v>
      </c>
      <c r="AD108" s="16">
        <f t="shared" si="71"/>
        <v>13.645935380538589</v>
      </c>
      <c r="AE108" s="16">
        <f>AE57</f>
        <v>13.89938993718167</v>
      </c>
      <c r="AF108" s="16">
        <f>AF57</f>
        <v>13.638893115283697</v>
      </c>
      <c r="AG108" s="16">
        <f>AG57</f>
        <v>14.177682438146514</v>
      </c>
      <c r="AH108" s="16">
        <f>AH57</f>
        <v>14.092713594816127</v>
      </c>
      <c r="AI108" s="16">
        <f>AI57</f>
        <v>14.027931773629634</v>
      </c>
      <c r="AJ108" s="16">
        <f t="shared" ref="AJ108:AK108" si="72">AJ57</f>
        <v>14.247427826590917</v>
      </c>
      <c r="AK108" s="16">
        <f t="shared" si="72"/>
        <v>14.800740793430814</v>
      </c>
    </row>
    <row r="109" spans="1:37">
      <c r="A109" s="11"/>
      <c r="B109" s="11"/>
      <c r="C109" s="11"/>
      <c r="D109" s="11"/>
      <c r="E109" s="11"/>
      <c r="F109" s="11"/>
      <c r="G109" s="11"/>
      <c r="M109" s="11"/>
      <c r="N109" s="11"/>
      <c r="O109" s="11"/>
      <c r="P109" s="11"/>
      <c r="Q109" s="11"/>
      <c r="R109" s="11"/>
      <c r="S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7">
      <c r="A110" s="11"/>
      <c r="B110" s="4" t="s">
        <v>240</v>
      </c>
      <c r="C110" s="11"/>
      <c r="D110" s="11"/>
      <c r="E110" s="11"/>
      <c r="F110" s="11"/>
      <c r="G110" s="11"/>
      <c r="M110" s="4" t="s">
        <v>240</v>
      </c>
      <c r="N110" s="11"/>
      <c r="O110" s="11"/>
      <c r="P110" s="11"/>
      <c r="Q110" s="11"/>
      <c r="R110" s="11"/>
      <c r="S110" s="11"/>
      <c r="X110" s="4" t="s">
        <v>240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7">
      <c r="A111" s="11"/>
      <c r="B111" s="11" t="str">
        <f>B16</f>
        <v>Blower Inlet Temperature</v>
      </c>
      <c r="C111" s="11" t="str">
        <f t="shared" ref="C111:I111" si="73">C16</f>
        <v>°C</v>
      </c>
      <c r="D111" s="11">
        <f t="shared" si="73"/>
        <v>14.149999999999999</v>
      </c>
      <c r="E111" s="11">
        <f t="shared" si="73"/>
        <v>15.2</v>
      </c>
      <c r="F111" s="11">
        <f t="shared" si="73"/>
        <v>16.149999999999999</v>
      </c>
      <c r="G111" s="11">
        <f t="shared" si="73"/>
        <v>18.350000000000001</v>
      </c>
      <c r="H111" s="11">
        <f t="shared" si="73"/>
        <v>17.45</v>
      </c>
      <c r="I111" s="11">
        <f t="shared" si="73"/>
        <v>18.55</v>
      </c>
      <c r="M111" s="11" t="str">
        <f>M16</f>
        <v>Blower Inlet Temperature</v>
      </c>
      <c r="N111" s="11" t="str">
        <f t="shared" ref="N111:O111" si="74">N16</f>
        <v>°C</v>
      </c>
      <c r="O111" s="11">
        <f t="shared" si="74"/>
        <v>36.75</v>
      </c>
      <c r="P111" s="11">
        <f t="shared" ref="P111:S111" si="75">P16</f>
        <v>37.25</v>
      </c>
      <c r="Q111" s="11">
        <f t="shared" si="75"/>
        <v>37.25</v>
      </c>
      <c r="R111" s="11">
        <f t="shared" si="75"/>
        <v>37.25</v>
      </c>
      <c r="S111" s="11">
        <f t="shared" si="75"/>
        <v>37.25</v>
      </c>
      <c r="X111" s="11" t="str">
        <f>X16</f>
        <v>Blower Inlet Temperature</v>
      </c>
      <c r="Y111" s="11" t="str">
        <f t="shared" ref="Y111:AD111" si="76">Y16</f>
        <v>°C</v>
      </c>
      <c r="Z111" s="11">
        <f t="shared" si="76"/>
        <v>31</v>
      </c>
      <c r="AA111" s="11">
        <f t="shared" si="76"/>
        <v>28</v>
      </c>
      <c r="AB111" s="11">
        <f t="shared" si="76"/>
        <v>30</v>
      </c>
      <c r="AC111" s="11">
        <f t="shared" si="76"/>
        <v>24</v>
      </c>
      <c r="AD111" s="11">
        <f t="shared" si="76"/>
        <v>38</v>
      </c>
      <c r="AE111" s="11">
        <f>AE16</f>
        <v>28</v>
      </c>
      <c r="AF111" s="11">
        <f>AF16</f>
        <v>33.5</v>
      </c>
      <c r="AG111" s="11">
        <f>AG16</f>
        <v>36</v>
      </c>
      <c r="AH111" s="11">
        <f>AH16</f>
        <v>35</v>
      </c>
      <c r="AI111" s="11">
        <f>AI16</f>
        <v>39</v>
      </c>
      <c r="AJ111" s="11">
        <f t="shared" ref="AJ111:AK111" si="77">AJ16</f>
        <v>36</v>
      </c>
      <c r="AK111" s="11">
        <f t="shared" si="77"/>
        <v>33</v>
      </c>
    </row>
    <row r="112" spans="1:37">
      <c r="A112" s="11"/>
      <c r="B112" s="11" t="str">
        <f>B28</f>
        <v>Air Cooler CW Inlet Temp.</v>
      </c>
      <c r="C112" s="11" t="str">
        <f t="shared" ref="C112:I112" si="78">C28</f>
        <v>°C</v>
      </c>
      <c r="D112" s="11">
        <f t="shared" si="78"/>
        <v>27</v>
      </c>
      <c r="E112" s="11">
        <f t="shared" si="78"/>
        <v>26</v>
      </c>
      <c r="F112" s="11">
        <f t="shared" si="78"/>
        <v>26</v>
      </c>
      <c r="G112" s="11">
        <f t="shared" si="78"/>
        <v>27</v>
      </c>
      <c r="H112" s="11">
        <f t="shared" si="78"/>
        <v>27</v>
      </c>
      <c r="I112" s="11">
        <f t="shared" si="78"/>
        <v>28</v>
      </c>
      <c r="M112" s="11" t="str">
        <f>M28</f>
        <v>Air Cooler CW Inlet Temp.</v>
      </c>
      <c r="N112" s="11" t="str">
        <f t="shared" ref="N112:O112" si="79">N28</f>
        <v>°C</v>
      </c>
      <c r="O112" s="11">
        <f t="shared" si="79"/>
        <v>36</v>
      </c>
      <c r="P112" s="11">
        <f t="shared" ref="P112:S112" si="80">P28</f>
        <v>36</v>
      </c>
      <c r="Q112" s="11">
        <f t="shared" si="80"/>
        <v>36</v>
      </c>
      <c r="R112" s="11">
        <f t="shared" si="80"/>
        <v>36</v>
      </c>
      <c r="S112" s="11">
        <f t="shared" si="80"/>
        <v>36</v>
      </c>
      <c r="X112" s="11" t="str">
        <f>X28</f>
        <v>Air Cooler CW Inlet Temp.</v>
      </c>
      <c r="Y112" s="11" t="str">
        <f t="shared" ref="Y112:AD112" si="81">Y28</f>
        <v>°C</v>
      </c>
      <c r="Z112" s="11">
        <f t="shared" si="81"/>
        <v>36</v>
      </c>
      <c r="AA112" s="11">
        <f t="shared" si="81"/>
        <v>36</v>
      </c>
      <c r="AB112" s="11">
        <f t="shared" si="81"/>
        <v>36</v>
      </c>
      <c r="AC112" s="11">
        <f t="shared" si="81"/>
        <v>36</v>
      </c>
      <c r="AD112" s="11">
        <f t="shared" si="81"/>
        <v>39</v>
      </c>
      <c r="AE112" s="11">
        <f>AE28</f>
        <v>38</v>
      </c>
      <c r="AF112" s="11">
        <f>AF28</f>
        <v>36</v>
      </c>
      <c r="AG112" s="11">
        <f>AG28</f>
        <v>34</v>
      </c>
      <c r="AH112" s="11">
        <f>AH28</f>
        <v>34</v>
      </c>
      <c r="AI112" s="11">
        <f>AI28</f>
        <v>33</v>
      </c>
      <c r="AJ112" s="11">
        <f t="shared" ref="AJ112:AK112" si="82">AJ28</f>
        <v>34</v>
      </c>
      <c r="AK112" s="11">
        <f t="shared" si="82"/>
        <v>34</v>
      </c>
    </row>
    <row r="113" spans="1:37">
      <c r="A113" s="11"/>
      <c r="B113" s="16" t="str">
        <f>B61</f>
        <v>Pmax</v>
      </c>
      <c r="C113" s="16" t="str">
        <f t="shared" ref="C113:I113" si="83">C61</f>
        <v>bar</v>
      </c>
      <c r="D113" s="16">
        <f t="shared" si="83"/>
        <v>76.093917049533331</v>
      </c>
      <c r="E113" s="16">
        <f t="shared" si="83"/>
        <v>103.76031707142</v>
      </c>
      <c r="F113" s="16">
        <f t="shared" si="83"/>
        <v>135.34298379280335</v>
      </c>
      <c r="G113" s="16">
        <f t="shared" si="83"/>
        <v>151.00898384752</v>
      </c>
      <c r="H113" s="16">
        <f t="shared" si="83"/>
        <v>151.50898384752</v>
      </c>
      <c r="I113" s="16">
        <f t="shared" si="83"/>
        <v>153.67565051418666</v>
      </c>
      <c r="M113" s="16" t="str">
        <f>M61</f>
        <v>Pmax</v>
      </c>
      <c r="N113" s="16" t="str">
        <f t="shared" ref="N113:O113" si="84">N61</f>
        <v>bar</v>
      </c>
      <c r="O113" s="16">
        <f t="shared" si="84"/>
        <v>131.18165002173666</v>
      </c>
      <c r="P113" s="16">
        <f t="shared" ref="P113:S113" si="85">P61</f>
        <v>130.34831668840334</v>
      </c>
      <c r="Q113" s="16">
        <f t="shared" si="85"/>
        <v>146.34831668840334</v>
      </c>
      <c r="R113" s="16">
        <f t="shared" si="85"/>
        <v>145.68165002173666</v>
      </c>
      <c r="S113" s="16">
        <f t="shared" si="85"/>
        <v>146.68165002173666</v>
      </c>
      <c r="X113" s="16" t="str">
        <f>X61</f>
        <v>Pmax</v>
      </c>
      <c r="Y113" s="16" t="str">
        <f t="shared" ref="Y113:AD113" si="86">Y61</f>
        <v>bar</v>
      </c>
      <c r="Z113" s="16">
        <f t="shared" si="86"/>
        <v>136.5</v>
      </c>
      <c r="AA113" s="16">
        <f t="shared" si="86"/>
        <v>135.5</v>
      </c>
      <c r="AB113" s="16">
        <f t="shared" si="86"/>
        <v>134.16666666666666</v>
      </c>
      <c r="AC113" s="16">
        <f t="shared" si="86"/>
        <v>120.16666666666667</v>
      </c>
      <c r="AD113" s="16">
        <f t="shared" si="86"/>
        <v>128.83333333333334</v>
      </c>
      <c r="AE113" s="16">
        <f>AE61</f>
        <v>135.33333333333334</v>
      </c>
      <c r="AF113" s="16">
        <f>AF61</f>
        <v>126.16666666666667</v>
      </c>
      <c r="AG113" s="16">
        <f>AG61</f>
        <v>129.16666666666666</v>
      </c>
      <c r="AH113" s="16">
        <f>AH61</f>
        <v>134</v>
      </c>
      <c r="AI113" s="16">
        <f>AI61</f>
        <v>132.33333333333334</v>
      </c>
      <c r="AJ113" s="16">
        <f t="shared" ref="AJ113:AK113" si="87">AJ61</f>
        <v>134.66666666666666</v>
      </c>
      <c r="AK113" s="16">
        <f t="shared" si="87"/>
        <v>138.33333333333334</v>
      </c>
    </row>
    <row r="114" spans="1:37">
      <c r="A114" s="11"/>
      <c r="B114" s="11" t="s">
        <v>241</v>
      </c>
      <c r="C114" s="11"/>
      <c r="D114" s="11">
        <f>(D111-25)*0.002198*D113</f>
        <v>-1.814710561972386</v>
      </c>
      <c r="E114" s="11">
        <f t="shared" ref="E114:I114" si="88">(E111-25)*0.002198*E113</f>
        <v>-2.2350387338452156</v>
      </c>
      <c r="F114" s="11">
        <f t="shared" si="88"/>
        <v>-2.6327323236327489</v>
      </c>
      <c r="G114" s="11">
        <f t="shared" si="88"/>
        <v>-2.2072530142040452</v>
      </c>
      <c r="H114" s="11">
        <f t="shared" si="88"/>
        <v>-2.5142764360512095</v>
      </c>
      <c r="I114" s="11">
        <f t="shared" si="88"/>
        <v>-2.1786750649046756</v>
      </c>
      <c r="M114" s="11" t="s">
        <v>241</v>
      </c>
      <c r="N114" s="11"/>
      <c r="O114" s="11">
        <f>(O111-25)*0.002198*O113</f>
        <v>3.3879628842863818</v>
      </c>
      <c r="P114" s="11">
        <f t="shared" ref="P114:S114" si="89">(P111-25)*0.002198*P113</f>
        <v>3.5096936009936042</v>
      </c>
      <c r="Q114" s="11">
        <f t="shared" si="89"/>
        <v>3.940501600993604</v>
      </c>
      <c r="R114" s="11">
        <f t="shared" si="89"/>
        <v>3.9225512676602703</v>
      </c>
      <c r="S114" s="11">
        <f t="shared" si="89"/>
        <v>3.9494767676602702</v>
      </c>
      <c r="X114" s="11" t="s">
        <v>241</v>
      </c>
      <c r="Y114" s="11"/>
      <c r="Z114" s="11">
        <f>(Z111-25)*0.002198*Z113</f>
        <v>1.8001619999999998</v>
      </c>
      <c r="AA114" s="11">
        <f t="shared" ref="AA114" si="90">(AA111-25)*0.002198*AA113</f>
        <v>0.89348699999999992</v>
      </c>
      <c r="AB114" s="11">
        <f t="shared" ref="AB114" si="91">(AB111-25)*0.002198*AB113</f>
        <v>1.4744916666666665</v>
      </c>
      <c r="AC114" s="11">
        <f t="shared" ref="AC114" si="92">(AC111-25)*0.002198*AC113</f>
        <v>-0.26412633333333335</v>
      </c>
      <c r="AD114" s="11">
        <f t="shared" ref="AD114" si="93">(AD111-25)*0.002198*AD113</f>
        <v>3.6812836666666668</v>
      </c>
      <c r="AE114" s="11">
        <f t="shared" ref="AE114" si="94">(AE111-25)*0.002198*AE113</f>
        <v>0.89238799999999996</v>
      </c>
      <c r="AF114" s="11">
        <f t="shared" ref="AF114" si="95">(AF111-25)*0.002198*AF113</f>
        <v>2.3571718333333331</v>
      </c>
      <c r="AG114" s="11">
        <f t="shared" ref="AG114" si="96">(AG111-25)*0.002198*AG113</f>
        <v>3.1229916666666662</v>
      </c>
      <c r="AH114" s="11">
        <f t="shared" ref="AH114" si="97">(AH111-25)*0.002198*AH113</f>
        <v>2.9453199999999997</v>
      </c>
      <c r="AI114" s="11">
        <f t="shared" ref="AI114:AK114" si="98">(AI111-25)*0.002198*AI113</f>
        <v>4.0721613333333329</v>
      </c>
      <c r="AJ114" s="11">
        <f t="shared" si="98"/>
        <v>3.2559706666666663</v>
      </c>
      <c r="AK114" s="11">
        <f t="shared" si="98"/>
        <v>2.4324533333333331</v>
      </c>
    </row>
    <row r="115" spans="1:37">
      <c r="A115" s="11"/>
      <c r="B115" s="11" t="s">
        <v>242</v>
      </c>
      <c r="C115" s="11"/>
      <c r="D115" s="11">
        <f>(D112-25)*(-0.00081)*D113</f>
        <v>-0.12327214562024399</v>
      </c>
      <c r="E115" s="11">
        <f t="shared" ref="E115:I115" si="99">(E112-25)*(-0.00081)*E113</f>
        <v>-8.4045856827850193E-2</v>
      </c>
      <c r="F115" s="11">
        <f t="shared" si="99"/>
        <v>-0.10962781687217071</v>
      </c>
      <c r="G115" s="11">
        <f t="shared" si="99"/>
        <v>-0.24463455383298238</v>
      </c>
      <c r="H115" s="11">
        <f t="shared" si="99"/>
        <v>-0.24544455383298239</v>
      </c>
      <c r="I115" s="11">
        <f t="shared" si="99"/>
        <v>-0.37343183074947356</v>
      </c>
      <c r="M115" s="11" t="s">
        <v>242</v>
      </c>
      <c r="N115" s="11"/>
      <c r="O115" s="11">
        <f>(O112-25)*(-0.00081)*O113</f>
        <v>-1.1688285016936735</v>
      </c>
      <c r="P115" s="11">
        <f t="shared" ref="P115:S115" si="100">(P112-25)*(-0.00081)*P113</f>
        <v>-1.1614035016936737</v>
      </c>
      <c r="Q115" s="11">
        <f t="shared" si="100"/>
        <v>-1.3039635016936737</v>
      </c>
      <c r="R115" s="11">
        <f t="shared" si="100"/>
        <v>-1.2980235016936736</v>
      </c>
      <c r="S115" s="11">
        <f t="shared" si="100"/>
        <v>-1.3069335016936736</v>
      </c>
      <c r="X115" s="11" t="s">
        <v>242</v>
      </c>
      <c r="Y115" s="11"/>
      <c r="Z115" s="11">
        <f>(Z112-25)*(-0.00081)*Z113</f>
        <v>-1.2162149999999998</v>
      </c>
      <c r="AA115" s="11">
        <f t="shared" ref="AA115:AD115" si="101">(AA112-25)*(-0.00081)*AA113</f>
        <v>-1.2073049999999999</v>
      </c>
      <c r="AB115" s="11">
        <f t="shared" si="101"/>
        <v>-1.195425</v>
      </c>
      <c r="AC115" s="11">
        <f t="shared" si="101"/>
        <v>-1.0706849999999999</v>
      </c>
      <c r="AD115" s="11">
        <f t="shared" si="101"/>
        <v>-1.4609700000000001</v>
      </c>
      <c r="AE115" s="11">
        <f t="shared" ref="AE115:AI115" si="102">(AE112-25)*(-0.00081)*AE113</f>
        <v>-1.42506</v>
      </c>
      <c r="AF115" s="11">
        <f t="shared" si="102"/>
        <v>-1.1241449999999999</v>
      </c>
      <c r="AG115" s="11">
        <f t="shared" si="102"/>
        <v>-0.94162499999999993</v>
      </c>
      <c r="AH115" s="11">
        <f t="shared" si="102"/>
        <v>-0.97685999999999995</v>
      </c>
      <c r="AI115" s="11">
        <f t="shared" si="102"/>
        <v>-0.85752000000000006</v>
      </c>
      <c r="AJ115" s="11">
        <f t="shared" ref="AJ115:AK115" si="103">(AJ112-25)*(-0.00081)*AJ113</f>
        <v>-0.98171999999999993</v>
      </c>
      <c r="AK115" s="11">
        <f t="shared" si="103"/>
        <v>-1.0084500000000001</v>
      </c>
    </row>
    <row r="116" spans="1:37">
      <c r="A116" s="11"/>
      <c r="B116" s="11" t="s">
        <v>243</v>
      </c>
      <c r="C116" s="11" t="s">
        <v>20</v>
      </c>
      <c r="D116" s="16">
        <f>D113+D114+D115</f>
        <v>74.155934341940693</v>
      </c>
      <c r="E116" s="16">
        <f t="shared" ref="E116:I116" si="104">E113+E114+E115</f>
        <v>101.44123248074693</v>
      </c>
      <c r="F116" s="16">
        <f t="shared" si="104"/>
        <v>132.60062365229842</v>
      </c>
      <c r="G116" s="16">
        <f t="shared" si="104"/>
        <v>148.55709627948298</v>
      </c>
      <c r="H116" s="16">
        <f t="shared" si="104"/>
        <v>148.74926285763581</v>
      </c>
      <c r="I116" s="16">
        <f t="shared" si="104"/>
        <v>151.12354361853252</v>
      </c>
      <c r="M116" s="11" t="s">
        <v>243</v>
      </c>
      <c r="N116" s="11" t="s">
        <v>20</v>
      </c>
      <c r="O116" s="16">
        <f>O113+O114+O115</f>
        <v>133.40078440432939</v>
      </c>
      <c r="P116" s="16">
        <f t="shared" ref="P116:S116" si="105">P113+P114+P115</f>
        <v>132.69660678770327</v>
      </c>
      <c r="Q116" s="16">
        <f t="shared" si="105"/>
        <v>148.98485478770326</v>
      </c>
      <c r="R116" s="16">
        <f t="shared" si="105"/>
        <v>148.30617778770326</v>
      </c>
      <c r="S116" s="16">
        <f t="shared" si="105"/>
        <v>149.32419328770325</v>
      </c>
      <c r="X116" s="11" t="s">
        <v>243</v>
      </c>
      <c r="Y116" s="11" t="s">
        <v>20</v>
      </c>
      <c r="Z116" s="16">
        <f>Z113+Z114+Z115</f>
        <v>137.08394699999999</v>
      </c>
      <c r="AA116" s="16">
        <f t="shared" ref="AA116" si="106">AA113+AA114+AA115</f>
        <v>135.186182</v>
      </c>
      <c r="AB116" s="16">
        <f t="shared" ref="AB116" si="107">AB113+AB114+AB115</f>
        <v>134.44573333333332</v>
      </c>
      <c r="AC116" s="16">
        <f t="shared" ref="AC116" si="108">AC113+AC114+AC115</f>
        <v>118.83185533333334</v>
      </c>
      <c r="AD116" s="16">
        <f t="shared" ref="AD116" si="109">AD113+AD114+AD115</f>
        <v>131.05364700000001</v>
      </c>
      <c r="AE116" s="16">
        <f t="shared" ref="AE116" si="110">AE113+AE114+AE115</f>
        <v>134.80066133333335</v>
      </c>
      <c r="AF116" s="16">
        <f t="shared" ref="AF116" si="111">AF113+AF114+AF115</f>
        <v>127.39969350000001</v>
      </c>
      <c r="AG116" s="16">
        <f t="shared" ref="AG116" si="112">AG113+AG114+AG115</f>
        <v>131.34803333333335</v>
      </c>
      <c r="AH116" s="16">
        <f t="shared" ref="AH116" si="113">AH113+AH114+AH115</f>
        <v>135.96846000000002</v>
      </c>
      <c r="AI116" s="16">
        <f t="shared" ref="AI116:AK116" si="114">AI113+AI114+AI115</f>
        <v>135.54797466666668</v>
      </c>
      <c r="AJ116" s="16">
        <f t="shared" si="114"/>
        <v>136.94091733333332</v>
      </c>
      <c r="AK116" s="16">
        <f t="shared" si="114"/>
        <v>139.75733666666667</v>
      </c>
    </row>
    <row r="117" spans="1:37">
      <c r="A117" s="11"/>
      <c r="B117" s="11"/>
      <c r="C117" s="11"/>
      <c r="D117" s="11"/>
      <c r="E117" s="11"/>
      <c r="F117" s="11"/>
      <c r="G117" s="11"/>
      <c r="M117" s="11"/>
      <c r="N117" s="11"/>
      <c r="O117" s="11"/>
      <c r="P117" s="11"/>
      <c r="Q117" s="11"/>
      <c r="R117" s="11"/>
      <c r="S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11"/>
      <c r="B118" s="4" t="s">
        <v>244</v>
      </c>
      <c r="C118" s="11"/>
      <c r="D118" s="11"/>
      <c r="E118" s="11"/>
      <c r="F118" s="11"/>
      <c r="G118" s="11"/>
      <c r="M118" s="4" t="s">
        <v>244</v>
      </c>
      <c r="N118" s="11"/>
      <c r="O118" s="11"/>
      <c r="P118" s="11"/>
      <c r="Q118" s="11"/>
      <c r="R118" s="11"/>
      <c r="S118" s="11"/>
      <c r="X118" s="4" t="s">
        <v>244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>
      <c r="A119" s="11"/>
      <c r="B119" s="16" t="str">
        <f>B12</f>
        <v>Fuel Pump Index</v>
      </c>
      <c r="C119" s="16" t="str">
        <f t="shared" ref="C119:I119" si="115">C12</f>
        <v>-</v>
      </c>
      <c r="D119" s="16">
        <f t="shared" si="115"/>
        <v>42</v>
      </c>
      <c r="E119" s="16">
        <f t="shared" si="115"/>
        <v>56</v>
      </c>
      <c r="F119" s="16">
        <f t="shared" si="115"/>
        <v>70</v>
      </c>
      <c r="G119" s="16">
        <f t="shared" si="115"/>
        <v>77</v>
      </c>
      <c r="H119" s="16">
        <f t="shared" si="115"/>
        <v>85</v>
      </c>
      <c r="I119" s="16">
        <f t="shared" si="115"/>
        <v>90</v>
      </c>
      <c r="M119" s="16" t="str">
        <f>M12</f>
        <v>Fuel Pump Index</v>
      </c>
      <c r="N119" s="16" t="str">
        <f t="shared" ref="N119:O119" si="116">N12</f>
        <v>-</v>
      </c>
      <c r="O119" s="16">
        <f t="shared" si="116"/>
        <v>75.333333333333329</v>
      </c>
      <c r="P119" s="16">
        <f t="shared" ref="P119:S119" si="117">P12</f>
        <v>72.333333333333329</v>
      </c>
      <c r="Q119" s="16">
        <f t="shared" si="117"/>
        <v>84.166666666666671</v>
      </c>
      <c r="R119" s="16">
        <f t="shared" si="117"/>
        <v>80</v>
      </c>
      <c r="S119" s="16">
        <f t="shared" si="117"/>
        <v>88.166666666666671</v>
      </c>
      <c r="X119" s="16" t="str">
        <f>X12</f>
        <v>Fuel Pump Index</v>
      </c>
      <c r="Y119" s="16" t="str">
        <f t="shared" ref="Y119:AD119" si="118">Y12</f>
        <v>-</v>
      </c>
      <c r="Z119" s="16">
        <f t="shared" si="118"/>
        <v>80.25</v>
      </c>
      <c r="AA119" s="16">
        <f t="shared" si="118"/>
        <v>72.333333333333329</v>
      </c>
      <c r="AB119" s="16">
        <f t="shared" si="118"/>
        <v>80.333333333333329</v>
      </c>
      <c r="AC119" s="16">
        <f t="shared" si="118"/>
        <v>71</v>
      </c>
      <c r="AD119" s="16">
        <f t="shared" si="118"/>
        <v>77</v>
      </c>
      <c r="AE119" s="16">
        <f>AE12</f>
        <v>79</v>
      </c>
      <c r="AF119" s="16">
        <f>AF12</f>
        <v>78.166666666666671</v>
      </c>
      <c r="AG119" s="16">
        <f>AG12</f>
        <v>81.333333333333329</v>
      </c>
      <c r="AH119" s="16">
        <f>AH12</f>
        <v>80.666666666666671</v>
      </c>
      <c r="AI119" s="16">
        <f>AI12</f>
        <v>80.5</v>
      </c>
      <c r="AJ119" s="16">
        <f t="shared" ref="AJ119:AK119" si="119">AJ12</f>
        <v>81.5</v>
      </c>
      <c r="AK119" s="16">
        <f t="shared" si="119"/>
        <v>81.333333333333329</v>
      </c>
    </row>
    <row r="120" spans="1:37">
      <c r="A120" s="11"/>
      <c r="B120" s="11"/>
      <c r="C120" s="11"/>
      <c r="D120" s="11"/>
      <c r="E120" s="11"/>
      <c r="F120" s="11"/>
      <c r="G120" s="11"/>
      <c r="M120" s="11"/>
      <c r="N120" s="11"/>
      <c r="O120" s="11"/>
      <c r="P120" s="11"/>
      <c r="Q120" s="11"/>
      <c r="R120" s="11"/>
      <c r="S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>
      <c r="A121" s="11"/>
      <c r="B121" s="4" t="s">
        <v>246</v>
      </c>
      <c r="C121" s="11"/>
      <c r="D121" s="11"/>
      <c r="E121" s="11"/>
      <c r="F121" s="11"/>
      <c r="G121" s="11"/>
      <c r="M121" s="4" t="s">
        <v>246</v>
      </c>
      <c r="N121" s="11"/>
      <c r="O121" s="11"/>
      <c r="P121" s="11"/>
      <c r="Q121" s="11"/>
      <c r="R121" s="11"/>
      <c r="S121" s="11"/>
      <c r="X121" s="4" t="s">
        <v>246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11"/>
      <c r="B122" s="11" t="str">
        <f>B111</f>
        <v>Blower Inlet Temperature</v>
      </c>
      <c r="C122" s="11" t="str">
        <f t="shared" ref="C122:I122" si="120">C111</f>
        <v>°C</v>
      </c>
      <c r="D122" s="11">
        <f t="shared" si="120"/>
        <v>14.149999999999999</v>
      </c>
      <c r="E122" s="11">
        <f t="shared" si="120"/>
        <v>15.2</v>
      </c>
      <c r="F122" s="11">
        <f t="shared" si="120"/>
        <v>16.149999999999999</v>
      </c>
      <c r="G122" s="11">
        <f t="shared" si="120"/>
        <v>18.350000000000001</v>
      </c>
      <c r="H122" s="11">
        <f t="shared" si="120"/>
        <v>17.45</v>
      </c>
      <c r="I122" s="11">
        <f t="shared" si="120"/>
        <v>18.55</v>
      </c>
      <c r="M122" s="11" t="str">
        <f>M111</f>
        <v>Blower Inlet Temperature</v>
      </c>
      <c r="N122" s="11" t="str">
        <f t="shared" ref="N122:O122" si="121">N111</f>
        <v>°C</v>
      </c>
      <c r="O122" s="11">
        <f t="shared" si="121"/>
        <v>36.75</v>
      </c>
      <c r="P122" s="11">
        <f t="shared" ref="P122:S122" si="122">P111</f>
        <v>37.25</v>
      </c>
      <c r="Q122" s="11">
        <f t="shared" si="122"/>
        <v>37.25</v>
      </c>
      <c r="R122" s="11">
        <f t="shared" si="122"/>
        <v>37.25</v>
      </c>
      <c r="S122" s="11">
        <f t="shared" si="122"/>
        <v>37.25</v>
      </c>
      <c r="X122" s="11" t="str">
        <f>X111</f>
        <v>Blower Inlet Temperature</v>
      </c>
      <c r="Y122" s="11" t="str">
        <f t="shared" ref="Y122:AD122" si="123">Y111</f>
        <v>°C</v>
      </c>
      <c r="Z122" s="11">
        <f t="shared" si="123"/>
        <v>31</v>
      </c>
      <c r="AA122" s="11">
        <f t="shared" si="123"/>
        <v>28</v>
      </c>
      <c r="AB122" s="11">
        <f t="shared" si="123"/>
        <v>30</v>
      </c>
      <c r="AC122" s="11">
        <f t="shared" si="123"/>
        <v>24</v>
      </c>
      <c r="AD122" s="11">
        <f t="shared" si="123"/>
        <v>38</v>
      </c>
      <c r="AE122" s="11">
        <f t="shared" ref="AE122:AI122" si="124">AE111</f>
        <v>28</v>
      </c>
      <c r="AF122" s="11">
        <f t="shared" si="124"/>
        <v>33.5</v>
      </c>
      <c r="AG122" s="11">
        <f t="shared" si="124"/>
        <v>36</v>
      </c>
      <c r="AH122" s="11">
        <f t="shared" si="124"/>
        <v>35</v>
      </c>
      <c r="AI122" s="11">
        <f t="shared" si="124"/>
        <v>39</v>
      </c>
      <c r="AJ122" s="11">
        <f t="shared" ref="AJ122:AK122" si="125">AJ111</f>
        <v>36</v>
      </c>
      <c r="AK122" s="11">
        <f t="shared" si="125"/>
        <v>33</v>
      </c>
    </row>
    <row r="123" spans="1:37">
      <c r="A123" s="11"/>
      <c r="B123" s="11" t="str">
        <f>B112</f>
        <v>Air Cooler CW Inlet Temp.</v>
      </c>
      <c r="C123" s="11" t="str">
        <f t="shared" ref="C123:I123" si="126">C112</f>
        <v>°C</v>
      </c>
      <c r="D123" s="11">
        <f t="shared" si="126"/>
        <v>27</v>
      </c>
      <c r="E123" s="11">
        <f t="shared" si="126"/>
        <v>26</v>
      </c>
      <c r="F123" s="11">
        <f t="shared" si="126"/>
        <v>26</v>
      </c>
      <c r="G123" s="11">
        <f t="shared" si="126"/>
        <v>27</v>
      </c>
      <c r="H123" s="11">
        <f t="shared" si="126"/>
        <v>27</v>
      </c>
      <c r="I123" s="11">
        <f t="shared" si="126"/>
        <v>28</v>
      </c>
      <c r="M123" s="11" t="str">
        <f>M112</f>
        <v>Air Cooler CW Inlet Temp.</v>
      </c>
      <c r="N123" s="11" t="str">
        <f t="shared" ref="N123:O123" si="127">N112</f>
        <v>°C</v>
      </c>
      <c r="O123" s="11">
        <f t="shared" si="127"/>
        <v>36</v>
      </c>
      <c r="P123" s="11">
        <f t="shared" ref="P123:S123" si="128">P112</f>
        <v>36</v>
      </c>
      <c r="Q123" s="11">
        <f t="shared" si="128"/>
        <v>36</v>
      </c>
      <c r="R123" s="11">
        <f t="shared" si="128"/>
        <v>36</v>
      </c>
      <c r="S123" s="11">
        <f t="shared" si="128"/>
        <v>36</v>
      </c>
      <c r="X123" s="11" t="str">
        <f>X112</f>
        <v>Air Cooler CW Inlet Temp.</v>
      </c>
      <c r="Y123" s="11" t="str">
        <f t="shared" ref="Y123:AD123" si="129">Y112</f>
        <v>°C</v>
      </c>
      <c r="Z123" s="11">
        <f t="shared" si="129"/>
        <v>36</v>
      </c>
      <c r="AA123" s="11">
        <f t="shared" si="129"/>
        <v>36</v>
      </c>
      <c r="AB123" s="11">
        <f t="shared" si="129"/>
        <v>36</v>
      </c>
      <c r="AC123" s="11">
        <f t="shared" si="129"/>
        <v>36</v>
      </c>
      <c r="AD123" s="11">
        <f t="shared" si="129"/>
        <v>39</v>
      </c>
      <c r="AE123" s="11">
        <f t="shared" ref="AE123:AI123" si="130">AE112</f>
        <v>38</v>
      </c>
      <c r="AF123" s="11">
        <f t="shared" si="130"/>
        <v>36</v>
      </c>
      <c r="AG123" s="11">
        <f t="shared" si="130"/>
        <v>34</v>
      </c>
      <c r="AH123" s="11">
        <f t="shared" si="130"/>
        <v>34</v>
      </c>
      <c r="AI123" s="11">
        <f t="shared" si="130"/>
        <v>33</v>
      </c>
      <c r="AJ123" s="11">
        <f t="shared" ref="AJ123:AK123" si="131">AJ112</f>
        <v>34</v>
      </c>
      <c r="AK123" s="11">
        <f t="shared" si="131"/>
        <v>34</v>
      </c>
    </row>
    <row r="124" spans="1:37">
      <c r="A124" s="11"/>
      <c r="B124" s="11" t="str">
        <f>B39</f>
        <v>T Exhaust receiver</v>
      </c>
      <c r="C124" s="11" t="s">
        <v>26</v>
      </c>
      <c r="D124" s="11">
        <f>D39-273.15</f>
        <v>262.5</v>
      </c>
      <c r="E124" s="11">
        <f t="shared" ref="E124:I124" si="132">E39-273.15</f>
        <v>314</v>
      </c>
      <c r="F124" s="11">
        <f t="shared" si="132"/>
        <v>335</v>
      </c>
      <c r="G124" s="11">
        <f t="shared" si="132"/>
        <v>353.5</v>
      </c>
      <c r="H124" s="11">
        <f t="shared" si="132"/>
        <v>375</v>
      </c>
      <c r="I124" s="11">
        <f t="shared" si="132"/>
        <v>395</v>
      </c>
      <c r="M124" s="11" t="str">
        <f>M39</f>
        <v>T Exhaust receiver</v>
      </c>
      <c r="N124" s="11" t="s">
        <v>26</v>
      </c>
      <c r="O124" s="11">
        <f>O39-273.15</f>
        <v>375</v>
      </c>
      <c r="P124" s="11">
        <f t="shared" ref="P124:S124" si="133">P39-273.15</f>
        <v>372.5</v>
      </c>
      <c r="Q124" s="11">
        <f t="shared" si="133"/>
        <v>397</v>
      </c>
      <c r="R124" s="11">
        <f t="shared" si="133"/>
        <v>385</v>
      </c>
      <c r="S124" s="11">
        <f t="shared" si="133"/>
        <v>412.5</v>
      </c>
      <c r="X124" s="11" t="str">
        <f>X39</f>
        <v>T Exhaust receiver</v>
      </c>
      <c r="Y124" s="11" t="s">
        <v>26</v>
      </c>
      <c r="Z124" s="11">
        <f>Z39-273.15</f>
        <v>377.5</v>
      </c>
      <c r="AA124" s="11">
        <f t="shared" ref="AA124:AD124" si="134">AA39-273.15</f>
        <v>350</v>
      </c>
      <c r="AB124" s="11">
        <f t="shared" si="134"/>
        <v>365</v>
      </c>
      <c r="AC124" s="11">
        <f t="shared" si="134"/>
        <v>342.5</v>
      </c>
      <c r="AD124" s="11">
        <f t="shared" si="134"/>
        <v>385</v>
      </c>
      <c r="AE124" s="11">
        <f>AE39-273.15</f>
        <v>375</v>
      </c>
      <c r="AF124" s="11">
        <f>AF39-273.15</f>
        <v>395</v>
      </c>
      <c r="AG124" s="11">
        <f>AG39-273.15</f>
        <v>397.5</v>
      </c>
      <c r="AH124" s="11">
        <f>AH39-273.15</f>
        <v>388.5</v>
      </c>
      <c r="AI124" s="11">
        <f>AI39-273.15</f>
        <v>401</v>
      </c>
      <c r="AJ124" s="11">
        <f t="shared" ref="AJ124:AK124" si="135">AJ39-273.15</f>
        <v>394.5</v>
      </c>
      <c r="AK124" s="11">
        <f t="shared" si="135"/>
        <v>375</v>
      </c>
    </row>
    <row r="125" spans="1:37">
      <c r="A125" s="11"/>
      <c r="B125" s="11" t="s">
        <v>241</v>
      </c>
      <c r="C125" s="11"/>
      <c r="D125" s="11">
        <f>(D122-25)*(-0.002446)*(273+D124)</f>
        <v>14.211688050000001</v>
      </c>
      <c r="E125" s="11">
        <f t="shared" ref="E125:I125" si="136">(E122-25)*(-0.002446)*(273+E124)</f>
        <v>14.0708596</v>
      </c>
      <c r="F125" s="11">
        <f t="shared" si="136"/>
        <v>13.161436800000001</v>
      </c>
      <c r="G125" s="11">
        <f>(G122-25)*(-0.002446)*(273+G124)</f>
        <v>10.190586349999998</v>
      </c>
      <c r="H125" s="11">
        <f t="shared" si="136"/>
        <v>11.9668104</v>
      </c>
      <c r="I125" s="11">
        <f t="shared" si="136"/>
        <v>10.538835599999999</v>
      </c>
      <c r="M125" s="11" t="s">
        <v>241</v>
      </c>
      <c r="N125" s="11"/>
      <c r="O125" s="11">
        <f>(O122-25)*(-0.002446)*(273+O124)</f>
        <v>-18.623843999999998</v>
      </c>
      <c r="P125" s="11">
        <f t="shared" ref="P125:S125" si="137">(P122-25)*(-0.002446)*(273+P124)</f>
        <v>-19.341439249999997</v>
      </c>
      <c r="Q125" s="11">
        <f t="shared" si="137"/>
        <v>-20.075544999999998</v>
      </c>
      <c r="R125" s="11">
        <f t="shared" si="137"/>
        <v>-19.715982999999998</v>
      </c>
      <c r="S125" s="11">
        <f t="shared" si="137"/>
        <v>-20.539979249999998</v>
      </c>
      <c r="X125" s="11" t="s">
        <v>241</v>
      </c>
      <c r="Y125" s="11"/>
      <c r="Z125" s="11">
        <f>(Z122-25)*(-0.002446)*(273+Z124)</f>
        <v>-9.5467379999999995</v>
      </c>
      <c r="AA125" s="11">
        <f t="shared" ref="AA125" si="138">(AA122-25)*(-0.002446)*(273+AA124)</f>
        <v>-4.5715739999999991</v>
      </c>
      <c r="AB125" s="11">
        <f t="shared" ref="AB125" si="139">(AB122-25)*(-0.002446)*(273+AB124)</f>
        <v>-7.80274</v>
      </c>
      <c r="AC125" s="11">
        <f t="shared" ref="AC125" si="140">(AC122-25)*(-0.002446)*(273+AC124)</f>
        <v>1.5055129999999999</v>
      </c>
      <c r="AD125" s="11">
        <f t="shared" ref="AD125" si="141">(AD122-25)*(-0.002446)*(273+AD124)</f>
        <v>-20.923083999999999</v>
      </c>
      <c r="AE125" s="11">
        <f t="shared" ref="AE125" si="142">(AE122-25)*(-0.002446)*(273+AE124)</f>
        <v>-4.7550239999999997</v>
      </c>
      <c r="AF125" s="11">
        <f t="shared" ref="AF125" si="143">(AF122-25)*(-0.002446)*(273+AF124)</f>
        <v>-13.888387999999997</v>
      </c>
      <c r="AG125" s="11">
        <f t="shared" ref="AG125" si="144">(AG122-25)*(-0.002446)*(273+AG124)</f>
        <v>-18.040472999999999</v>
      </c>
      <c r="AH125" s="11">
        <f t="shared" ref="AH125" si="145">(AH122-25)*(-0.002446)*(273+AH124)</f>
        <v>-16.180289999999999</v>
      </c>
      <c r="AI125" s="11">
        <f t="shared" ref="AI125:AK125" si="146">(AI122-25)*(-0.002446)*(273+AI124)</f>
        <v>-23.080455999999998</v>
      </c>
      <c r="AJ125" s="11">
        <f t="shared" si="146"/>
        <v>-17.959755000000001</v>
      </c>
      <c r="AK125" s="11">
        <f t="shared" si="146"/>
        <v>-12.680064</v>
      </c>
    </row>
    <row r="126" spans="1:37">
      <c r="A126" s="11"/>
      <c r="B126" s="11" t="s">
        <v>242</v>
      </c>
      <c r="C126" s="11"/>
      <c r="D126" s="11">
        <f>(D123-25)*(-0.00059)*(273+D124)</f>
        <v>-0.63189000000000006</v>
      </c>
      <c r="E126" s="11">
        <f t="shared" ref="E126:I126" si="147">(E123-25)*(-0.00059)*(273+E124)</f>
        <v>-0.34633000000000003</v>
      </c>
      <c r="F126" s="11">
        <f t="shared" si="147"/>
        <v>-0.35872000000000004</v>
      </c>
      <c r="G126" s="11">
        <f t="shared" si="147"/>
        <v>-0.73926999999999998</v>
      </c>
      <c r="H126" s="11">
        <f t="shared" si="147"/>
        <v>-0.76463999999999999</v>
      </c>
      <c r="I126" s="11">
        <f t="shared" si="147"/>
        <v>-1.1823600000000001</v>
      </c>
      <c r="M126" s="11" t="s">
        <v>242</v>
      </c>
      <c r="N126" s="11"/>
      <c r="O126" s="11">
        <f>(O123-25)*(-0.00059)*(273+O124)</f>
        <v>-4.2055199999999999</v>
      </c>
      <c r="P126" s="11">
        <f t="shared" ref="P126:S126" si="148">(P123-25)*(-0.00059)*(273+P124)</f>
        <v>-4.1892950000000004</v>
      </c>
      <c r="Q126" s="11">
        <f t="shared" si="148"/>
        <v>-4.3483000000000001</v>
      </c>
      <c r="R126" s="11">
        <f t="shared" si="148"/>
        <v>-4.2704199999999997</v>
      </c>
      <c r="S126" s="11">
        <f t="shared" si="148"/>
        <v>-4.4488950000000003</v>
      </c>
      <c r="X126" s="11" t="s">
        <v>242</v>
      </c>
      <c r="Y126" s="11"/>
      <c r="Z126" s="11">
        <f>(Z123-25)*(-0.00059)*(273+Z124)</f>
        <v>-4.2217450000000003</v>
      </c>
      <c r="AA126" s="11">
        <f t="shared" ref="AA126:AD126" si="149">(AA123-25)*(-0.00059)*(273+AA124)</f>
        <v>-4.0432699999999997</v>
      </c>
      <c r="AB126" s="11">
        <f t="shared" si="149"/>
        <v>-4.1406200000000002</v>
      </c>
      <c r="AC126" s="11">
        <f t="shared" si="149"/>
        <v>-3.9945949999999999</v>
      </c>
      <c r="AD126" s="11">
        <f t="shared" si="149"/>
        <v>-5.4350800000000001</v>
      </c>
      <c r="AE126" s="11">
        <f t="shared" ref="AE126:AI126" si="150">(AE123-25)*(-0.00059)*(273+AE124)</f>
        <v>-4.9701600000000008</v>
      </c>
      <c r="AF126" s="11">
        <f t="shared" si="150"/>
        <v>-4.3353200000000003</v>
      </c>
      <c r="AG126" s="11">
        <f t="shared" si="150"/>
        <v>-3.5603550000000004</v>
      </c>
      <c r="AH126" s="11">
        <f t="shared" si="150"/>
        <v>-3.5125650000000004</v>
      </c>
      <c r="AI126" s="11">
        <f t="shared" si="150"/>
        <v>-3.1812800000000001</v>
      </c>
      <c r="AJ126" s="11">
        <f t="shared" ref="AJ126:AK126" si="151">(AJ123-25)*(-0.00059)*(273+AJ124)</f>
        <v>-3.5444250000000004</v>
      </c>
      <c r="AK126" s="11">
        <f t="shared" si="151"/>
        <v>-3.4408800000000004</v>
      </c>
    </row>
    <row r="127" spans="1:37">
      <c r="A127" s="11"/>
      <c r="B127" s="11" t="s">
        <v>247</v>
      </c>
      <c r="C127" s="11" t="s">
        <v>26</v>
      </c>
      <c r="D127" s="11">
        <f>D124+D125+D126</f>
        <v>276.07979805000002</v>
      </c>
      <c r="E127" s="11">
        <f t="shared" ref="E127:I127" si="152">E124+E125+E126</f>
        <v>327.72452959999998</v>
      </c>
      <c r="F127" s="11">
        <f t="shared" si="152"/>
        <v>347.80271679999998</v>
      </c>
      <c r="G127" s="11">
        <f t="shared" si="152"/>
        <v>362.95131635000001</v>
      </c>
      <c r="H127" s="11">
        <f t="shared" si="152"/>
        <v>386.2021704</v>
      </c>
      <c r="I127" s="11">
        <f t="shared" si="152"/>
        <v>404.35647559999995</v>
      </c>
      <c r="M127" s="11" t="s">
        <v>247</v>
      </c>
      <c r="N127" s="11" t="s">
        <v>26</v>
      </c>
      <c r="O127" s="11">
        <f>O124+O125+O126</f>
        <v>352.170636</v>
      </c>
      <c r="P127" s="11">
        <f t="shared" ref="P127:S127" si="153">P124+P125+P126</f>
        <v>348.96926574999998</v>
      </c>
      <c r="Q127" s="11">
        <f t="shared" si="153"/>
        <v>372.57615500000003</v>
      </c>
      <c r="R127" s="11">
        <f t="shared" si="153"/>
        <v>361.013597</v>
      </c>
      <c r="S127" s="11">
        <f t="shared" si="153"/>
        <v>387.51112575000002</v>
      </c>
      <c r="X127" s="11" t="s">
        <v>247</v>
      </c>
      <c r="Y127" s="11" t="s">
        <v>26</v>
      </c>
      <c r="Z127" s="11">
        <f>Z124+Z125+Z126</f>
        <v>363.731517</v>
      </c>
      <c r="AA127" s="11">
        <f t="shared" ref="AA127" si="154">AA124+AA125+AA126</f>
        <v>341.38515599999999</v>
      </c>
      <c r="AB127" s="11">
        <f t="shared" ref="AB127" si="155">AB124+AB125+AB126</f>
        <v>353.05664000000002</v>
      </c>
      <c r="AC127" s="11">
        <f t="shared" ref="AC127" si="156">AC124+AC125+AC126</f>
        <v>340.010918</v>
      </c>
      <c r="AD127" s="11">
        <f t="shared" ref="AD127" si="157">AD124+AD125+AD126</f>
        <v>358.64183599999996</v>
      </c>
      <c r="AE127" s="11">
        <f t="shared" ref="AE127" si="158">AE124+AE125+AE126</f>
        <v>365.27481599999999</v>
      </c>
      <c r="AF127" s="11">
        <f t="shared" ref="AF127" si="159">AF124+AF125+AF126</f>
        <v>376.77629199999996</v>
      </c>
      <c r="AG127" s="11">
        <f t="shared" ref="AG127" si="160">AG124+AG125+AG126</f>
        <v>375.89917199999996</v>
      </c>
      <c r="AH127" s="11">
        <f t="shared" ref="AH127" si="161">AH124+AH125+AH126</f>
        <v>368.80714499999999</v>
      </c>
      <c r="AI127" s="11">
        <f t="shared" ref="AI127:AK127" si="162">AI124+AI125+AI126</f>
        <v>374.73826399999996</v>
      </c>
      <c r="AJ127" s="11">
        <f t="shared" si="162"/>
        <v>372.99582000000004</v>
      </c>
      <c r="AK127" s="11">
        <f t="shared" si="162"/>
        <v>358.87905599999999</v>
      </c>
    </row>
    <row r="128" spans="1:37">
      <c r="A128" s="11"/>
      <c r="B128" s="11"/>
      <c r="C128" s="11"/>
      <c r="D128" s="11"/>
      <c r="E128" s="11"/>
      <c r="F128" s="11"/>
      <c r="G128" s="11"/>
      <c r="M128" s="11"/>
      <c r="N128" s="11"/>
      <c r="O128" s="11"/>
      <c r="P128" s="11"/>
      <c r="Q128" s="11"/>
      <c r="R128" s="11"/>
      <c r="S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>
      <c r="A129" s="11"/>
      <c r="B129" s="4" t="s">
        <v>248</v>
      </c>
      <c r="C129" s="11"/>
      <c r="D129" s="11"/>
      <c r="E129" s="11"/>
      <c r="F129" s="11"/>
      <c r="G129" s="11"/>
      <c r="M129" s="4" t="s">
        <v>248</v>
      </c>
      <c r="N129" s="11"/>
      <c r="O129" s="11"/>
      <c r="P129" s="11"/>
      <c r="Q129" s="11"/>
      <c r="R129" s="11"/>
      <c r="S129" s="11"/>
      <c r="X129" s="4" t="s">
        <v>248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11"/>
      <c r="B130" s="11" t="str">
        <f>B122</f>
        <v>Blower Inlet Temperature</v>
      </c>
      <c r="C130" s="11" t="str">
        <f t="shared" ref="C130:I130" si="163">C122</f>
        <v>°C</v>
      </c>
      <c r="D130" s="11">
        <f t="shared" si="163"/>
        <v>14.149999999999999</v>
      </c>
      <c r="E130" s="11">
        <f t="shared" si="163"/>
        <v>15.2</v>
      </c>
      <c r="F130" s="11">
        <f t="shared" si="163"/>
        <v>16.149999999999999</v>
      </c>
      <c r="G130" s="11">
        <f t="shared" si="163"/>
        <v>18.350000000000001</v>
      </c>
      <c r="H130" s="11">
        <f t="shared" si="163"/>
        <v>17.45</v>
      </c>
      <c r="I130" s="11">
        <f t="shared" si="163"/>
        <v>18.55</v>
      </c>
      <c r="M130" s="11" t="str">
        <f>M122</f>
        <v>Blower Inlet Temperature</v>
      </c>
      <c r="N130" s="11" t="str">
        <f t="shared" ref="N130:O130" si="164">N122</f>
        <v>°C</v>
      </c>
      <c r="O130" s="11">
        <f t="shared" si="164"/>
        <v>36.75</v>
      </c>
      <c r="P130" s="11">
        <f t="shared" ref="P130:S130" si="165">P122</f>
        <v>37.25</v>
      </c>
      <c r="Q130" s="11">
        <f t="shared" si="165"/>
        <v>37.25</v>
      </c>
      <c r="R130" s="11">
        <f t="shared" si="165"/>
        <v>37.25</v>
      </c>
      <c r="S130" s="11">
        <f t="shared" si="165"/>
        <v>37.25</v>
      </c>
      <c r="X130" s="11" t="str">
        <f>X122</f>
        <v>Blower Inlet Temperature</v>
      </c>
      <c r="Y130" s="11" t="str">
        <f t="shared" ref="Y130:AD130" si="166">Y122</f>
        <v>°C</v>
      </c>
      <c r="Z130" s="11">
        <f t="shared" si="166"/>
        <v>31</v>
      </c>
      <c r="AA130" s="11">
        <f t="shared" si="166"/>
        <v>28</v>
      </c>
      <c r="AB130" s="11">
        <f t="shared" si="166"/>
        <v>30</v>
      </c>
      <c r="AC130" s="11">
        <f t="shared" si="166"/>
        <v>24</v>
      </c>
      <c r="AD130" s="11">
        <f t="shared" si="166"/>
        <v>38</v>
      </c>
      <c r="AE130" s="11">
        <f t="shared" ref="AE130:AI130" si="167">AE122</f>
        <v>28</v>
      </c>
      <c r="AF130" s="11">
        <f t="shared" si="167"/>
        <v>33.5</v>
      </c>
      <c r="AG130" s="11">
        <f t="shared" si="167"/>
        <v>36</v>
      </c>
      <c r="AH130" s="11">
        <f t="shared" si="167"/>
        <v>35</v>
      </c>
      <c r="AI130" s="11">
        <f t="shared" si="167"/>
        <v>39</v>
      </c>
      <c r="AJ130" s="11">
        <f t="shared" ref="AJ130:AK130" si="168">AJ122</f>
        <v>36</v>
      </c>
      <c r="AK130" s="11">
        <f t="shared" si="168"/>
        <v>33</v>
      </c>
    </row>
    <row r="131" spans="1:37">
      <c r="A131" s="11"/>
      <c r="B131" s="11" t="str">
        <f>B123</f>
        <v>Air Cooler CW Inlet Temp.</v>
      </c>
      <c r="C131" s="11" t="str">
        <f t="shared" ref="C131:I131" si="169">C123</f>
        <v>°C</v>
      </c>
      <c r="D131" s="11">
        <f t="shared" si="169"/>
        <v>27</v>
      </c>
      <c r="E131" s="11">
        <f t="shared" si="169"/>
        <v>26</v>
      </c>
      <c r="F131" s="11">
        <f t="shared" si="169"/>
        <v>26</v>
      </c>
      <c r="G131" s="11">
        <f t="shared" si="169"/>
        <v>27</v>
      </c>
      <c r="H131" s="11">
        <f t="shared" si="169"/>
        <v>27</v>
      </c>
      <c r="I131" s="11">
        <f t="shared" si="169"/>
        <v>28</v>
      </c>
      <c r="M131" s="11" t="str">
        <f>M123</f>
        <v>Air Cooler CW Inlet Temp.</v>
      </c>
      <c r="N131" s="11" t="str">
        <f t="shared" ref="N131:O131" si="170">N123</f>
        <v>°C</v>
      </c>
      <c r="O131" s="11">
        <f t="shared" si="170"/>
        <v>36</v>
      </c>
      <c r="P131" s="11">
        <f t="shared" ref="P131:S131" si="171">P123</f>
        <v>36</v>
      </c>
      <c r="Q131" s="11">
        <f t="shared" si="171"/>
        <v>36</v>
      </c>
      <c r="R131" s="11">
        <f t="shared" si="171"/>
        <v>36</v>
      </c>
      <c r="S131" s="11">
        <f t="shared" si="171"/>
        <v>36</v>
      </c>
      <c r="X131" s="11" t="str">
        <f>X123</f>
        <v>Air Cooler CW Inlet Temp.</v>
      </c>
      <c r="Y131" s="11" t="str">
        <f t="shared" ref="Y131:AD131" si="172">Y123</f>
        <v>°C</v>
      </c>
      <c r="Z131" s="11">
        <f t="shared" si="172"/>
        <v>36</v>
      </c>
      <c r="AA131" s="11">
        <f t="shared" si="172"/>
        <v>36</v>
      </c>
      <c r="AB131" s="11">
        <f t="shared" si="172"/>
        <v>36</v>
      </c>
      <c r="AC131" s="11">
        <f t="shared" si="172"/>
        <v>36</v>
      </c>
      <c r="AD131" s="11">
        <f t="shared" si="172"/>
        <v>39</v>
      </c>
      <c r="AE131" s="11">
        <f t="shared" ref="AE131:AI131" si="173">AE123</f>
        <v>38</v>
      </c>
      <c r="AF131" s="11">
        <f t="shared" si="173"/>
        <v>36</v>
      </c>
      <c r="AG131" s="11">
        <f t="shared" si="173"/>
        <v>34</v>
      </c>
      <c r="AH131" s="11">
        <f t="shared" si="173"/>
        <v>34</v>
      </c>
      <c r="AI131" s="11">
        <f t="shared" si="173"/>
        <v>33</v>
      </c>
      <c r="AJ131" s="11">
        <f t="shared" ref="AJ131:AK131" si="174">AJ123</f>
        <v>34</v>
      </c>
      <c r="AK131" s="11">
        <f t="shared" si="174"/>
        <v>34</v>
      </c>
    </row>
    <row r="132" spans="1:37">
      <c r="A132" s="11"/>
      <c r="B132" s="53" t="str">
        <f>B36</f>
        <v>P scavenge receiver</v>
      </c>
      <c r="C132" s="53" t="str">
        <f t="shared" ref="C132:I132" si="175">C36</f>
        <v>bar</v>
      </c>
      <c r="D132" s="53">
        <f t="shared" si="175"/>
        <v>1.3805837161999999</v>
      </c>
      <c r="E132" s="53">
        <f t="shared" si="175"/>
        <v>2.1303170714200004</v>
      </c>
      <c r="F132" s="53">
        <f t="shared" si="175"/>
        <v>2.9396504594700001</v>
      </c>
      <c r="G132" s="53">
        <f t="shared" si="175"/>
        <v>3.4389838475200003</v>
      </c>
      <c r="H132" s="53">
        <f t="shared" si="175"/>
        <v>3.80898384752</v>
      </c>
      <c r="I132" s="53">
        <f t="shared" si="175"/>
        <v>4.0689838475200002</v>
      </c>
      <c r="M132" s="53" t="str">
        <f>M36</f>
        <v>P scavenge receiver</v>
      </c>
      <c r="N132" s="53" t="str">
        <f t="shared" ref="N132:O132" si="176">N36</f>
        <v>bar</v>
      </c>
      <c r="O132" s="53">
        <f t="shared" si="176"/>
        <v>3.0743798550700001</v>
      </c>
      <c r="P132" s="53">
        <f t="shared" ref="P132:S132" si="177">P36</f>
        <v>2.9272801050699999</v>
      </c>
      <c r="Q132" s="53">
        <f t="shared" si="177"/>
        <v>3.5647123550700002</v>
      </c>
      <c r="R132" s="53">
        <f t="shared" si="177"/>
        <v>3.3587727050700003</v>
      </c>
      <c r="S132" s="53">
        <f t="shared" si="177"/>
        <v>3.8589118550700001</v>
      </c>
      <c r="X132" s="53" t="str">
        <f>X36</f>
        <v>P scavenge receiver</v>
      </c>
      <c r="Y132" s="53" t="str">
        <f t="shared" ref="Y132:AD132" si="178">Y36</f>
        <v>bar</v>
      </c>
      <c r="Z132" s="53">
        <f t="shared" si="178"/>
        <v>2.41</v>
      </c>
      <c r="AA132" s="53">
        <f t="shared" si="178"/>
        <v>2.2999999999999998</v>
      </c>
      <c r="AB132" s="53">
        <f t="shared" si="178"/>
        <v>2.2999999999999998</v>
      </c>
      <c r="AC132" s="53">
        <f t="shared" si="178"/>
        <v>1.9</v>
      </c>
      <c r="AD132" s="53">
        <f t="shared" si="178"/>
        <v>2.15</v>
      </c>
      <c r="AE132" s="53">
        <f>AE36</f>
        <v>2.3199999999999998</v>
      </c>
      <c r="AF132" s="53">
        <f>AF36</f>
        <v>2.2000000000000002</v>
      </c>
      <c r="AG132" s="53">
        <f>AG36</f>
        <v>2.2400000000000002</v>
      </c>
      <c r="AH132" s="53">
        <f>AH36</f>
        <v>2.33</v>
      </c>
      <c r="AI132" s="53">
        <f>AI36</f>
        <v>2.29</v>
      </c>
      <c r="AJ132" s="53">
        <f t="shared" ref="AJ132:AK132" si="179">AJ36</f>
        <v>2.34</v>
      </c>
      <c r="AK132" s="53">
        <f t="shared" si="179"/>
        <v>2.4</v>
      </c>
    </row>
    <row r="133" spans="1:37">
      <c r="A133" s="11"/>
      <c r="B133" s="11" t="s">
        <v>241</v>
      </c>
      <c r="C133" s="11"/>
      <c r="D133" s="11">
        <f>(D130-25)*(0.002856)*(D132)</f>
        <v>-4.2780975964119124E-2</v>
      </c>
      <c r="E133" s="11">
        <f t="shared" ref="E133:I133" si="180">(E130-25)*(0.002856)*(E132)</f>
        <v>-5.9625018448560108E-2</v>
      </c>
      <c r="F133" s="11">
        <f t="shared" si="180"/>
        <v>-7.430142915337995E-2</v>
      </c>
      <c r="G133" s="11">
        <f t="shared" si="180"/>
        <v>-6.5314556825638845E-2</v>
      </c>
      <c r="H133" s="11">
        <f t="shared" si="180"/>
        <v>-8.2132356907304263E-2</v>
      </c>
      <c r="I133" s="11">
        <f t="shared" si="180"/>
        <v>-7.4955565251935419E-2</v>
      </c>
      <c r="M133" s="11" t="s">
        <v>241</v>
      </c>
      <c r="N133" s="11"/>
      <c r="O133" s="11">
        <f>(O130-25)*(0.002856)*(O132)</f>
        <v>0.10317003917643906</v>
      </c>
      <c r="P133" s="11">
        <f t="shared" ref="P133:S133" si="181">(P130-25)*(0.002856)*(P132)</f>
        <v>0.10241382175597903</v>
      </c>
      <c r="Q133" s="11">
        <f t="shared" si="181"/>
        <v>0.12471502645447904</v>
      </c>
      <c r="R133" s="11">
        <f t="shared" si="181"/>
        <v>0.11751002185957904</v>
      </c>
      <c r="S133" s="11">
        <f t="shared" si="181"/>
        <v>0.13500789016147904</v>
      </c>
      <c r="X133" s="11" t="s">
        <v>241</v>
      </c>
      <c r="Y133" s="11"/>
      <c r="Z133" s="11">
        <f>(Z130-25)*(0.002856)*(Z132)</f>
        <v>4.1297759999999996E-2</v>
      </c>
      <c r="AA133" s="11">
        <f t="shared" ref="AA133" si="182">(AA130-25)*(0.002856)*(AA132)</f>
        <v>1.9706399999999995E-2</v>
      </c>
      <c r="AB133" s="11">
        <f t="shared" ref="AB133" si="183">(AB130-25)*(0.002856)*(AB132)</f>
        <v>3.2843999999999998E-2</v>
      </c>
      <c r="AC133" s="11">
        <f t="shared" ref="AC133" si="184">(AC130-25)*(0.002856)*(AC132)</f>
        <v>-5.4263999999999996E-3</v>
      </c>
      <c r="AD133" s="11">
        <f t="shared" ref="AD133" si="185">(AD130-25)*(0.002856)*(AD132)</f>
        <v>7.9825199999999999E-2</v>
      </c>
      <c r="AE133" s="11">
        <f t="shared" ref="AE133" si="186">(AE130-25)*(0.002856)*(AE132)</f>
        <v>1.9877759999999998E-2</v>
      </c>
      <c r="AF133" s="11">
        <f t="shared" ref="AF133" si="187">(AF130-25)*(0.002856)*(AF132)</f>
        <v>5.3407200000000002E-2</v>
      </c>
      <c r="AG133" s="11">
        <f t="shared" ref="AG133" si="188">(AG130-25)*(0.002856)*(AG132)</f>
        <v>7.0371840000000005E-2</v>
      </c>
      <c r="AH133" s="11">
        <f t="shared" ref="AH133" si="189">(AH130-25)*(0.002856)*(AH132)</f>
        <v>6.6544800000000001E-2</v>
      </c>
      <c r="AI133" s="11">
        <f t="shared" ref="AI133:AK133" si="190">(AI130-25)*(0.002856)*(AI132)</f>
        <v>9.1563359999999996E-2</v>
      </c>
      <c r="AJ133" s="11">
        <f t="shared" si="190"/>
        <v>7.3513439999999999E-2</v>
      </c>
      <c r="AK133" s="11">
        <f t="shared" si="190"/>
        <v>5.4835200000000001E-2</v>
      </c>
    </row>
    <row r="134" spans="1:37">
      <c r="A134" s="11"/>
      <c r="B134" s="11" t="s">
        <v>242</v>
      </c>
      <c r="C134" s="11"/>
      <c r="D134" s="11">
        <f>(D131-25)*(-0.00222)*(D132)</f>
        <v>-6.129791699928E-3</v>
      </c>
      <c r="E134" s="11">
        <f t="shared" ref="E134:I134" si="191">(E131-25)*(-0.00222)*(E132)</f>
        <v>-4.7293038985524016E-3</v>
      </c>
      <c r="F134" s="11">
        <f t="shared" si="191"/>
        <v>-6.5260240200234005E-3</v>
      </c>
      <c r="G134" s="11">
        <f t="shared" si="191"/>
        <v>-1.5269088282988803E-2</v>
      </c>
      <c r="H134" s="11">
        <f t="shared" si="191"/>
        <v>-1.6911888282988802E-2</v>
      </c>
      <c r="I134" s="11">
        <f t="shared" si="191"/>
        <v>-2.7099432424483205E-2</v>
      </c>
      <c r="M134" s="11" t="s">
        <v>242</v>
      </c>
      <c r="N134" s="11"/>
      <c r="O134" s="11">
        <f>(O131-25)*(-0.00222)*(O132)</f>
        <v>-7.507635606080941E-2</v>
      </c>
      <c r="P134" s="11">
        <f t="shared" ref="P134:S134" si="192">(P131-25)*(-0.00222)*(P132)</f>
        <v>-7.1484180165809402E-2</v>
      </c>
      <c r="Q134" s="11">
        <f t="shared" si="192"/>
        <v>-8.7050275710809408E-2</v>
      </c>
      <c r="R134" s="11">
        <f t="shared" si="192"/>
        <v>-8.2021229457809403E-2</v>
      </c>
      <c r="S134" s="11">
        <f t="shared" si="192"/>
        <v>-9.4234627500809409E-2</v>
      </c>
      <c r="X134" s="11" t="s">
        <v>242</v>
      </c>
      <c r="Y134" s="11"/>
      <c r="Z134" s="11">
        <f>(Z131-25)*(-0.00222)*(Z132)</f>
        <v>-5.8852200000000007E-2</v>
      </c>
      <c r="AA134" s="11">
        <f t="shared" ref="AA134:AD134" si="193">(AA131-25)*(-0.00222)*(AA132)</f>
        <v>-5.6166000000000001E-2</v>
      </c>
      <c r="AB134" s="11">
        <f t="shared" si="193"/>
        <v>-5.6166000000000001E-2</v>
      </c>
      <c r="AC134" s="11">
        <f t="shared" si="193"/>
        <v>-4.6398000000000002E-2</v>
      </c>
      <c r="AD134" s="11">
        <f t="shared" si="193"/>
        <v>-6.6822000000000006E-2</v>
      </c>
      <c r="AE134" s="11">
        <f t="shared" ref="AE134:AI134" si="194">(AE131-25)*(-0.00222)*(AE132)</f>
        <v>-6.6955200000000006E-2</v>
      </c>
      <c r="AF134" s="11">
        <f t="shared" si="194"/>
        <v>-5.3724000000000008E-2</v>
      </c>
      <c r="AG134" s="11">
        <f t="shared" si="194"/>
        <v>-4.4755200000000009E-2</v>
      </c>
      <c r="AH134" s="11">
        <f t="shared" si="194"/>
        <v>-4.6553400000000002E-2</v>
      </c>
      <c r="AI134" s="11">
        <f t="shared" si="194"/>
        <v>-4.0670400000000002E-2</v>
      </c>
      <c r="AJ134" s="11">
        <f t="shared" ref="AJ134:AK134" si="195">(AJ131-25)*(-0.00222)*(AJ132)</f>
        <v>-4.6753200000000002E-2</v>
      </c>
      <c r="AK134" s="11">
        <f t="shared" si="195"/>
        <v>-4.7952000000000002E-2</v>
      </c>
    </row>
    <row r="135" spans="1:37">
      <c r="A135" s="11"/>
      <c r="B135" s="11" t="s">
        <v>250</v>
      </c>
      <c r="C135" s="11" t="s">
        <v>20</v>
      </c>
      <c r="D135" s="53">
        <f>D132+D133+D134</f>
        <v>1.3316729485359526</v>
      </c>
      <c r="E135" s="53">
        <f t="shared" ref="E135:I135" si="196">E132+E133+E134</f>
        <v>2.065962749072888</v>
      </c>
      <c r="F135" s="53">
        <f t="shared" si="196"/>
        <v>2.8588230062965967</v>
      </c>
      <c r="G135" s="53">
        <f t="shared" si="196"/>
        <v>3.3584002024113726</v>
      </c>
      <c r="H135" s="53">
        <f t="shared" si="196"/>
        <v>3.7099396023297069</v>
      </c>
      <c r="I135" s="53">
        <f t="shared" si="196"/>
        <v>3.9669288498435815</v>
      </c>
      <c r="M135" s="11" t="s">
        <v>250</v>
      </c>
      <c r="N135" s="11" t="s">
        <v>20</v>
      </c>
      <c r="O135" s="53">
        <f>O132+O133+O134</f>
        <v>3.1024735381856297</v>
      </c>
      <c r="P135" s="53">
        <f t="shared" ref="P135:S135" si="197">P132+P133+P134</f>
        <v>2.9582097466601698</v>
      </c>
      <c r="Q135" s="53">
        <f t="shared" si="197"/>
        <v>3.60237710581367</v>
      </c>
      <c r="R135" s="53">
        <f t="shared" si="197"/>
        <v>3.3942614974717698</v>
      </c>
      <c r="S135" s="53">
        <f t="shared" si="197"/>
        <v>3.8996851177306699</v>
      </c>
      <c r="X135" s="11" t="s">
        <v>250</v>
      </c>
      <c r="Y135" s="11" t="s">
        <v>20</v>
      </c>
      <c r="Z135" s="53">
        <f>Z132+Z133+Z134</f>
        <v>2.3924455600000001</v>
      </c>
      <c r="AA135" s="53">
        <f t="shared" ref="AA135" si="198">AA132+AA133+AA134</f>
        <v>2.2635403999999997</v>
      </c>
      <c r="AB135" s="53">
        <f t="shared" ref="AB135" si="199">AB132+AB133+AB134</f>
        <v>2.2766779999999995</v>
      </c>
      <c r="AC135" s="53">
        <f t="shared" ref="AC135" si="200">AC132+AC133+AC134</f>
        <v>1.8481756</v>
      </c>
      <c r="AD135" s="53">
        <f t="shared" ref="AD135" si="201">AD132+AD133+AD134</f>
        <v>2.1630031999999999</v>
      </c>
      <c r="AE135" s="53">
        <f t="shared" ref="AE135" si="202">AE132+AE133+AE134</f>
        <v>2.2729225599999996</v>
      </c>
      <c r="AF135" s="53">
        <f t="shared" ref="AF135" si="203">AF132+AF133+AF134</f>
        <v>2.1996832000000004</v>
      </c>
      <c r="AG135" s="53">
        <f t="shared" ref="AG135" si="204">AG132+AG133+AG134</f>
        <v>2.2656166400000002</v>
      </c>
      <c r="AH135" s="53">
        <f t="shared" ref="AH135" si="205">AH132+AH133+AH134</f>
        <v>2.3499914</v>
      </c>
      <c r="AI135" s="53">
        <f t="shared" ref="AI135:AK135" si="206">AI132+AI133+AI134</f>
        <v>2.3408929599999997</v>
      </c>
      <c r="AJ135" s="53">
        <f t="shared" si="206"/>
        <v>2.3667602400000001</v>
      </c>
      <c r="AK135" s="53">
        <f t="shared" si="206"/>
        <v>2.4068831999999998</v>
      </c>
    </row>
    <row r="136" spans="1:37">
      <c r="A136" s="11"/>
      <c r="B136" s="11"/>
      <c r="C136" s="11"/>
      <c r="D136" s="11"/>
      <c r="E136" s="11"/>
      <c r="F136" s="11"/>
      <c r="G136" s="11"/>
      <c r="M136" s="11"/>
      <c r="N136" s="11"/>
      <c r="O136" s="11"/>
      <c r="P136" s="11"/>
      <c r="Q136" s="11"/>
      <c r="R136" s="11"/>
      <c r="S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>
      <c r="A137" s="11"/>
      <c r="B137" s="4" t="s">
        <v>249</v>
      </c>
      <c r="C137" s="11"/>
      <c r="D137" s="11"/>
      <c r="E137" s="11"/>
      <c r="F137" s="11"/>
      <c r="G137" s="11"/>
      <c r="M137" s="4" t="s">
        <v>249</v>
      </c>
      <c r="N137" s="11"/>
      <c r="O137" s="11"/>
      <c r="P137" s="11"/>
      <c r="Q137" s="11"/>
      <c r="R137" s="11"/>
      <c r="S137" s="11"/>
      <c r="X137" s="4" t="s">
        <v>249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11"/>
      <c r="B138" s="11" t="str">
        <f>B130</f>
        <v>Blower Inlet Temperature</v>
      </c>
      <c r="C138" s="11" t="str">
        <f t="shared" ref="C138:I138" si="207">C130</f>
        <v>°C</v>
      </c>
      <c r="D138" s="11">
        <f t="shared" si="207"/>
        <v>14.149999999999999</v>
      </c>
      <c r="E138" s="11">
        <f t="shared" si="207"/>
        <v>15.2</v>
      </c>
      <c r="F138" s="11">
        <f t="shared" si="207"/>
        <v>16.149999999999999</v>
      </c>
      <c r="G138" s="11">
        <f t="shared" si="207"/>
        <v>18.350000000000001</v>
      </c>
      <c r="H138" s="11">
        <f t="shared" si="207"/>
        <v>17.45</v>
      </c>
      <c r="I138" s="11">
        <f t="shared" si="207"/>
        <v>18.55</v>
      </c>
      <c r="M138" s="11" t="str">
        <f>M130</f>
        <v>Blower Inlet Temperature</v>
      </c>
      <c r="N138" s="11" t="str">
        <f t="shared" ref="N138:O138" si="208">N130</f>
        <v>°C</v>
      </c>
      <c r="O138" s="11">
        <f t="shared" si="208"/>
        <v>36.75</v>
      </c>
      <c r="P138" s="11">
        <f t="shared" ref="P138:S138" si="209">P130</f>
        <v>37.25</v>
      </c>
      <c r="Q138" s="11">
        <f t="shared" si="209"/>
        <v>37.25</v>
      </c>
      <c r="R138" s="11">
        <f t="shared" si="209"/>
        <v>37.25</v>
      </c>
      <c r="S138" s="11">
        <f t="shared" si="209"/>
        <v>37.25</v>
      </c>
      <c r="X138" s="11" t="str">
        <f>X130</f>
        <v>Blower Inlet Temperature</v>
      </c>
      <c r="Y138" s="11" t="str">
        <f t="shared" ref="Y138:AD138" si="210">Y130</f>
        <v>°C</v>
      </c>
      <c r="Z138" s="11">
        <f t="shared" si="210"/>
        <v>31</v>
      </c>
      <c r="AA138" s="11">
        <f t="shared" si="210"/>
        <v>28</v>
      </c>
      <c r="AB138" s="11">
        <f t="shared" si="210"/>
        <v>30</v>
      </c>
      <c r="AC138" s="11">
        <f t="shared" si="210"/>
        <v>24</v>
      </c>
      <c r="AD138" s="11">
        <f t="shared" si="210"/>
        <v>38</v>
      </c>
      <c r="AE138" s="11">
        <f t="shared" ref="AE138:AI138" si="211">AE130</f>
        <v>28</v>
      </c>
      <c r="AF138" s="11">
        <f t="shared" si="211"/>
        <v>33.5</v>
      </c>
      <c r="AG138" s="11">
        <f t="shared" si="211"/>
        <v>36</v>
      </c>
      <c r="AH138" s="11">
        <f t="shared" si="211"/>
        <v>35</v>
      </c>
      <c r="AI138" s="11">
        <f t="shared" si="211"/>
        <v>39</v>
      </c>
      <c r="AJ138" s="11">
        <f t="shared" ref="AJ138:AK138" si="212">AJ130</f>
        <v>36</v>
      </c>
      <c r="AK138" s="11">
        <f t="shared" si="212"/>
        <v>33</v>
      </c>
    </row>
    <row r="139" spans="1:37">
      <c r="A139" s="11"/>
      <c r="B139" s="11" t="str">
        <f>B131</f>
        <v>Air Cooler CW Inlet Temp.</v>
      </c>
      <c r="C139" s="11" t="str">
        <f t="shared" ref="C139:I139" si="213">C131</f>
        <v>°C</v>
      </c>
      <c r="D139" s="11">
        <f t="shared" si="213"/>
        <v>27</v>
      </c>
      <c r="E139" s="11">
        <f t="shared" si="213"/>
        <v>26</v>
      </c>
      <c r="F139" s="11">
        <f t="shared" si="213"/>
        <v>26</v>
      </c>
      <c r="G139" s="11">
        <f t="shared" si="213"/>
        <v>27</v>
      </c>
      <c r="H139" s="11">
        <f t="shared" si="213"/>
        <v>27</v>
      </c>
      <c r="I139" s="11">
        <f t="shared" si="213"/>
        <v>28</v>
      </c>
      <c r="M139" s="11" t="str">
        <f>M131</f>
        <v>Air Cooler CW Inlet Temp.</v>
      </c>
      <c r="N139" s="11" t="str">
        <f t="shared" ref="N139:O139" si="214">N131</f>
        <v>°C</v>
      </c>
      <c r="O139" s="11">
        <f t="shared" si="214"/>
        <v>36</v>
      </c>
      <c r="P139" s="11">
        <f t="shared" ref="P139:S139" si="215">P131</f>
        <v>36</v>
      </c>
      <c r="Q139" s="11">
        <f t="shared" si="215"/>
        <v>36</v>
      </c>
      <c r="R139" s="11">
        <f t="shared" si="215"/>
        <v>36</v>
      </c>
      <c r="S139" s="11">
        <f t="shared" si="215"/>
        <v>36</v>
      </c>
      <c r="X139" s="11" t="str">
        <f>X131</f>
        <v>Air Cooler CW Inlet Temp.</v>
      </c>
      <c r="Y139" s="11" t="str">
        <f t="shared" ref="Y139:AD139" si="216">Y131</f>
        <v>°C</v>
      </c>
      <c r="Z139" s="11">
        <f t="shared" si="216"/>
        <v>36</v>
      </c>
      <c r="AA139" s="11">
        <f t="shared" si="216"/>
        <v>36</v>
      </c>
      <c r="AB139" s="11">
        <f t="shared" si="216"/>
        <v>36</v>
      </c>
      <c r="AC139" s="11">
        <f t="shared" si="216"/>
        <v>36</v>
      </c>
      <c r="AD139" s="11">
        <f t="shared" si="216"/>
        <v>39</v>
      </c>
      <c r="AE139" s="11">
        <f t="shared" ref="AE139:AI139" si="217">AE131</f>
        <v>38</v>
      </c>
      <c r="AF139" s="11">
        <f t="shared" si="217"/>
        <v>36</v>
      </c>
      <c r="AG139" s="11">
        <f t="shared" si="217"/>
        <v>34</v>
      </c>
      <c r="AH139" s="11">
        <f t="shared" si="217"/>
        <v>34</v>
      </c>
      <c r="AI139" s="11">
        <f t="shared" si="217"/>
        <v>33</v>
      </c>
      <c r="AJ139" s="11">
        <f t="shared" ref="AJ139:AK139" si="218">AJ131</f>
        <v>34</v>
      </c>
      <c r="AK139" s="11">
        <f t="shared" si="218"/>
        <v>34</v>
      </c>
    </row>
    <row r="140" spans="1:37">
      <c r="A140" s="11"/>
      <c r="B140" s="16" t="str">
        <f>B62</f>
        <v>Pcomp</v>
      </c>
      <c r="C140" s="16" t="str">
        <f t="shared" ref="C140:I140" si="219">C62</f>
        <v>bar</v>
      </c>
      <c r="D140" s="16">
        <f t="shared" si="219"/>
        <v>50.343917049533339</v>
      </c>
      <c r="E140" s="16">
        <f t="shared" si="219"/>
        <v>76.926983738086676</v>
      </c>
      <c r="F140" s="16">
        <f t="shared" si="219"/>
        <v>108.00965045947</v>
      </c>
      <c r="G140" s="16">
        <f t="shared" si="219"/>
        <v>126.00898384752</v>
      </c>
      <c r="H140" s="16">
        <f t="shared" si="219"/>
        <v>140.67565051418666</v>
      </c>
      <c r="I140" s="16">
        <f t="shared" si="219"/>
        <v>150.00898384752</v>
      </c>
      <c r="M140" s="16" t="str">
        <f>M62</f>
        <v>Pcomp</v>
      </c>
      <c r="N140" s="16" t="str">
        <f t="shared" ref="N140:O140" si="220">N62</f>
        <v>bar</v>
      </c>
      <c r="O140" s="16">
        <f t="shared" si="220"/>
        <v>104.68165002173667</v>
      </c>
      <c r="P140" s="16">
        <f t="shared" ref="P140:S140" si="221">P62</f>
        <v>104.34831668840333</v>
      </c>
      <c r="Q140" s="16">
        <f t="shared" si="221"/>
        <v>129.51498335507</v>
      </c>
      <c r="R140" s="16">
        <f t="shared" si="221"/>
        <v>120.34831668840333</v>
      </c>
      <c r="S140" s="16">
        <f t="shared" si="221"/>
        <v>137.68165002173666</v>
      </c>
      <c r="X140" s="16" t="str">
        <f>X62</f>
        <v>Pcomp</v>
      </c>
      <c r="Y140" s="16" t="str">
        <f t="shared" ref="Y140:AD140" si="222">Y62</f>
        <v>bar</v>
      </c>
      <c r="Z140" s="16">
        <f t="shared" si="222"/>
        <v>116.40000000000002</v>
      </c>
      <c r="AA140" s="16">
        <f t="shared" si="222"/>
        <v>114.58333333333333</v>
      </c>
      <c r="AB140" s="16">
        <f t="shared" si="222"/>
        <v>114.11666666666667</v>
      </c>
      <c r="AC140" s="16">
        <f t="shared" si="222"/>
        <v>97.083333333333329</v>
      </c>
      <c r="AD140" s="16">
        <f t="shared" si="222"/>
        <v>107.2</v>
      </c>
      <c r="AE140" s="16">
        <f>AE62</f>
        <v>115.45</v>
      </c>
      <c r="AF140" s="16">
        <f>AF62</f>
        <v>104.8</v>
      </c>
      <c r="AG140" s="16">
        <f>AG62</f>
        <v>110.13333333333333</v>
      </c>
      <c r="AH140" s="16">
        <f>AH62</f>
        <v>114.33333333333333</v>
      </c>
      <c r="AI140" s="16">
        <f>AI62</f>
        <v>111</v>
      </c>
      <c r="AJ140" s="16">
        <f t="shared" ref="AJ140:AK140" si="223">AJ62</f>
        <v>113.84999999999998</v>
      </c>
      <c r="AK140" s="16">
        <f t="shared" si="223"/>
        <v>117.35000000000001</v>
      </c>
    </row>
    <row r="141" spans="1:37">
      <c r="A141" s="11"/>
      <c r="B141" s="11" t="s">
        <v>241</v>
      </c>
      <c r="C141" s="11"/>
      <c r="D141" s="11">
        <f>(D138-25)*(0.002954)*(D140)</f>
        <v>-1.6135678509628884</v>
      </c>
      <c r="E141" s="11">
        <f t="shared" ref="E141:I141" si="224">(E138-25)*(0.002954)*(E140)</f>
        <v>-2.2269746376306188</v>
      </c>
      <c r="F141" s="11">
        <f t="shared" si="224"/>
        <v>-2.8236854909968785</v>
      </c>
      <c r="G141" s="11">
        <f t="shared" si="224"/>
        <v>-2.4753330795990673</v>
      </c>
      <c r="H141" s="11">
        <f t="shared" si="224"/>
        <v>-3.1374468307227512</v>
      </c>
      <c r="I141" s="11">
        <f t="shared" si="224"/>
        <v>-2.8581661719419524</v>
      </c>
      <c r="M141" s="11" t="s">
        <v>241</v>
      </c>
      <c r="N141" s="11"/>
      <c r="O141" s="11">
        <f>(O138-25)*(0.002954)*(O140)</f>
        <v>3.6334477314294689</v>
      </c>
      <c r="P141" s="11">
        <f t="shared" ref="P141:S141" si="225">(P138-25)*(0.002954)*(P140)</f>
        <v>3.7760003618449076</v>
      </c>
      <c r="Q141" s="11">
        <f t="shared" si="225"/>
        <v>4.6866939451782414</v>
      </c>
      <c r="R141" s="11">
        <f t="shared" si="225"/>
        <v>4.3549843618449078</v>
      </c>
      <c r="S141" s="11">
        <f t="shared" si="225"/>
        <v>4.9822170285115739</v>
      </c>
      <c r="X141" s="11" t="s">
        <v>241</v>
      </c>
      <c r="Y141" s="11"/>
      <c r="Z141" s="11">
        <f>(Z138-25)*(0.002954)*(Z140)</f>
        <v>2.0630736000000005</v>
      </c>
      <c r="AA141" s="11">
        <f t="shared" ref="AA141" si="226">(AA138-25)*(0.002954)*(AA140)</f>
        <v>1.0154375</v>
      </c>
      <c r="AB141" s="11">
        <f t="shared" ref="AB141" si="227">(AB138-25)*(0.002954)*(AB140)</f>
        <v>1.6855031666666669</v>
      </c>
      <c r="AC141" s="11">
        <f t="shared" ref="AC141" si="228">(AC138-25)*(0.002954)*(AC140)</f>
        <v>-0.28678416666666667</v>
      </c>
      <c r="AD141" s="11">
        <f t="shared" ref="AD141" si="229">(AD138-25)*(0.002954)*(AD140)</f>
        <v>4.1166944000000001</v>
      </c>
      <c r="AE141" s="11">
        <f t="shared" ref="AE141" si="230">(AE138-25)*(0.002954)*(AE140)</f>
        <v>1.0231179000000001</v>
      </c>
      <c r="AF141" s="11">
        <f t="shared" ref="AF141" si="231">(AF138-25)*(0.002954)*(AF140)</f>
        <v>2.6314232</v>
      </c>
      <c r="AG141" s="11">
        <f t="shared" ref="AG141" si="232">(AG138-25)*(0.002954)*(AG140)</f>
        <v>3.5786725333333331</v>
      </c>
      <c r="AH141" s="11">
        <f t="shared" ref="AH141" si="233">(AH138-25)*(0.002954)*(AH140)</f>
        <v>3.3774066666666664</v>
      </c>
      <c r="AI141" s="11">
        <f t="shared" ref="AI141:AK141" si="234">(AI138-25)*(0.002954)*(AI140)</f>
        <v>4.590516</v>
      </c>
      <c r="AJ141" s="11">
        <f t="shared" si="234"/>
        <v>3.6994418999999996</v>
      </c>
      <c r="AK141" s="11">
        <f t="shared" si="234"/>
        <v>2.7732152000000001</v>
      </c>
    </row>
    <row r="142" spans="1:37">
      <c r="A142" s="11"/>
      <c r="B142" s="11" t="s">
        <v>242</v>
      </c>
      <c r="C142" s="11"/>
      <c r="D142" s="11">
        <f>(D139-25)*(-0.00153)*(D140)</f>
        <v>-0.15405238617157199</v>
      </c>
      <c r="E142" s="11">
        <f t="shared" ref="E142:I142" si="235">(E139-25)*(-0.00153)*(E140)</f>
        <v>-0.11769828511927261</v>
      </c>
      <c r="F142" s="11">
        <f t="shared" si="235"/>
        <v>-0.16525476520298907</v>
      </c>
      <c r="G142" s="11">
        <f t="shared" si="235"/>
        <v>-0.38558749057341118</v>
      </c>
      <c r="H142" s="11">
        <f t="shared" si="235"/>
        <v>-0.43046749057341116</v>
      </c>
      <c r="I142" s="11">
        <f t="shared" si="235"/>
        <v>-0.68854123586011673</v>
      </c>
      <c r="M142" s="11" t="s">
        <v>242</v>
      </c>
      <c r="N142" s="11"/>
      <c r="O142" s="11">
        <f>(O139-25)*(-0.00153)*(O140)</f>
        <v>-1.7617921698658279</v>
      </c>
      <c r="P142" s="11">
        <f t="shared" ref="P142:S142" si="236">(P139-25)*(-0.00153)*(P140)</f>
        <v>-1.7561821698658278</v>
      </c>
      <c r="Q142" s="11">
        <f t="shared" si="236"/>
        <v>-2.1797371698658279</v>
      </c>
      <c r="R142" s="11">
        <f t="shared" si="236"/>
        <v>-2.0254621698658277</v>
      </c>
      <c r="S142" s="11">
        <f t="shared" si="236"/>
        <v>-2.3171821698658275</v>
      </c>
      <c r="X142" s="11" t="s">
        <v>242</v>
      </c>
      <c r="Y142" s="11"/>
      <c r="Z142" s="11">
        <f>(Z139-25)*(-0.00153)*(Z140)</f>
        <v>-1.959012</v>
      </c>
      <c r="AA142" s="11">
        <f t="shared" ref="AA142:AD142" si="237">(AA139-25)*(-0.00153)*(AA140)</f>
        <v>-1.9284374999999996</v>
      </c>
      <c r="AB142" s="11">
        <f t="shared" si="237"/>
        <v>-1.9205834999999998</v>
      </c>
      <c r="AC142" s="11">
        <f t="shared" si="237"/>
        <v>-1.6339124999999997</v>
      </c>
      <c r="AD142" s="11">
        <f t="shared" si="237"/>
        <v>-2.296224</v>
      </c>
      <c r="AE142" s="11">
        <f t="shared" ref="AE142:AI142" si="238">(AE139-25)*(-0.00153)*(AE140)</f>
        <v>-2.2963004999999996</v>
      </c>
      <c r="AF142" s="11">
        <f t="shared" si="238"/>
        <v>-1.7637839999999998</v>
      </c>
      <c r="AG142" s="11">
        <f t="shared" si="238"/>
        <v>-1.5165359999999999</v>
      </c>
      <c r="AH142" s="11">
        <f t="shared" si="238"/>
        <v>-1.5743699999999998</v>
      </c>
      <c r="AI142" s="11">
        <f t="shared" si="238"/>
        <v>-1.3586399999999998</v>
      </c>
      <c r="AJ142" s="11">
        <f t="shared" ref="AJ142:AK142" si="239">(AJ139-25)*(-0.00153)*(AJ140)</f>
        <v>-1.5677144999999997</v>
      </c>
      <c r="AK142" s="11">
        <f t="shared" si="239"/>
        <v>-1.6159095000000001</v>
      </c>
    </row>
    <row r="143" spans="1:37">
      <c r="A143" s="11"/>
      <c r="B143" s="11" t="s">
        <v>251</v>
      </c>
      <c r="C143" s="11"/>
      <c r="D143" s="16">
        <f>D140+D141+D142</f>
        <v>48.57629681239888</v>
      </c>
      <c r="E143" s="16">
        <f t="shared" ref="E143:I143" si="240">E140+E141+E142</f>
        <v>74.582310815336783</v>
      </c>
      <c r="F143" s="16">
        <f t="shared" si="240"/>
        <v>105.02071020327013</v>
      </c>
      <c r="G143" s="16">
        <f t="shared" si="240"/>
        <v>123.14806327734752</v>
      </c>
      <c r="H143" s="16">
        <f t="shared" si="240"/>
        <v>137.10773619289048</v>
      </c>
      <c r="I143" s="16">
        <f t="shared" si="240"/>
        <v>146.46227643971793</v>
      </c>
      <c r="M143" s="11" t="s">
        <v>251</v>
      </c>
      <c r="N143" s="11"/>
      <c r="O143" s="16">
        <f>O140+O141+O142</f>
        <v>106.55330558330031</v>
      </c>
      <c r="P143" s="16">
        <f t="shared" ref="P143:S143" si="241">P140+P141+P142</f>
        <v>106.36813488038241</v>
      </c>
      <c r="Q143" s="16">
        <f t="shared" si="241"/>
        <v>132.0219401303824</v>
      </c>
      <c r="R143" s="16">
        <f t="shared" si="241"/>
        <v>122.67783888038241</v>
      </c>
      <c r="S143" s="16">
        <f t="shared" si="241"/>
        <v>140.34668488038241</v>
      </c>
      <c r="X143" s="11" t="s">
        <v>251</v>
      </c>
      <c r="Y143" s="11"/>
      <c r="Z143" s="16">
        <f>Z140+Z141+Z142</f>
        <v>116.50406160000001</v>
      </c>
      <c r="AA143" s="16">
        <f t="shared" ref="AA143" si="242">AA140+AA141+AA142</f>
        <v>113.67033333333333</v>
      </c>
      <c r="AB143" s="16">
        <f t="shared" ref="AB143" si="243">AB140+AB141+AB142</f>
        <v>113.88158633333333</v>
      </c>
      <c r="AC143" s="16">
        <f t="shared" ref="AC143" si="244">AC140+AC141+AC142</f>
        <v>95.162636666666671</v>
      </c>
      <c r="AD143" s="16">
        <f t="shared" ref="AD143" si="245">AD140+AD141+AD142</f>
        <v>109.02047040000001</v>
      </c>
      <c r="AE143" s="16">
        <f t="shared" ref="AE143" si="246">AE140+AE141+AE142</f>
        <v>114.1768174</v>
      </c>
      <c r="AF143" s="16">
        <f t="shared" ref="AF143" si="247">AF140+AF141+AF142</f>
        <v>105.6676392</v>
      </c>
      <c r="AG143" s="16">
        <f t="shared" ref="AG143" si="248">AG140+AG141+AG142</f>
        <v>112.19546986666666</v>
      </c>
      <c r="AH143" s="16">
        <f t="shared" ref="AH143" si="249">AH140+AH141+AH142</f>
        <v>116.13637</v>
      </c>
      <c r="AI143" s="16">
        <f t="shared" ref="AI143:AK143" si="250">AI140+AI141+AI142</f>
        <v>114.231876</v>
      </c>
      <c r="AJ143" s="16">
        <f t="shared" si="250"/>
        <v>115.98172739999998</v>
      </c>
      <c r="AK143" s="16">
        <f t="shared" si="250"/>
        <v>118.5073057</v>
      </c>
    </row>
    <row r="144" spans="1:37">
      <c r="A144" s="11"/>
      <c r="B144" s="11"/>
      <c r="C144" s="11"/>
      <c r="D144" s="11"/>
      <c r="E144" s="11"/>
      <c r="F144" s="11"/>
      <c r="G144" s="11"/>
      <c r="M144" s="11"/>
      <c r="N144" s="11"/>
      <c r="O144" s="11"/>
      <c r="P144" s="11"/>
      <c r="Q144" s="11"/>
      <c r="R144" s="11"/>
      <c r="S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43">
      <c r="A145" s="11"/>
      <c r="B145" s="4" t="s">
        <v>252</v>
      </c>
      <c r="C145" s="11"/>
      <c r="D145" s="11"/>
      <c r="E145" s="11"/>
      <c r="F145" s="11"/>
      <c r="G145" s="11"/>
      <c r="M145" s="4" t="s">
        <v>252</v>
      </c>
      <c r="N145" s="11"/>
      <c r="O145" s="11"/>
      <c r="P145" s="11"/>
      <c r="Q145" s="11"/>
      <c r="R145" s="11"/>
      <c r="S145" s="11"/>
      <c r="X145" s="4" t="s">
        <v>252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43">
      <c r="A146" s="11"/>
      <c r="B146" s="11" t="str">
        <f>B27</f>
        <v>TC Speed</v>
      </c>
      <c r="C146" s="11" t="str">
        <f t="shared" ref="C146:I146" si="251">C27</f>
        <v>rpm</v>
      </c>
      <c r="D146" s="11">
        <f t="shared" si="251"/>
        <v>5620</v>
      </c>
      <c r="E146" s="11">
        <f t="shared" si="251"/>
        <v>9240</v>
      </c>
      <c r="F146" s="11">
        <f t="shared" si="251"/>
        <v>11451.5</v>
      </c>
      <c r="G146" s="11">
        <f t="shared" si="251"/>
        <v>12285</v>
      </c>
      <c r="H146" s="11">
        <f t="shared" si="251"/>
        <v>12994.5</v>
      </c>
      <c r="I146" s="11">
        <f t="shared" si="251"/>
        <v>13552.5</v>
      </c>
      <c r="M146" s="11" t="str">
        <f>M27</f>
        <v>TC Speed</v>
      </c>
      <c r="N146" s="11" t="str">
        <f t="shared" ref="N146:O146" si="252">N27</f>
        <v>rpm</v>
      </c>
      <c r="O146" s="11">
        <f t="shared" si="252"/>
        <v>11875</v>
      </c>
      <c r="P146" s="11">
        <f t="shared" ref="P146:S146" si="253">P27</f>
        <v>11606</v>
      </c>
      <c r="Q146" s="11">
        <f t="shared" si="253"/>
        <v>12787.5</v>
      </c>
      <c r="R146" s="11">
        <f t="shared" si="253"/>
        <v>12520</v>
      </c>
      <c r="S146" s="11">
        <f t="shared" si="253"/>
        <v>13430</v>
      </c>
      <c r="X146" s="11" t="str">
        <f>X27</f>
        <v>TC Speed</v>
      </c>
      <c r="Y146" s="11" t="str">
        <f t="shared" ref="Y146:AD146" si="254">Y27</f>
        <v>rpm</v>
      </c>
      <c r="Z146" s="11">
        <f t="shared" si="254"/>
        <v>12410</v>
      </c>
      <c r="AA146" s="11">
        <f t="shared" si="254"/>
        <v>12235</v>
      </c>
      <c r="AB146" s="11">
        <f t="shared" si="254"/>
        <v>12210</v>
      </c>
      <c r="AC146" s="11">
        <f t="shared" si="254"/>
        <v>11074</v>
      </c>
      <c r="AD146" s="11">
        <f t="shared" si="254"/>
        <v>12127.5</v>
      </c>
      <c r="AE146" s="11">
        <f>AE27</f>
        <v>12232.5</v>
      </c>
      <c r="AF146" s="11">
        <f>AF27</f>
        <v>12170</v>
      </c>
      <c r="AG146" s="11">
        <f>AG27</f>
        <v>12410</v>
      </c>
      <c r="AH146" s="11">
        <f>AH27</f>
        <v>12315</v>
      </c>
      <c r="AI146" s="11">
        <f>AI27</f>
        <v>12310</v>
      </c>
      <c r="AJ146" s="11">
        <f t="shared" ref="AJ146:AK146" si="255">AJ27</f>
        <v>12380</v>
      </c>
      <c r="AK146" s="11">
        <f t="shared" si="255"/>
        <v>12360</v>
      </c>
    </row>
    <row r="147" spans="1:43">
      <c r="A147" s="11"/>
      <c r="B147" s="11" t="str">
        <f>B135</f>
        <v>P scavenge corr.</v>
      </c>
      <c r="C147" s="11" t="str">
        <f t="shared" ref="C147:I147" si="256">C135</f>
        <v>bar</v>
      </c>
      <c r="D147" s="11">
        <f t="shared" si="256"/>
        <v>1.3316729485359526</v>
      </c>
      <c r="E147" s="11">
        <f t="shared" si="256"/>
        <v>2.065962749072888</v>
      </c>
      <c r="F147" s="11">
        <f t="shared" si="256"/>
        <v>2.8588230062965967</v>
      </c>
      <c r="G147" s="11">
        <f t="shared" si="256"/>
        <v>3.3584002024113726</v>
      </c>
      <c r="H147" s="11">
        <f t="shared" si="256"/>
        <v>3.7099396023297069</v>
      </c>
      <c r="I147" s="11">
        <f t="shared" si="256"/>
        <v>3.9669288498435815</v>
      </c>
      <c r="M147" s="11" t="str">
        <f>M135</f>
        <v>P scavenge corr.</v>
      </c>
      <c r="N147" s="11" t="str">
        <f t="shared" ref="N147:O147" si="257">N135</f>
        <v>bar</v>
      </c>
      <c r="O147" s="11">
        <f t="shared" si="257"/>
        <v>3.1024735381856297</v>
      </c>
      <c r="P147" s="11">
        <f t="shared" ref="P147:S147" si="258">P135</f>
        <v>2.9582097466601698</v>
      </c>
      <c r="Q147" s="11">
        <f t="shared" si="258"/>
        <v>3.60237710581367</v>
      </c>
      <c r="R147" s="11">
        <f t="shared" si="258"/>
        <v>3.3942614974717698</v>
      </c>
      <c r="S147" s="11">
        <f t="shared" si="258"/>
        <v>3.8996851177306699</v>
      </c>
      <c r="X147" s="11" t="str">
        <f>X135</f>
        <v>P scavenge corr.</v>
      </c>
      <c r="Y147" s="11" t="str">
        <f t="shared" ref="Y147:AD147" si="259">Y135</f>
        <v>bar</v>
      </c>
      <c r="Z147" s="11">
        <f t="shared" si="259"/>
        <v>2.3924455600000001</v>
      </c>
      <c r="AA147" s="11">
        <f t="shared" si="259"/>
        <v>2.2635403999999997</v>
      </c>
      <c r="AB147" s="11">
        <f t="shared" si="259"/>
        <v>2.2766779999999995</v>
      </c>
      <c r="AC147" s="11">
        <f t="shared" si="259"/>
        <v>1.8481756</v>
      </c>
      <c r="AD147" s="11">
        <f t="shared" si="259"/>
        <v>2.1630031999999999</v>
      </c>
      <c r="AE147" s="11">
        <f t="shared" ref="AE147:AI147" si="260">AE135</f>
        <v>2.2729225599999996</v>
      </c>
      <c r="AF147" s="11">
        <f t="shared" si="260"/>
        <v>2.1996832000000004</v>
      </c>
      <c r="AG147" s="11">
        <f t="shared" si="260"/>
        <v>2.2656166400000002</v>
      </c>
      <c r="AH147" s="11">
        <f t="shared" si="260"/>
        <v>2.3499914</v>
      </c>
      <c r="AI147" s="11">
        <f t="shared" si="260"/>
        <v>2.3408929599999997</v>
      </c>
      <c r="AJ147" s="11">
        <f t="shared" ref="AJ147:AK147" si="261">AJ135</f>
        <v>2.3667602400000001</v>
      </c>
      <c r="AK147" s="11">
        <f t="shared" si="261"/>
        <v>2.4068831999999998</v>
      </c>
    </row>
    <row r="148" spans="1:43">
      <c r="A148" s="11"/>
      <c r="B148" s="11"/>
      <c r="C148" s="11"/>
      <c r="D148" s="11"/>
      <c r="E148" s="11"/>
      <c r="F148" s="11"/>
      <c r="G148" s="11"/>
      <c r="M148" s="11"/>
      <c r="N148" s="11"/>
      <c r="O148" s="11"/>
      <c r="P148" s="11"/>
      <c r="Q148" s="11"/>
      <c r="R148" s="11"/>
      <c r="S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43">
      <c r="A149" s="11"/>
      <c r="B149" s="4" t="s">
        <v>253</v>
      </c>
      <c r="C149" s="11"/>
      <c r="D149" s="11"/>
      <c r="E149" s="11"/>
      <c r="F149" s="11"/>
      <c r="G149" s="11"/>
      <c r="M149" s="4" t="s">
        <v>253</v>
      </c>
      <c r="N149" s="11"/>
      <c r="O149" s="11"/>
      <c r="P149" s="11"/>
      <c r="Q149" s="11"/>
      <c r="R149" s="11"/>
      <c r="S149" s="11"/>
      <c r="X149" s="4" t="s">
        <v>253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43">
      <c r="A150" s="11"/>
      <c r="B150" s="11" t="str">
        <f>B14</f>
        <v>Air Filter Pressure Drop</v>
      </c>
      <c r="C150" s="11" t="str">
        <f t="shared" ref="C150:I150" si="262">C14</f>
        <v>mmW</v>
      </c>
      <c r="D150" s="11">
        <f t="shared" si="262"/>
        <v>5</v>
      </c>
      <c r="E150" s="11">
        <f t="shared" si="262"/>
        <v>14</v>
      </c>
      <c r="F150" s="11">
        <f t="shared" si="262"/>
        <v>28</v>
      </c>
      <c r="G150" s="11">
        <f t="shared" si="262"/>
        <v>33.5</v>
      </c>
      <c r="H150" s="11">
        <f t="shared" si="262"/>
        <v>40</v>
      </c>
      <c r="I150" s="11">
        <f t="shared" si="262"/>
        <v>46</v>
      </c>
      <c r="M150" s="11" t="str">
        <f>M14</f>
        <v>Air Filter Pressure Drop</v>
      </c>
      <c r="N150" s="11" t="str">
        <f t="shared" ref="N150:O150" si="263">N14</f>
        <v>mmW</v>
      </c>
      <c r="O150" s="11">
        <f t="shared" si="263"/>
        <v>44.5</v>
      </c>
      <c r="P150" s="11">
        <f t="shared" ref="P150:S150" si="264">P14</f>
        <v>43.5</v>
      </c>
      <c r="Q150" s="11">
        <f t="shared" si="264"/>
        <v>57.5</v>
      </c>
      <c r="R150" s="11">
        <f t="shared" si="264"/>
        <v>50</v>
      </c>
      <c r="S150" s="11">
        <f t="shared" si="264"/>
        <v>65</v>
      </c>
      <c r="X150" s="11" t="str">
        <f>X14</f>
        <v>Air Filter Pressure Drop</v>
      </c>
      <c r="Y150" s="11" t="str">
        <f t="shared" ref="Y150:AD150" si="265">Y14</f>
        <v>mmW</v>
      </c>
      <c r="Z150" s="11">
        <f t="shared" si="265"/>
        <v>82.5</v>
      </c>
      <c r="AA150" s="11">
        <f t="shared" si="265"/>
        <v>82.5</v>
      </c>
      <c r="AB150" s="11">
        <f t="shared" si="265"/>
        <v>72.5</v>
      </c>
      <c r="AC150" s="11">
        <f t="shared" si="265"/>
        <v>65</v>
      </c>
      <c r="AD150" s="11">
        <f t="shared" si="265"/>
        <v>60</v>
      </c>
      <c r="AE150" s="11">
        <f>AE14</f>
        <v>47.5</v>
      </c>
      <c r="AF150" s="11">
        <f>AF14</f>
        <v>55.5</v>
      </c>
      <c r="AG150" s="11">
        <f>AG14</f>
        <v>77.5</v>
      </c>
      <c r="AH150" s="11">
        <f>AH14</f>
        <v>37.5</v>
      </c>
      <c r="AI150" s="11">
        <f>AI14</f>
        <v>40</v>
      </c>
      <c r="AJ150" s="11">
        <f t="shared" ref="AJ150:AK150" si="266">AJ14</f>
        <v>45</v>
      </c>
      <c r="AK150" s="11">
        <f t="shared" si="266"/>
        <v>50</v>
      </c>
    </row>
    <row r="151" spans="1:43">
      <c r="A151" s="11"/>
      <c r="B151" s="11" t="str">
        <f>B147</f>
        <v>P scavenge corr.</v>
      </c>
      <c r="C151" s="11" t="str">
        <f t="shared" ref="C151:I151" si="267">C147</f>
        <v>bar</v>
      </c>
      <c r="D151" s="11">
        <f t="shared" si="267"/>
        <v>1.3316729485359526</v>
      </c>
      <c r="E151" s="11">
        <f t="shared" si="267"/>
        <v>2.065962749072888</v>
      </c>
      <c r="F151" s="11">
        <f t="shared" si="267"/>
        <v>2.8588230062965967</v>
      </c>
      <c r="G151" s="11">
        <f t="shared" si="267"/>
        <v>3.3584002024113726</v>
      </c>
      <c r="H151" s="11">
        <f t="shared" si="267"/>
        <v>3.7099396023297069</v>
      </c>
      <c r="I151" s="11">
        <f t="shared" si="267"/>
        <v>3.9669288498435815</v>
      </c>
      <c r="M151" s="11" t="str">
        <f>M147</f>
        <v>P scavenge corr.</v>
      </c>
      <c r="N151" s="11" t="str">
        <f t="shared" ref="N151:O151" si="268">N147</f>
        <v>bar</v>
      </c>
      <c r="O151" s="11">
        <f t="shared" si="268"/>
        <v>3.1024735381856297</v>
      </c>
      <c r="P151" s="11">
        <f t="shared" ref="P151:S151" si="269">P147</f>
        <v>2.9582097466601698</v>
      </c>
      <c r="Q151" s="11">
        <f t="shared" si="269"/>
        <v>3.60237710581367</v>
      </c>
      <c r="R151" s="11">
        <f t="shared" si="269"/>
        <v>3.3942614974717698</v>
      </c>
      <c r="S151" s="11">
        <f t="shared" si="269"/>
        <v>3.8996851177306699</v>
      </c>
      <c r="X151" s="11" t="str">
        <f>X147</f>
        <v>P scavenge corr.</v>
      </c>
      <c r="Y151" s="11" t="str">
        <f t="shared" ref="Y151:AD151" si="270">Y147</f>
        <v>bar</v>
      </c>
      <c r="Z151" s="11">
        <f t="shared" si="270"/>
        <v>2.3924455600000001</v>
      </c>
      <c r="AA151" s="11">
        <f t="shared" si="270"/>
        <v>2.2635403999999997</v>
      </c>
      <c r="AB151" s="11">
        <f t="shared" si="270"/>
        <v>2.2766779999999995</v>
      </c>
      <c r="AC151" s="11">
        <f t="shared" si="270"/>
        <v>1.8481756</v>
      </c>
      <c r="AD151" s="11">
        <f t="shared" si="270"/>
        <v>2.1630031999999999</v>
      </c>
      <c r="AE151" s="11">
        <f t="shared" ref="AE151:AI151" si="271">AE147</f>
        <v>2.2729225599999996</v>
      </c>
      <c r="AF151" s="11">
        <f t="shared" si="271"/>
        <v>2.1996832000000004</v>
      </c>
      <c r="AG151" s="11">
        <f t="shared" si="271"/>
        <v>2.2656166400000002</v>
      </c>
      <c r="AH151" s="11">
        <f t="shared" si="271"/>
        <v>2.3499914</v>
      </c>
      <c r="AI151" s="11">
        <f t="shared" si="271"/>
        <v>2.3408929599999997</v>
      </c>
      <c r="AJ151" s="11">
        <f t="shared" ref="AJ151:AK151" si="272">AJ147</f>
        <v>2.3667602400000001</v>
      </c>
      <c r="AK151" s="11">
        <f t="shared" si="272"/>
        <v>2.4068831999999998</v>
      </c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>
      <c r="A154" s="11"/>
      <c r="B154" s="11"/>
      <c r="C154" s="11"/>
      <c r="D154" s="11"/>
      <c r="E154" s="11"/>
      <c r="F154" s="11"/>
      <c r="G154" s="11"/>
    </row>
    <row r="155" spans="1:43" ht="15.75" thickBot="1">
      <c r="A155" s="11"/>
      <c r="B155" s="11"/>
      <c r="C155" s="11"/>
      <c r="D155" s="11"/>
      <c r="E155" s="11"/>
      <c r="F155" s="11"/>
      <c r="G155" s="11"/>
    </row>
    <row r="156" spans="1:43">
      <c r="A156" s="11"/>
      <c r="B156" s="11"/>
      <c r="C156" s="11"/>
      <c r="D156" s="11"/>
      <c r="E156" s="11"/>
      <c r="F156" s="11"/>
      <c r="G156" s="11"/>
      <c r="O156" s="3">
        <f>O7</f>
        <v>38898</v>
      </c>
      <c r="P156" s="3">
        <f t="shared" ref="P156:S156" si="273">P7</f>
        <v>38898</v>
      </c>
      <c r="Q156" s="3">
        <f t="shared" si="273"/>
        <v>38898</v>
      </c>
      <c r="R156" s="3">
        <f t="shared" si="273"/>
        <v>38898</v>
      </c>
      <c r="S156" s="3">
        <f t="shared" si="273"/>
        <v>38898</v>
      </c>
      <c r="X156" s="71"/>
      <c r="Y156" s="72"/>
      <c r="Z156" s="73">
        <f t="shared" ref="Z156:AI156" si="274">Z7</f>
        <v>39111</v>
      </c>
      <c r="AA156" s="73">
        <f t="shared" si="274"/>
        <v>39136</v>
      </c>
      <c r="AB156" s="73">
        <f t="shared" si="274"/>
        <v>39172</v>
      </c>
      <c r="AC156" s="73">
        <f t="shared" si="274"/>
        <v>39198</v>
      </c>
      <c r="AD156" s="73">
        <f t="shared" si="274"/>
        <v>39227</v>
      </c>
      <c r="AE156" s="73">
        <f t="shared" si="274"/>
        <v>39259</v>
      </c>
      <c r="AF156" s="73">
        <f t="shared" si="274"/>
        <v>39283</v>
      </c>
      <c r="AG156" s="73">
        <f t="shared" si="274"/>
        <v>39306</v>
      </c>
      <c r="AH156" s="73">
        <f t="shared" si="274"/>
        <v>39336</v>
      </c>
      <c r="AI156" s="73">
        <f t="shared" si="274"/>
        <v>39382</v>
      </c>
      <c r="AJ156" s="73">
        <f t="shared" ref="AJ156:AK156" si="275">AJ7</f>
        <v>39394</v>
      </c>
      <c r="AK156" s="73">
        <f t="shared" si="275"/>
        <v>39440</v>
      </c>
      <c r="AM156" s="11"/>
      <c r="AN156" s="11"/>
      <c r="AO156" s="11"/>
      <c r="AP156" s="11"/>
      <c r="AQ156" s="11"/>
    </row>
    <row r="157" spans="1:43">
      <c r="A157" s="11"/>
      <c r="B157" s="11"/>
      <c r="C157" s="11"/>
      <c r="D157" s="11"/>
      <c r="E157" s="11"/>
      <c r="F157" s="11"/>
      <c r="G157" s="11"/>
      <c r="M157" t="str">
        <f>E169</f>
        <v>Pmax corr.</v>
      </c>
      <c r="N157" t="s">
        <v>256</v>
      </c>
      <c r="O157" s="16">
        <f>O116</f>
        <v>133.40078440432939</v>
      </c>
      <c r="P157" s="16">
        <f t="shared" ref="P157:S157" si="276">P116</f>
        <v>132.69660678770327</v>
      </c>
      <c r="Q157" s="16">
        <f t="shared" si="276"/>
        <v>148.98485478770326</v>
      </c>
      <c r="R157" s="16">
        <f t="shared" si="276"/>
        <v>148.30617778770326</v>
      </c>
      <c r="S157" s="16">
        <f t="shared" si="276"/>
        <v>149.32419328770325</v>
      </c>
      <c r="X157" s="74" t="s">
        <v>243</v>
      </c>
      <c r="Y157" s="75" t="s">
        <v>256</v>
      </c>
      <c r="Z157" s="76">
        <f>Z116</f>
        <v>137.08394699999999</v>
      </c>
      <c r="AA157" s="76">
        <f t="shared" ref="AA157:AI157" si="277">AA116</f>
        <v>135.186182</v>
      </c>
      <c r="AB157" s="76">
        <f t="shared" si="277"/>
        <v>134.44573333333332</v>
      </c>
      <c r="AC157" s="76">
        <f t="shared" si="277"/>
        <v>118.83185533333334</v>
      </c>
      <c r="AD157" s="76">
        <f t="shared" si="277"/>
        <v>131.05364700000001</v>
      </c>
      <c r="AE157" s="76">
        <f t="shared" si="277"/>
        <v>134.80066133333335</v>
      </c>
      <c r="AF157" s="76">
        <f t="shared" si="277"/>
        <v>127.39969350000001</v>
      </c>
      <c r="AG157" s="76">
        <f t="shared" si="277"/>
        <v>131.34803333333335</v>
      </c>
      <c r="AH157" s="76">
        <f t="shared" si="277"/>
        <v>135.96846000000002</v>
      </c>
      <c r="AI157" s="76">
        <f t="shared" si="277"/>
        <v>135.54797466666668</v>
      </c>
      <c r="AJ157" s="76">
        <f t="shared" ref="AJ157:AK157" si="278">AJ116</f>
        <v>136.94091733333332</v>
      </c>
      <c r="AK157" s="76">
        <f t="shared" si="278"/>
        <v>139.75733666666667</v>
      </c>
      <c r="AL157" s="3"/>
      <c r="AM157" s="47"/>
      <c r="AN157" s="47"/>
      <c r="AO157" s="47"/>
      <c r="AP157" s="47"/>
      <c r="AQ157" s="47"/>
    </row>
    <row r="158" spans="1:43">
      <c r="A158" s="11"/>
      <c r="B158" s="11"/>
      <c r="C158" s="11"/>
      <c r="D158" s="11"/>
      <c r="E158" s="11"/>
      <c r="F158" s="11"/>
      <c r="G158" s="11"/>
      <c r="N158" t="s">
        <v>255</v>
      </c>
      <c r="O158" s="69">
        <f ca="1">_xlfn.IFNA(FORECAST(O108,OFFSET($E$170:$E$175,MATCH(O108,$D$170:$D$175,1)-1,0,2),OFFSET($D$170:$D$175,MATCH(O108,$D$170:$D$175,1)-1,0,2)),0)</f>
        <v>0</v>
      </c>
      <c r="P158" s="69">
        <f t="shared" ref="P158:S158" ca="1" si="279">_xlfn.IFNA(FORECAST(P108,OFFSET($E$170:$E$175,MATCH(P108,$D$170:$D$175,1)-1,0,2),OFFSET($D$170:$D$175,MATCH(P108,$D$170:$D$175,1)-1,0,2)),0)</f>
        <v>0</v>
      </c>
      <c r="Q158" s="69">
        <f t="shared" ca="1" si="279"/>
        <v>0</v>
      </c>
      <c r="R158" s="69">
        <f t="shared" ca="1" si="279"/>
        <v>0</v>
      </c>
      <c r="S158" s="69">
        <f t="shared" ca="1" si="279"/>
        <v>0</v>
      </c>
      <c r="X158" s="74"/>
      <c r="Y158" s="77" t="s">
        <v>255</v>
      </c>
      <c r="Z158" s="78">
        <f ca="1">FORECAST(Z108,OFFSET($E$170:$E$175,MATCH(Z108,$D$170:$D$175,1)-1,0,2),OFFSET($D$170:$D$175,MATCH(Z108,$D$170:$D$175,1)-1,0,2))</f>
        <v>123.34517567492603</v>
      </c>
      <c r="AA158" s="78">
        <f t="shared" ref="AA158:AI158" ca="1" si="280">FORECAST(AA108,OFFSET($E$170:$E$175,MATCH(AA108,$D$170:$D$175,1)-1,0,2),OFFSET($D$170:$D$175,MATCH(AA108,$D$170:$D$175,1)-1,0,2))</f>
        <v>117.22308734315669</v>
      </c>
      <c r="AB158" s="78">
        <f t="shared" ca="1" si="280"/>
        <v>118.57654186490016</v>
      </c>
      <c r="AC158" s="78">
        <f t="shared" ca="1" si="280"/>
        <v>102.76380267342368</v>
      </c>
      <c r="AD158" s="78">
        <f t="shared" ca="1" si="280"/>
        <v>117.13648273613779</v>
      </c>
      <c r="AE158" s="78">
        <f t="shared" ca="1" si="280"/>
        <v>119.42284261620442</v>
      </c>
      <c r="AF158" s="78">
        <f t="shared" ca="1" si="280"/>
        <v>117.07295595265113</v>
      </c>
      <c r="AG158" s="78">
        <f t="shared" ca="1" si="280"/>
        <v>121.93326033193497</v>
      </c>
      <c r="AH158" s="78">
        <f t="shared" ca="1" si="280"/>
        <v>121.16677439055245</v>
      </c>
      <c r="AI158" s="78">
        <f t="shared" ca="1" si="280"/>
        <v>120.58239130081765</v>
      </c>
      <c r="AJ158" s="78">
        <f t="shared" ref="AJ158:AK158" ca="1" si="281">FORECAST(AJ108,OFFSET($E$170:$E$175,MATCH(AJ108,$D$170:$D$175,1)-1,0,2),OFFSET($D$170:$D$175,MATCH(AJ108,$D$170:$D$175,1)-1,0,2))</f>
        <v>122.56241871074252</v>
      </c>
      <c r="AK158" s="78">
        <f t="shared" ca="1" si="281"/>
        <v>127.5537378065948</v>
      </c>
      <c r="AL158" s="3"/>
      <c r="AM158" s="47"/>
      <c r="AN158" s="47"/>
      <c r="AO158" s="47"/>
      <c r="AP158" s="47"/>
      <c r="AQ158" s="47"/>
    </row>
    <row r="159" spans="1:43">
      <c r="A159" s="11"/>
      <c r="B159" s="11"/>
      <c r="C159" s="11"/>
      <c r="D159" s="11"/>
      <c r="E159" s="11"/>
      <c r="F159" s="11"/>
      <c r="G159" s="11"/>
      <c r="N159" t="s">
        <v>257</v>
      </c>
      <c r="O159" s="66">
        <f ca="1">IFERROR((O157-O158)/O158,0)</f>
        <v>0</v>
      </c>
      <c r="P159" s="66">
        <f t="shared" ref="P159:S159" ca="1" si="282">IFERROR((P157-P158)/P158,0)</f>
        <v>0</v>
      </c>
      <c r="Q159" s="66">
        <f t="shared" ca="1" si="282"/>
        <v>0</v>
      </c>
      <c r="R159" s="66">
        <f t="shared" ca="1" si="282"/>
        <v>0</v>
      </c>
      <c r="S159" s="66">
        <f t="shared" ca="1" si="282"/>
        <v>0</v>
      </c>
      <c r="X159" s="74"/>
      <c r="Y159" s="75" t="s">
        <v>257</v>
      </c>
      <c r="Z159" s="79">
        <f ca="1">(Z157-Z158)/Z158</f>
        <v>0.11138474812571715</v>
      </c>
      <c r="AA159" s="79">
        <f t="shared" ref="AA159:AI159" ca="1" si="283">(AA157-AA158)/AA158</f>
        <v>0.15323853913059363</v>
      </c>
      <c r="AB159" s="79">
        <f t="shared" ca="1" si="283"/>
        <v>0.13383078321270048</v>
      </c>
      <c r="AC159" s="79">
        <f t="shared" ca="1" si="283"/>
        <v>0.1563590704304007</v>
      </c>
      <c r="AD159" s="79">
        <f t="shared" ca="1" si="283"/>
        <v>0.11881152599751599</v>
      </c>
      <c r="AE159" s="79">
        <f t="shared" ca="1" si="283"/>
        <v>0.1287678167781473</v>
      </c>
      <c r="AF159" s="79">
        <f t="shared" ca="1" si="283"/>
        <v>8.820771170692418E-2</v>
      </c>
      <c r="AG159" s="79">
        <f t="shared" ca="1" si="283"/>
        <v>7.7212509333128967E-2</v>
      </c>
      <c r="AH159" s="79">
        <f t="shared" ca="1" si="283"/>
        <v>0.1221596075648415</v>
      </c>
      <c r="AI159" s="79">
        <f t="shared" ca="1" si="283"/>
        <v>0.12411085237573613</v>
      </c>
      <c r="AJ159" s="79">
        <f t="shared" ref="AJ159:AK159" ca="1" si="284">(AJ157-AJ158)/AJ158</f>
        <v>0.11731572184884216</v>
      </c>
      <c r="AK159" s="79">
        <f t="shared" ca="1" si="284"/>
        <v>9.5674176781677389E-2</v>
      </c>
      <c r="AL159" s="3"/>
      <c r="AM159" s="47"/>
      <c r="AN159" s="47"/>
      <c r="AO159" s="47"/>
      <c r="AP159" s="47"/>
      <c r="AQ159" s="47"/>
    </row>
    <row r="160" spans="1:43">
      <c r="A160" s="11"/>
      <c r="B160" s="11"/>
      <c r="C160" s="11"/>
      <c r="D160" s="11"/>
      <c r="E160" s="11"/>
      <c r="F160" s="11"/>
      <c r="G160" s="11"/>
      <c r="M160" t="str">
        <f>H169</f>
        <v>Pcomp corr.</v>
      </c>
      <c r="N160" s="11" t="s">
        <v>256</v>
      </c>
      <c r="O160" s="16">
        <f>O143</f>
        <v>106.55330558330031</v>
      </c>
      <c r="P160" s="16">
        <f t="shared" ref="P160:S160" si="285">P143</f>
        <v>106.36813488038241</v>
      </c>
      <c r="Q160" s="16">
        <f t="shared" si="285"/>
        <v>132.0219401303824</v>
      </c>
      <c r="R160" s="16">
        <f t="shared" si="285"/>
        <v>122.67783888038241</v>
      </c>
      <c r="S160" s="16">
        <f t="shared" si="285"/>
        <v>140.34668488038241</v>
      </c>
      <c r="X160" s="74" t="s">
        <v>251</v>
      </c>
      <c r="Y160" s="76" t="s">
        <v>256</v>
      </c>
      <c r="Z160" s="76">
        <f>Z143</f>
        <v>116.50406160000001</v>
      </c>
      <c r="AA160" s="76">
        <f t="shared" ref="AA160:AI160" si="286">AA143</f>
        <v>113.67033333333333</v>
      </c>
      <c r="AB160" s="76">
        <f t="shared" si="286"/>
        <v>113.88158633333333</v>
      </c>
      <c r="AC160" s="76">
        <f t="shared" si="286"/>
        <v>95.162636666666671</v>
      </c>
      <c r="AD160" s="76">
        <f t="shared" si="286"/>
        <v>109.02047040000001</v>
      </c>
      <c r="AE160" s="76">
        <f t="shared" si="286"/>
        <v>114.1768174</v>
      </c>
      <c r="AF160" s="76">
        <f t="shared" si="286"/>
        <v>105.6676392</v>
      </c>
      <c r="AG160" s="76">
        <f t="shared" si="286"/>
        <v>112.19546986666666</v>
      </c>
      <c r="AH160" s="76">
        <f t="shared" si="286"/>
        <v>116.13637</v>
      </c>
      <c r="AI160" s="76">
        <f t="shared" si="286"/>
        <v>114.231876</v>
      </c>
      <c r="AJ160" s="76">
        <f t="shared" ref="AJ160:AK160" si="287">AJ143</f>
        <v>115.98172739999998</v>
      </c>
      <c r="AK160" s="76">
        <f t="shared" si="287"/>
        <v>118.5073057</v>
      </c>
      <c r="AL160" s="3"/>
      <c r="AM160" s="47"/>
      <c r="AN160" s="47"/>
      <c r="AO160" s="47"/>
      <c r="AP160" s="47"/>
      <c r="AQ160" s="47"/>
    </row>
    <row r="161" spans="1:43">
      <c r="A161" s="11"/>
      <c r="B161" s="11"/>
      <c r="C161" s="11"/>
      <c r="D161" s="11"/>
      <c r="E161" s="11"/>
      <c r="F161" s="11"/>
      <c r="G161" s="11"/>
      <c r="N161" s="11" t="s">
        <v>255</v>
      </c>
      <c r="O161" s="16">
        <f ca="1">FORECAST(O104,OFFSET($H$170:$H$175,MATCH(O104,$I$170:$I$175,1)-1,0,2),OFFSET($I$170:$I$175,MATCH(O104,$I$170:$I$175,1)-1,0,2))</f>
        <v>107.79641268424518</v>
      </c>
      <c r="P161" s="16">
        <f t="shared" ref="P161:S161" ca="1" si="288">FORECAST(P104,OFFSET($H$170:$H$175,MATCH(P104,$I$170:$I$175,1)-1,0,2),OFFSET($I$170:$I$175,MATCH(P104,$I$170:$I$175,1)-1,0,2))</f>
        <v>103.15670244673697</v>
      </c>
      <c r="Q161" s="16">
        <f t="shared" ca="1" si="288"/>
        <v>124.12685180156686</v>
      </c>
      <c r="R161" s="16">
        <f t="shared" ca="1" si="288"/>
        <v>118.25310936769502</v>
      </c>
      <c r="S161" s="16">
        <f t="shared" ca="1" si="288"/>
        <v>136.79142038933179</v>
      </c>
      <c r="X161" s="74"/>
      <c r="Y161" s="75" t="s">
        <v>255</v>
      </c>
      <c r="Z161" s="76">
        <f ca="1">FORECAST(Z104,OFFSET($H$170:$H$175,MATCH(Z104,$I$170:$I$175,1)-1,0,2),OFFSET($I$170:$I$175,MATCH(Z104,$I$170:$I$175,1)-1,0,2))</f>
        <v>106.50935510926791</v>
      </c>
      <c r="AA161" s="76">
        <f t="shared" ref="AA161:AI161" ca="1" si="289">FORECAST(AA104,OFFSET($H$170:$H$175,MATCH(AA104,$I$170:$I$175,1)-1,0,2),OFFSET($I$170:$I$175,MATCH(AA104,$I$170:$I$175,1)-1,0,2))</f>
        <v>98.75616140787605</v>
      </c>
      <c r="AB161" s="76">
        <f t="shared" ca="1" si="289"/>
        <v>101.81165139514772</v>
      </c>
      <c r="AC161" s="76">
        <f t="shared" ca="1" si="289"/>
        <v>83.748780777151779</v>
      </c>
      <c r="AD161" s="76">
        <f t="shared" ca="1" si="289"/>
        <v>100.72078321944933</v>
      </c>
      <c r="AE161" s="76">
        <f t="shared" ca="1" si="289"/>
        <v>105.42905377123479</v>
      </c>
      <c r="AF161" s="76">
        <f t="shared" ca="1" si="289"/>
        <v>101.63690066797272</v>
      </c>
      <c r="AG161" s="76">
        <f t="shared" ca="1" si="289"/>
        <v>105.7443570325746</v>
      </c>
      <c r="AH161" s="76">
        <f t="shared" ca="1" si="289"/>
        <v>105.26881768760308</v>
      </c>
      <c r="AI161" s="76">
        <f t="shared" ca="1" si="289"/>
        <v>104.81948209318983</v>
      </c>
      <c r="AJ161" s="76">
        <f t="shared" ref="AJ161:AK161" ca="1" si="290">FORECAST(AJ104,OFFSET($H$170:$H$175,MATCH(AJ104,$I$170:$I$175,1)-1,0,2),OFFSET($I$170:$I$175,MATCH(AJ104,$I$170:$I$175,1)-1,0,2))</f>
        <v>106.31810559009459</v>
      </c>
      <c r="AK161" s="76">
        <f t="shared" ca="1" si="290"/>
        <v>108.10137813373778</v>
      </c>
      <c r="AL161" s="3"/>
      <c r="AM161" s="47"/>
      <c r="AN161" s="47"/>
      <c r="AO161" s="47"/>
      <c r="AP161" s="47"/>
      <c r="AQ161" s="47"/>
    </row>
    <row r="162" spans="1:43">
      <c r="A162" s="11"/>
      <c r="B162" s="11"/>
      <c r="C162" s="11"/>
      <c r="D162" s="11"/>
      <c r="E162" s="11"/>
      <c r="F162" s="11"/>
      <c r="G162" s="11"/>
      <c r="N162" s="11" t="s">
        <v>257</v>
      </c>
      <c r="O162" s="66">
        <f ca="1">(O160-O161)/O161</f>
        <v>-1.1531989516071837E-2</v>
      </c>
      <c r="P162" s="66">
        <f t="shared" ref="P162:S162" ca="1" si="291">(P160-P161)/P161</f>
        <v>3.1131592591413092E-2</v>
      </c>
      <c r="Q162" s="66">
        <f t="shared" ca="1" si="291"/>
        <v>6.3604999355311831E-2</v>
      </c>
      <c r="R162" s="66">
        <f t="shared" ca="1" si="291"/>
        <v>3.7417447510231489E-2</v>
      </c>
      <c r="S162" s="66">
        <f t="shared" ca="1" si="291"/>
        <v>2.5990405545404313E-2</v>
      </c>
      <c r="X162" s="74"/>
      <c r="Y162" s="75" t="s">
        <v>257</v>
      </c>
      <c r="Z162" s="79">
        <f ca="1">(Z160-Z161)/Z161</f>
        <v>9.3838766373888313E-2</v>
      </c>
      <c r="AA162" s="79">
        <f t="shared" ref="AA162" ca="1" si="292">(AA160-AA161)/AA161</f>
        <v>0.15102016636571944</v>
      </c>
      <c r="AB162" s="79">
        <f t="shared" ref="AB162" ca="1" si="293">(AB160-AB161)/AB161</f>
        <v>0.11855160753006759</v>
      </c>
      <c r="AC162" s="79">
        <f t="shared" ref="AC162" ca="1" si="294">(AC160-AC161)/AC161</f>
        <v>0.13628683048994072</v>
      </c>
      <c r="AD162" s="79">
        <f t="shared" ref="AD162" ca="1" si="295">(AD160-AD161)/AD161</f>
        <v>8.2402925347268299E-2</v>
      </c>
      <c r="AE162" s="79">
        <f t="shared" ref="AE162" ca="1" si="296">(AE160-AE161)/AE161</f>
        <v>8.2972988145625842E-2</v>
      </c>
      <c r="AF162" s="79">
        <f t="shared" ref="AF162" ca="1" si="297">(AF160-AF161)/AF161</f>
        <v>3.9658219657788291E-2</v>
      </c>
      <c r="AG162" s="79">
        <f t="shared" ref="AG162" ca="1" si="298">(AG160-AG161)/AG161</f>
        <v>6.1006686457082432E-2</v>
      </c>
      <c r="AH162" s="79">
        <f t="shared" ref="AH162" ca="1" si="299">(AH160-AH161)/AH161</f>
        <v>0.10323619616064839</v>
      </c>
      <c r="AI162" s="79">
        <f t="shared" ref="AI162:AK162" ca="1" si="300">(AI160-AI161)/AI161</f>
        <v>8.9796226034031257E-2</v>
      </c>
      <c r="AJ162" s="79">
        <f t="shared" ca="1" si="300"/>
        <v>9.0893472530098676E-2</v>
      </c>
      <c r="AK162" s="79">
        <f t="shared" ca="1" si="300"/>
        <v>9.6260822441953636E-2</v>
      </c>
      <c r="AL162" s="3"/>
      <c r="AM162" s="47"/>
      <c r="AN162" s="47"/>
      <c r="AO162" s="47"/>
      <c r="AP162" s="47"/>
      <c r="AQ162" s="47"/>
    </row>
    <row r="163" spans="1:43">
      <c r="A163" s="11"/>
      <c r="B163" s="11"/>
      <c r="C163" s="11"/>
      <c r="D163" s="11"/>
      <c r="E163" s="11"/>
      <c r="F163" s="11"/>
      <c r="G163" s="11"/>
      <c r="M163" t="str">
        <f>G169</f>
        <v>P scavenge corr.</v>
      </c>
      <c r="N163" s="11" t="s">
        <v>256</v>
      </c>
      <c r="O163" s="53">
        <f>O135</f>
        <v>3.1024735381856297</v>
      </c>
      <c r="P163" s="53">
        <f t="shared" ref="P163:S163" si="301">P135</f>
        <v>2.9582097466601698</v>
      </c>
      <c r="Q163" s="53">
        <f t="shared" si="301"/>
        <v>3.60237710581367</v>
      </c>
      <c r="R163" s="53">
        <f t="shared" si="301"/>
        <v>3.3942614974717698</v>
      </c>
      <c r="S163" s="53">
        <f t="shared" si="301"/>
        <v>3.8996851177306699</v>
      </c>
      <c r="X163" s="74" t="s">
        <v>250</v>
      </c>
      <c r="Y163" s="75" t="s">
        <v>256</v>
      </c>
      <c r="Z163" s="80">
        <f>Z135</f>
        <v>2.3924455600000001</v>
      </c>
      <c r="AA163" s="80">
        <f t="shared" ref="AA163:AI163" si="302">AA135</f>
        <v>2.2635403999999997</v>
      </c>
      <c r="AB163" s="80">
        <f t="shared" si="302"/>
        <v>2.2766779999999995</v>
      </c>
      <c r="AC163" s="80">
        <f t="shared" si="302"/>
        <v>1.8481756</v>
      </c>
      <c r="AD163" s="80">
        <f t="shared" si="302"/>
        <v>2.1630031999999999</v>
      </c>
      <c r="AE163" s="80">
        <f t="shared" si="302"/>
        <v>2.2729225599999996</v>
      </c>
      <c r="AF163" s="80">
        <f t="shared" si="302"/>
        <v>2.1996832000000004</v>
      </c>
      <c r="AG163" s="80">
        <f t="shared" si="302"/>
        <v>2.2656166400000002</v>
      </c>
      <c r="AH163" s="80">
        <f t="shared" si="302"/>
        <v>2.3499914</v>
      </c>
      <c r="AI163" s="80">
        <f t="shared" si="302"/>
        <v>2.3408929599999997</v>
      </c>
      <c r="AJ163" s="80">
        <f t="shared" ref="AJ163:AK163" si="303">AJ135</f>
        <v>2.3667602400000001</v>
      </c>
      <c r="AK163" s="80">
        <f t="shared" si="303"/>
        <v>2.4068831999999998</v>
      </c>
      <c r="AL163" s="3"/>
      <c r="AM163" s="47"/>
      <c r="AN163" s="47"/>
      <c r="AO163" s="47"/>
      <c r="AP163" s="47"/>
      <c r="AQ163" s="47"/>
    </row>
    <row r="164" spans="1:43">
      <c r="A164" s="11"/>
      <c r="B164" s="11"/>
      <c r="C164" s="11"/>
      <c r="D164" s="11"/>
      <c r="E164" s="11"/>
      <c r="F164" s="11"/>
      <c r="G164" s="11"/>
      <c r="N164" s="11" t="s">
        <v>255</v>
      </c>
      <c r="O164" s="11">
        <f ca="1">FORECAST(O104,OFFSET($G$170:$G$175,MATCH(O104,$I$170:$I$175,1)-1,0,2),OFFSET($I$170:$I$175,MATCH(O104,$I$170:$I$175,1)-1,0,2))</f>
        <v>2.9353194289694318</v>
      </c>
      <c r="P164" s="11">
        <f t="shared" ref="P164:S164" ca="1" si="304">FORECAST(P104,OFFSET($G$170:$G$175,MATCH(P104,$I$170:$I$175,1)-1,0,2),OFFSET($I$170:$I$175,MATCH(P104,$I$170:$I$175,1)-1,0,2))</f>
        <v>2.8102692814283383</v>
      </c>
      <c r="Q164" s="11">
        <f t="shared" ca="1" si="304"/>
        <v>3.3830485399858086</v>
      </c>
      <c r="R164" s="11">
        <f t="shared" ca="1" si="304"/>
        <v>3.2234986898021072</v>
      </c>
      <c r="S164" s="11">
        <f t="shared" ca="1" si="304"/>
        <v>3.7019739810404069</v>
      </c>
      <c r="X164" s="74"/>
      <c r="Y164" s="75" t="s">
        <v>255</v>
      </c>
      <c r="Z164" s="75">
        <f ca="1">FORECAST(Z104,OFFSET($G$170:$G$175,MATCH(Z104,$I$170:$I$175,1)-1,0,2),OFFSET($I$170:$I$175,MATCH(Z104,$I$170:$I$175,1)-1,0,2))</f>
        <v>2.8998490206909664</v>
      </c>
      <c r="AA164" s="75">
        <f t="shared" ref="AA164:AI164" ca="1" si="305">FORECAST(AA104,OFFSET($G$170:$G$175,MATCH(AA104,$I$170:$I$175,1)-1,0,2),OFFSET($I$170:$I$175,MATCH(AA104,$I$170:$I$175,1)-1,0,2))</f>
        <v>2.695643868458105</v>
      </c>
      <c r="AB164" s="75">
        <f t="shared" ca="1" si="305"/>
        <v>2.7752333549609025</v>
      </c>
      <c r="AC164" s="75">
        <f t="shared" ca="1" si="305"/>
        <v>2.3047312085812801</v>
      </c>
      <c r="AD164" s="75">
        <f t="shared" ca="1" si="305"/>
        <v>2.746818390975502</v>
      </c>
      <c r="AE164" s="75">
        <f t="shared" ca="1" si="305"/>
        <v>2.8700766699672742</v>
      </c>
      <c r="AF164" s="75">
        <f t="shared" ca="1" si="305"/>
        <v>2.7706814432545039</v>
      </c>
      <c r="AG164" s="75">
        <f t="shared" ca="1" si="305"/>
        <v>2.8787662077383041</v>
      </c>
      <c r="AH164" s="75">
        <f t="shared" ca="1" si="305"/>
        <v>2.8656606753623244</v>
      </c>
      <c r="AI164" s="75">
        <f t="shared" ca="1" si="305"/>
        <v>2.8535814109983182</v>
      </c>
      <c r="AJ164" s="75">
        <f t="shared" ref="AJ164:AK164" ca="1" si="306">FORECAST(AJ104,OFFSET($G$170:$G$175,MATCH(AJ104,$I$170:$I$175,1)-1,0,2),OFFSET($I$170:$I$175,MATCH(AJ104,$I$170:$I$175,1)-1,0,2))</f>
        <v>2.8945783174528006</v>
      </c>
      <c r="AK164" s="75">
        <f t="shared" ca="1" si="306"/>
        <v>2.9437240638627231</v>
      </c>
      <c r="AL164" s="3"/>
      <c r="AM164" s="47"/>
      <c r="AN164" s="47"/>
      <c r="AO164" s="47"/>
      <c r="AP164" s="47"/>
      <c r="AQ164" s="47"/>
    </row>
    <row r="165" spans="1:43">
      <c r="A165" s="11"/>
      <c r="B165" s="11"/>
      <c r="C165" s="11"/>
      <c r="D165" s="11"/>
      <c r="E165" s="11"/>
      <c r="F165" s="11"/>
      <c r="G165" s="11"/>
      <c r="N165" s="11" t="s">
        <v>257</v>
      </c>
      <c r="O165" s="66">
        <f ca="1">(O163-O164)/O164</f>
        <v>5.6945798663855955E-2</v>
      </c>
      <c r="P165" s="66">
        <f t="shared" ref="P165:S165" ca="1" si="307">(P163-P164)/P164</f>
        <v>5.2642807651742084E-2</v>
      </c>
      <c r="Q165" s="66">
        <f t="shared" ca="1" si="307"/>
        <v>6.4831634319022058E-2</v>
      </c>
      <c r="R165" s="66">
        <f t="shared" ca="1" si="307"/>
        <v>5.297436856726187E-2</v>
      </c>
      <c r="S165" s="66">
        <f t="shared" ca="1" si="307"/>
        <v>5.340694929322494E-2</v>
      </c>
      <c r="X165" s="74"/>
      <c r="Y165" s="75" t="s">
        <v>257</v>
      </c>
      <c r="Z165" s="79">
        <f ca="1">(Z163-Z164)/Z164</f>
        <v>-0.17497582014461702</v>
      </c>
      <c r="AA165" s="79">
        <f t="shared" ref="AA165" ca="1" si="308">(AA163-AA164)/AA164</f>
        <v>-0.16029694186022667</v>
      </c>
      <c r="AB165" s="79">
        <f t="shared" ref="AB165" ca="1" si="309">(AB163-AB164)/AB164</f>
        <v>-0.17964448073157677</v>
      </c>
      <c r="AC165" s="79">
        <f t="shared" ref="AC165" ca="1" si="310">(AC163-AC164)/AC164</f>
        <v>-0.1980949478539501</v>
      </c>
      <c r="AD165" s="79">
        <f t="shared" ref="AD165" ca="1" si="311">(AD163-AD164)/AD164</f>
        <v>-0.21254233366632097</v>
      </c>
      <c r="AE165" s="79">
        <f t="shared" ref="AE165" ca="1" si="312">(AE163-AE164)/AE164</f>
        <v>-0.20806207590756925</v>
      </c>
      <c r="AF165" s="79">
        <f t="shared" ref="AF165" ca="1" si="313">(AF163-AF164)/AF164</f>
        <v>-0.20608585106189484</v>
      </c>
      <c r="AG165" s="79">
        <f t="shared" ref="AG165" ca="1" si="314">(AG163-AG164)/AG164</f>
        <v>-0.21299040057164745</v>
      </c>
      <c r="AH165" s="79">
        <f t="shared" ref="AH165" ca="1" si="315">(AH163-AH164)/AH164</f>
        <v>-0.1799477795106097</v>
      </c>
      <c r="AI165" s="79">
        <f t="shared" ref="AI165:AK165" ca="1" si="316">(AI163-AI164)/AI164</f>
        <v>-0.17966491126634995</v>
      </c>
      <c r="AJ165" s="79">
        <f t="shared" ca="1" si="316"/>
        <v>-0.18234713991683427</v>
      </c>
      <c r="AK165" s="79">
        <f t="shared" ca="1" si="316"/>
        <v>-0.18236792994730849</v>
      </c>
      <c r="AL165" s="3"/>
      <c r="AM165" s="47"/>
      <c r="AN165" s="47"/>
      <c r="AO165" s="47"/>
      <c r="AP165" s="47"/>
      <c r="AQ165" s="47"/>
    </row>
    <row r="166" spans="1:43">
      <c r="A166" s="11"/>
      <c r="B166" s="11"/>
      <c r="C166" s="11"/>
      <c r="D166" s="11"/>
      <c r="E166" s="11"/>
      <c r="F166" s="11"/>
      <c r="G166" s="11"/>
      <c r="M166" t="str">
        <f>F169</f>
        <v>T Exhaust corr.</v>
      </c>
      <c r="N166" s="11" t="s">
        <v>256</v>
      </c>
      <c r="O166" s="16">
        <f>O127</f>
        <v>352.170636</v>
      </c>
      <c r="P166" s="16">
        <f t="shared" ref="P166:S166" si="317">P127</f>
        <v>348.96926574999998</v>
      </c>
      <c r="Q166" s="16">
        <f t="shared" si="317"/>
        <v>372.57615500000003</v>
      </c>
      <c r="R166" s="16">
        <f t="shared" si="317"/>
        <v>361.013597</v>
      </c>
      <c r="S166" s="16">
        <f t="shared" si="317"/>
        <v>387.51112575000002</v>
      </c>
      <c r="X166" s="74" t="s">
        <v>247</v>
      </c>
      <c r="Y166" s="75" t="s">
        <v>256</v>
      </c>
      <c r="Z166" s="76">
        <f>Z127</f>
        <v>363.731517</v>
      </c>
      <c r="AA166" s="76">
        <f t="shared" ref="AA166:AI166" si="318">AA127</f>
        <v>341.38515599999999</v>
      </c>
      <c r="AB166" s="76">
        <f t="shared" si="318"/>
        <v>353.05664000000002</v>
      </c>
      <c r="AC166" s="76">
        <f t="shared" si="318"/>
        <v>340.010918</v>
      </c>
      <c r="AD166" s="76">
        <f t="shared" si="318"/>
        <v>358.64183599999996</v>
      </c>
      <c r="AE166" s="76">
        <f t="shared" si="318"/>
        <v>365.27481599999999</v>
      </c>
      <c r="AF166" s="76">
        <f t="shared" si="318"/>
        <v>376.77629199999996</v>
      </c>
      <c r="AG166" s="76">
        <f t="shared" si="318"/>
        <v>375.89917199999996</v>
      </c>
      <c r="AH166" s="76">
        <f t="shared" si="318"/>
        <v>368.80714499999999</v>
      </c>
      <c r="AI166" s="76">
        <f t="shared" si="318"/>
        <v>374.73826399999996</v>
      </c>
      <c r="AJ166" s="76">
        <f t="shared" ref="AJ166:AK166" si="319">AJ127</f>
        <v>372.99582000000004</v>
      </c>
      <c r="AK166" s="76">
        <f t="shared" si="319"/>
        <v>358.87905599999999</v>
      </c>
      <c r="AL166" s="3"/>
      <c r="AM166" s="47"/>
      <c r="AN166" s="47"/>
      <c r="AO166" s="47"/>
      <c r="AP166" s="47"/>
      <c r="AQ166" s="47"/>
    </row>
    <row r="167" spans="1:43">
      <c r="A167" s="11"/>
      <c r="B167" s="11"/>
      <c r="C167" s="11"/>
      <c r="D167" s="11"/>
      <c r="E167" s="11"/>
      <c r="F167" s="11"/>
      <c r="G167" s="11"/>
      <c r="N167" s="11" t="s">
        <v>255</v>
      </c>
      <c r="O167" s="16">
        <f ca="1">FORECAST(O104,OFFSET($F$170:$F$175,MATCH(O104,$I$170:$I$175,1)-1,0,2),OFFSET($I$170:$I$175,MATCH(O104,$I$170:$I$175,1)-1,0,2))</f>
        <v>350.12230561047903</v>
      </c>
      <c r="P167" s="16">
        <f t="shared" ref="P167:S167" ca="1" si="320">FORECAST(P104,OFFSET($F$170:$F$175,MATCH(P104,$I$170:$I$175,1)-1,0,2),OFFSET($I$170:$I$175,MATCH(P104,$I$170:$I$175,1)-1,0,2))</f>
        <v>346.57315488378566</v>
      </c>
      <c r="Q167" s="16">
        <f t="shared" ca="1" si="320"/>
        <v>364.58156007133391</v>
      </c>
      <c r="R167" s="16">
        <f t="shared" ca="1" si="320"/>
        <v>358.86071932295408</v>
      </c>
      <c r="S167" s="16">
        <f t="shared" ca="1" si="320"/>
        <v>385.67532334371526</v>
      </c>
      <c r="X167" s="74"/>
      <c r="Y167" s="75" t="s">
        <v>255</v>
      </c>
      <c r="Z167" s="76">
        <f ca="1">FORECAST(Z104,OFFSET($F$170:$F$175,MATCH(Z104,$I$170:$I$175,1)-1,0,2),OFFSET($I$170:$I$175,MATCH(Z104,$I$170:$I$175,1)-1,0,2))</f>
        <v>349.04674208383233</v>
      </c>
      <c r="AA167" s="76">
        <f t="shared" ref="AA167:AI167" ca="1" si="321">FORECAST(AA104,OFFSET($F$170:$F$175,MATCH(AA104,$I$170:$I$175,1)-1,0,2),OFFSET($I$170:$I$175,MATCH(AA104,$I$170:$I$175,1)-1,0,2))</f>
        <v>343.67041070090465</v>
      </c>
      <c r="AB167" s="76">
        <f t="shared" ca="1" si="321"/>
        <v>345.68591418288099</v>
      </c>
      <c r="AC167" s="76">
        <f t="shared" ca="1" si="321"/>
        <v>333.771040045929</v>
      </c>
      <c r="AD167" s="76">
        <f t="shared" ca="1" si="321"/>
        <v>344.96634101600557</v>
      </c>
      <c r="AE167" s="76">
        <f t="shared" ca="1" si="321"/>
        <v>348.14395984660678</v>
      </c>
      <c r="AF167" s="76">
        <f t="shared" ca="1" si="321"/>
        <v>345.57064275323592</v>
      </c>
      <c r="AG167" s="76">
        <f t="shared" ca="1" si="321"/>
        <v>348.40745131297405</v>
      </c>
      <c r="AH167" s="76">
        <f t="shared" ca="1" si="321"/>
        <v>348.01005434730536</v>
      </c>
      <c r="AI167" s="76">
        <f t="shared" ca="1" si="321"/>
        <v>347.66998000222685</v>
      </c>
      <c r="AJ167" s="76">
        <f t="shared" ref="AJ167:AK167" ca="1" si="322">FORECAST(AJ104,OFFSET($F$170:$F$175,MATCH(AJ104,$I$170:$I$175,1)-1,0,2),OFFSET($I$170:$I$175,MATCH(AJ104,$I$170:$I$175,1)-1,0,2))</f>
        <v>348.88691939111777</v>
      </c>
      <c r="AK167" s="76">
        <f t="shared" ca="1" si="322"/>
        <v>350.37715801237522</v>
      </c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1"/>
      <c r="E168" s="11"/>
      <c r="F168" s="11"/>
      <c r="G168" s="11"/>
      <c r="N168" s="11" t="s">
        <v>257</v>
      </c>
      <c r="O168" s="66">
        <f ca="1">(O166-O167)/O167</f>
        <v>5.8503281758911863E-3</v>
      </c>
      <c r="P168" s="66">
        <f t="shared" ref="P168:S168" ca="1" si="323">(P166-P167)/P167</f>
        <v>6.9137232138415002E-3</v>
      </c>
      <c r="Q168" s="66">
        <f t="shared" ca="1" si="323"/>
        <v>2.1928138458516381E-2</v>
      </c>
      <c r="R168" s="66">
        <f t="shared" ca="1" si="323"/>
        <v>5.9992012530868701E-3</v>
      </c>
      <c r="S168" s="66">
        <f t="shared" ca="1" si="323"/>
        <v>4.7599685413336193E-3</v>
      </c>
      <c r="X168" s="74"/>
      <c r="Y168" s="75" t="s">
        <v>257</v>
      </c>
      <c r="Z168" s="79">
        <f ca="1">(Z166-Z167)/Z167</f>
        <v>4.2071084315236928E-2</v>
      </c>
      <c r="AA168" s="79">
        <f t="shared" ref="AA168" ca="1" si="324">(AA166-AA167)/AA167</f>
        <v>-6.6495532630928451E-3</v>
      </c>
      <c r="AB168" s="79">
        <f t="shared" ref="AB168" ca="1" si="325">(AB166-AB167)/AB167</f>
        <v>2.1322031111801764E-2</v>
      </c>
      <c r="AC168" s="79">
        <f t="shared" ref="AC168" ca="1" si="326">(AC166-AC167)/AC167</f>
        <v>1.8695084969661713E-2</v>
      </c>
      <c r="AD168" s="79">
        <f t="shared" ref="AD168" ca="1" si="327">(AD166-AD167)/AD167</f>
        <v>3.9642983555198144E-2</v>
      </c>
      <c r="AE168" s="79">
        <f t="shared" ref="AE168" ca="1" si="328">(AE166-AE167)/AE167</f>
        <v>4.9206242615672878E-2</v>
      </c>
      <c r="AF168" s="79">
        <f t="shared" ref="AF168" ca="1" si="329">(AF166-AF167)/AF167</f>
        <v>9.0301794730425863E-2</v>
      </c>
      <c r="AG168" s="79">
        <f t="shared" ref="AG168" ca="1" si="330">(AG166-AG167)/AG167</f>
        <v>7.8906810355012E-2</v>
      </c>
      <c r="AH168" s="79">
        <f t="shared" ref="AH168" ca="1" si="331">(AH166-AH167)/AH167</f>
        <v>5.9760028174185041E-2</v>
      </c>
      <c r="AI168" s="79">
        <f t="shared" ref="AI168:AK168" ca="1" si="332">(AI166-AI167)/AI167</f>
        <v>7.785625896604513E-2</v>
      </c>
      <c r="AJ168" s="79">
        <f t="shared" ca="1" si="332"/>
        <v>6.9102334507001428E-2</v>
      </c>
      <c r="AK168" s="79">
        <f t="shared" ca="1" si="332"/>
        <v>2.4264989292836516E-2</v>
      </c>
      <c r="AL168" s="3"/>
      <c r="AM168" s="11"/>
      <c r="AN168" s="11"/>
      <c r="AO168" s="11"/>
      <c r="AP168" s="11"/>
      <c r="AQ168" s="11"/>
    </row>
    <row r="169" spans="1:43">
      <c r="A169" s="11"/>
      <c r="B169" s="11"/>
      <c r="C169" s="11"/>
      <c r="D169" s="16" t="str">
        <f>B108</f>
        <v>IMEP</v>
      </c>
      <c r="E169" s="11" t="str">
        <f>B116</f>
        <v>Pmax corr.</v>
      </c>
      <c r="F169" s="11" t="str">
        <f>B127</f>
        <v>T Exhaust corr.</v>
      </c>
      <c r="G169" s="11" t="str">
        <f>B135</f>
        <v>P scavenge corr.</v>
      </c>
      <c r="H169" s="11" t="str">
        <f>B143</f>
        <v>Pcomp corr.</v>
      </c>
      <c r="I169" s="47" t="str">
        <f>B104</f>
        <v>Brake Power (bhp)</v>
      </c>
      <c r="J169" t="str">
        <f>B146</f>
        <v>TC Speed</v>
      </c>
      <c r="M169" t="str">
        <f>J169</f>
        <v>TC Speed</v>
      </c>
      <c r="N169" s="11" t="s">
        <v>256</v>
      </c>
      <c r="O169" s="11">
        <f>O146</f>
        <v>11875</v>
      </c>
      <c r="P169" s="11">
        <f t="shared" ref="P169:S169" si="333">P146</f>
        <v>11606</v>
      </c>
      <c r="Q169" s="11">
        <f t="shared" si="333"/>
        <v>12787.5</v>
      </c>
      <c r="R169" s="11">
        <f t="shared" si="333"/>
        <v>12520</v>
      </c>
      <c r="S169" s="11">
        <f t="shared" si="333"/>
        <v>13430</v>
      </c>
      <c r="X169" s="74" t="s">
        <v>110</v>
      </c>
      <c r="Y169" s="75" t="s">
        <v>256</v>
      </c>
      <c r="Z169" s="75">
        <f>Z146</f>
        <v>12410</v>
      </c>
      <c r="AA169" s="75">
        <f t="shared" ref="AA169:AI169" si="334">AA146</f>
        <v>12235</v>
      </c>
      <c r="AB169" s="75">
        <f t="shared" si="334"/>
        <v>12210</v>
      </c>
      <c r="AC169" s="75">
        <f t="shared" si="334"/>
        <v>11074</v>
      </c>
      <c r="AD169" s="75">
        <f t="shared" si="334"/>
        <v>12127.5</v>
      </c>
      <c r="AE169" s="75">
        <f t="shared" si="334"/>
        <v>12232.5</v>
      </c>
      <c r="AF169" s="75">
        <f t="shared" si="334"/>
        <v>12170</v>
      </c>
      <c r="AG169" s="75">
        <f t="shared" si="334"/>
        <v>12410</v>
      </c>
      <c r="AH169" s="75">
        <f t="shared" si="334"/>
        <v>12315</v>
      </c>
      <c r="AI169" s="75">
        <f t="shared" si="334"/>
        <v>12310</v>
      </c>
      <c r="AJ169" s="75">
        <f t="shared" ref="AJ169:AK169" si="335">AJ146</f>
        <v>12380</v>
      </c>
      <c r="AK169" s="75">
        <f t="shared" si="335"/>
        <v>12360</v>
      </c>
    </row>
    <row r="170" spans="1:43">
      <c r="A170" s="11"/>
      <c r="B170" s="11"/>
      <c r="C170" s="68">
        <f t="array" ref="C170:C175">TRANSPOSE(D103:I103)</f>
        <v>0.25</v>
      </c>
      <c r="D170" s="11">
        <f t="array" ref="D170:D175">TRANSPOSE(D108:I108)</f>
        <v>8.0028639058128874</v>
      </c>
      <c r="E170">
        <f t="array" ref="E170:E175">TRANSPOSE(D116:I116)</f>
        <v>74.155934341940693</v>
      </c>
      <c r="F170" s="11">
        <f t="array" ref="F170:F175">TRANSPOSE(D127:I127)</f>
        <v>276.07979805000002</v>
      </c>
      <c r="G170" s="11">
        <f t="array" ref="G170:G175">TRANSPOSE(D135:I135)</f>
        <v>1.3316729485359526</v>
      </c>
      <c r="H170" s="11">
        <f t="array" ref="H170:H175">TRANSPOSE(D143:I143)</f>
        <v>48.57629681239888</v>
      </c>
      <c r="I170" s="11">
        <f t="array" ref="I170:I175">TRANSPOSE(D104:I104)</f>
        <v>5784</v>
      </c>
      <c r="J170">
        <f t="array" ref="J170:J175">TRANSPOSE(D146:I146)</f>
        <v>5620</v>
      </c>
      <c r="N170" s="11" t="s">
        <v>255</v>
      </c>
      <c r="O170" s="9">
        <f ca="1">FORECAST(O135,OFFSET($J$170:$J$175,MATCH(O135,$G$170:$G$175,1)-1,0,2),OFFSET($G$170:$G$175,MATCH(O135,$G$170:$G$175,1)-1,0,2))</f>
        <v>11858.009183983753</v>
      </c>
      <c r="P170" s="9">
        <f t="shared" ref="P170:S170" ca="1" si="336">FORECAST(P135,OFFSET($J$170:$J$175,MATCH(P135,$G$170:$G$175,1)-1,0,2),OFFSET($G$170:$G$175,MATCH(P135,$G$170:$G$175,1)-1,0,2))</f>
        <v>11617.317913101875</v>
      </c>
      <c r="Q170" s="9">
        <f t="shared" ca="1" si="336"/>
        <v>12777.410276071882</v>
      </c>
      <c r="R170" s="9">
        <f t="shared" ca="1" si="336"/>
        <v>12357.377630647554</v>
      </c>
      <c r="S170" s="9">
        <f t="shared" ca="1" si="336"/>
        <v>13406.493881526196</v>
      </c>
      <c r="X170" s="74"/>
      <c r="Y170" s="75" t="s">
        <v>255</v>
      </c>
      <c r="Z170" s="81">
        <f ca="1">FORECAST(Z135,OFFSET($J$170:$J$175,MATCH(Z135,$G$170:$G$175,1)-1,0,2),OFFSET($G$170:$G$175,MATCH(Z135,$G$170:$G$175,1)-1,0,2))</f>
        <v>10150.648162506637</v>
      </c>
      <c r="AA170" s="81">
        <f t="shared" ref="AA170:AI170" ca="1" si="337">FORECAST(AA135,OFFSET($J$170:$J$175,MATCH(AA135,$G$170:$G$175,1)-1,0,2),OFFSET($G$170:$G$175,MATCH(AA135,$G$170:$G$175,1)-1,0,2))</f>
        <v>9791.0970830538463</v>
      </c>
      <c r="AB170" s="81">
        <f t="shared" ca="1" si="337"/>
        <v>9827.7413745734339</v>
      </c>
      <c r="AC170" s="81">
        <f t="shared" ca="1" si="337"/>
        <v>8166.3238042155026</v>
      </c>
      <c r="AD170" s="81">
        <f t="shared" ca="1" si="337"/>
        <v>9510.6718558157681</v>
      </c>
      <c r="AE170" s="81">
        <f t="shared" ca="1" si="337"/>
        <v>9817.2664447426941</v>
      </c>
      <c r="AF170" s="81">
        <f t="shared" ca="1" si="337"/>
        <v>9612.9822179015719</v>
      </c>
      <c r="AG170" s="81">
        <f t="shared" ca="1" si="337"/>
        <v>9796.8882735166881</v>
      </c>
      <c r="AH170" s="81">
        <f t="shared" ca="1" si="337"/>
        <v>10032.232118841188</v>
      </c>
      <c r="AI170" s="81">
        <f t="shared" ca="1" si="337"/>
        <v>10006.854128360928</v>
      </c>
      <c r="AJ170" s="81">
        <f t="shared" ref="AJ170:AK170" ca="1" si="338">FORECAST(AJ135,OFFSET($J$170:$J$175,MATCH(AJ135,$G$170:$G$175,1)-1,0,2),OFFSET($G$170:$G$175,MATCH(AJ135,$G$170:$G$175,1)-1,0,2))</f>
        <v>10079.004913065804</v>
      </c>
      <c r="AK170" s="81">
        <f t="shared" ca="1" si="338"/>
        <v>10190.918614416791</v>
      </c>
    </row>
    <row r="171" spans="1:43" ht="15.75" thickBot="1">
      <c r="A171" s="11"/>
      <c r="B171" s="11"/>
      <c r="C171" s="68">
        <v>0.5</v>
      </c>
      <c r="D171" s="11">
        <v>11.906037506383118</v>
      </c>
      <c r="E171">
        <v>101.44123248074693</v>
      </c>
      <c r="F171" s="11">
        <v>327.72452959999998</v>
      </c>
      <c r="G171" s="11">
        <v>2.065962749072888</v>
      </c>
      <c r="H171" s="11">
        <v>74.582310815336783</v>
      </c>
      <c r="I171" s="11">
        <v>11365</v>
      </c>
      <c r="J171">
        <v>9240</v>
      </c>
      <c r="N171" s="11" t="s">
        <v>257</v>
      </c>
      <c r="O171" s="66">
        <f ca="1">(O169-O170)/O170</f>
        <v>1.4328556971600025E-3</v>
      </c>
      <c r="P171" s="66">
        <f t="shared" ref="P171:S171" ca="1" si="339">(P169-P170)/P170</f>
        <v>-9.7422771646034432E-4</v>
      </c>
      <c r="Q171" s="66">
        <f t="shared" ca="1" si="339"/>
        <v>7.8965327950792903E-4</v>
      </c>
      <c r="R171" s="66">
        <f t="shared" ca="1" si="339"/>
        <v>1.3159941713614559E-2</v>
      </c>
      <c r="S171" s="66">
        <f t="shared" ca="1" si="339"/>
        <v>1.7533382464892677E-3</v>
      </c>
      <c r="X171" s="82"/>
      <c r="Y171" s="83" t="s">
        <v>257</v>
      </c>
      <c r="Z171" s="84">
        <f ca="1">(Z169-Z170)/Z170</f>
        <v>0.22258202642060942</v>
      </c>
      <c r="AA171" s="84">
        <f t="shared" ref="AA171" ca="1" si="340">(AA169-AA170)/AA170</f>
        <v>0.24960460469501336</v>
      </c>
      <c r="AB171" s="84">
        <f t="shared" ref="AB171" ca="1" si="341">(AB169-AB170)/AB170</f>
        <v>0.24240143636563355</v>
      </c>
      <c r="AC171" s="84">
        <f t="shared" ref="AC171" ca="1" si="342">(AC169-AC170)/AC170</f>
        <v>0.3560569315514453</v>
      </c>
      <c r="AD171" s="84">
        <f t="shared" ref="AD171" ca="1" si="343">(AD169-AD170)/AD170</f>
        <v>0.27514650740305413</v>
      </c>
      <c r="AE171" s="84">
        <f t="shared" ref="AE171" ca="1" si="344">(AE169-AE170)/AE170</f>
        <v>0.24601894721424239</v>
      </c>
      <c r="AF171" s="84">
        <f t="shared" ref="AF171" ca="1" si="345">(AF169-AF170)/AF170</f>
        <v>0.26599630833984861</v>
      </c>
      <c r="AG171" s="84">
        <f t="shared" ref="AG171" ca="1" si="346">(AG169-AG170)/AG170</f>
        <v>0.26672874626397164</v>
      </c>
      <c r="AH171" s="84">
        <f t="shared" ref="AH171" ca="1" si="347">(AH169-AH170)/AH170</f>
        <v>0.22754336762918639</v>
      </c>
      <c r="AI171" s="84">
        <f t="shared" ref="AI171:AK171" ca="1" si="348">(AI169-AI170)/AI170</f>
        <v>0.23015683471507895</v>
      </c>
      <c r="AJ171" s="84">
        <f t="shared" ca="1" si="348"/>
        <v>0.22829585924214865</v>
      </c>
      <c r="AK171" s="84">
        <f t="shared" ca="1" si="348"/>
        <v>0.21284454009029904</v>
      </c>
    </row>
    <row r="172" spans="1:43">
      <c r="A172" s="11"/>
      <c r="B172" s="11"/>
      <c r="C172" s="68">
        <v>0.75</v>
      </c>
      <c r="D172" s="11">
        <v>15.360213615536921</v>
      </c>
      <c r="E172">
        <v>132.60062365229842</v>
      </c>
      <c r="F172" s="11">
        <v>347.80271679999998</v>
      </c>
      <c r="G172" s="11">
        <v>2.8588230062965967</v>
      </c>
      <c r="H172" s="11">
        <v>105.02071020327013</v>
      </c>
      <c r="I172" s="11">
        <v>17113</v>
      </c>
      <c r="J172">
        <v>11451.5</v>
      </c>
    </row>
    <row r="173" spans="1:43">
      <c r="A173" s="11"/>
      <c r="B173" s="11"/>
      <c r="C173" s="68">
        <v>0.9</v>
      </c>
      <c r="D173" s="11">
        <v>17.264341906886919</v>
      </c>
      <c r="E173">
        <v>148.55709627948298</v>
      </c>
      <c r="F173" s="11">
        <v>362.95131635000001</v>
      </c>
      <c r="G173" s="11">
        <v>3.3584002024113726</v>
      </c>
      <c r="H173" s="11">
        <v>123.14806327734752</v>
      </c>
      <c r="I173" s="11">
        <v>20620</v>
      </c>
      <c r="J173">
        <v>12285</v>
      </c>
    </row>
    <row r="174" spans="1:43">
      <c r="A174" s="11"/>
      <c r="B174" s="11"/>
      <c r="C174" s="68">
        <v>1</v>
      </c>
      <c r="D174" s="11">
        <v>18.48612039340539</v>
      </c>
      <c r="E174">
        <v>148.74926285763581</v>
      </c>
      <c r="F174" s="11">
        <v>386.2021704</v>
      </c>
      <c r="G174" s="11">
        <v>3.7099396023297069</v>
      </c>
      <c r="H174" s="11">
        <v>137.10773619289048</v>
      </c>
      <c r="I174" s="11">
        <v>22959</v>
      </c>
      <c r="J174">
        <v>12994.5</v>
      </c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</row>
    <row r="175" spans="1:43">
      <c r="A175" s="11"/>
      <c r="B175" s="11"/>
      <c r="C175" s="68">
        <v>1.1000000000000001</v>
      </c>
      <c r="D175" s="11">
        <v>19.598454143927498</v>
      </c>
      <c r="E175">
        <v>151.12354361853252</v>
      </c>
      <c r="F175" s="11">
        <v>404.35647559999995</v>
      </c>
      <c r="G175" s="11">
        <v>3.9669288498435815</v>
      </c>
      <c r="H175" s="11">
        <v>146.46227643971793</v>
      </c>
      <c r="I175" s="11">
        <v>25120</v>
      </c>
      <c r="J175">
        <v>13552.5</v>
      </c>
      <c r="Y175" s="11" t="s">
        <v>258</v>
      </c>
    </row>
    <row r="176" spans="1:43">
      <c r="A176" s="11"/>
      <c r="B176" s="11"/>
      <c r="C176" s="11"/>
      <c r="D176" s="11"/>
      <c r="E176" s="11"/>
      <c r="F176" s="11"/>
      <c r="G176" s="11"/>
      <c r="Y176" t="str">
        <f>" "</f>
        <v xml:space="preserve"> </v>
      </c>
      <c r="Z176" s="3">
        <f>Z156</f>
        <v>39111</v>
      </c>
      <c r="AA176" s="3">
        <f t="shared" ref="AA176:AI176" si="349">AA156</f>
        <v>39136</v>
      </c>
      <c r="AB176" s="3">
        <f t="shared" si="349"/>
        <v>39172</v>
      </c>
      <c r="AC176" s="3">
        <f t="shared" si="349"/>
        <v>39198</v>
      </c>
      <c r="AD176" s="3">
        <f t="shared" si="349"/>
        <v>39227</v>
      </c>
      <c r="AE176" s="3">
        <f t="shared" si="349"/>
        <v>39259</v>
      </c>
      <c r="AF176" s="3">
        <f t="shared" si="349"/>
        <v>39283</v>
      </c>
      <c r="AG176" s="3">
        <f t="shared" si="349"/>
        <v>39306</v>
      </c>
      <c r="AH176" s="3">
        <f t="shared" si="349"/>
        <v>39336</v>
      </c>
      <c r="AI176" s="3">
        <f t="shared" si="349"/>
        <v>39382</v>
      </c>
      <c r="AJ176" s="3">
        <f t="shared" ref="AJ176:AK176" si="350">AJ156</f>
        <v>39394</v>
      </c>
      <c r="AK176" s="3">
        <f t="shared" si="350"/>
        <v>39440</v>
      </c>
    </row>
    <row r="177" spans="1:37">
      <c r="A177" s="11"/>
      <c r="B177" s="11"/>
      <c r="C177" s="11"/>
      <c r="D177" s="11"/>
      <c r="E177" s="11"/>
      <c r="F177" s="11"/>
      <c r="G177" s="11"/>
      <c r="Y177" s="70" t="str">
        <f>X157</f>
        <v>Pmax corr.</v>
      </c>
      <c r="Z177" s="47">
        <f ca="1">Z159</f>
        <v>0.11138474812571715</v>
      </c>
      <c r="AA177" s="47">
        <f t="shared" ref="AA177:AI177" ca="1" si="351">AA159</f>
        <v>0.15323853913059363</v>
      </c>
      <c r="AB177" s="47">
        <f t="shared" ca="1" si="351"/>
        <v>0.13383078321270048</v>
      </c>
      <c r="AC177" s="47">
        <f t="shared" ca="1" si="351"/>
        <v>0.1563590704304007</v>
      </c>
      <c r="AD177" s="47">
        <f t="shared" ca="1" si="351"/>
        <v>0.11881152599751599</v>
      </c>
      <c r="AE177" s="47">
        <f t="shared" ca="1" si="351"/>
        <v>0.1287678167781473</v>
      </c>
      <c r="AF177" s="47">
        <f t="shared" ca="1" si="351"/>
        <v>8.820771170692418E-2</v>
      </c>
      <c r="AG177" s="47">
        <f t="shared" ca="1" si="351"/>
        <v>7.7212509333128967E-2</v>
      </c>
      <c r="AH177" s="47">
        <f t="shared" ca="1" si="351"/>
        <v>0.1221596075648415</v>
      </c>
      <c r="AI177" s="47">
        <f t="shared" ca="1" si="351"/>
        <v>0.12411085237573613</v>
      </c>
      <c r="AJ177" s="47">
        <f t="shared" ref="AJ177:AK177" ca="1" si="352">AJ159</f>
        <v>0.11731572184884216</v>
      </c>
      <c r="AK177" s="47">
        <f t="shared" ca="1" si="352"/>
        <v>9.5674176781677389E-2</v>
      </c>
    </row>
    <row r="178" spans="1:37">
      <c r="A178" s="11"/>
      <c r="B178" s="11"/>
      <c r="C178" s="11"/>
      <c r="D178" s="11"/>
      <c r="E178" s="11"/>
      <c r="F178" s="11"/>
      <c r="G178" s="11"/>
      <c r="Y178" s="70" t="str">
        <f>X160</f>
        <v>Pcomp corr.</v>
      </c>
      <c r="Z178" s="47">
        <f ca="1">Z162</f>
        <v>9.3838766373888313E-2</v>
      </c>
      <c r="AA178" s="47">
        <f t="shared" ref="AA178:AI178" ca="1" si="353">AA162</f>
        <v>0.15102016636571944</v>
      </c>
      <c r="AB178" s="47">
        <f t="shared" ca="1" si="353"/>
        <v>0.11855160753006759</v>
      </c>
      <c r="AC178" s="47">
        <f t="shared" ca="1" si="353"/>
        <v>0.13628683048994072</v>
      </c>
      <c r="AD178" s="47">
        <f t="shared" ca="1" si="353"/>
        <v>8.2402925347268299E-2</v>
      </c>
      <c r="AE178" s="47">
        <f t="shared" ca="1" si="353"/>
        <v>8.2972988145625842E-2</v>
      </c>
      <c r="AF178" s="47">
        <f t="shared" ca="1" si="353"/>
        <v>3.9658219657788291E-2</v>
      </c>
      <c r="AG178" s="47">
        <f t="shared" ca="1" si="353"/>
        <v>6.1006686457082432E-2</v>
      </c>
      <c r="AH178" s="47">
        <f t="shared" ca="1" si="353"/>
        <v>0.10323619616064839</v>
      </c>
      <c r="AI178" s="47">
        <f t="shared" ca="1" si="353"/>
        <v>8.9796226034031257E-2</v>
      </c>
      <c r="AJ178" s="47">
        <f t="shared" ref="AJ178:AK178" ca="1" si="354">AJ162</f>
        <v>9.0893472530098676E-2</v>
      </c>
      <c r="AK178" s="47">
        <f t="shared" ca="1" si="354"/>
        <v>9.6260822441953636E-2</v>
      </c>
    </row>
    <row r="179" spans="1:37">
      <c r="A179" s="11"/>
      <c r="B179" s="11"/>
      <c r="C179" s="11"/>
      <c r="D179" s="11"/>
      <c r="E179" s="11"/>
      <c r="F179" s="11"/>
      <c r="G179" s="11"/>
      <c r="Y179" s="70" t="str">
        <f>X163</f>
        <v>P scavenge corr.</v>
      </c>
      <c r="Z179" s="47">
        <f ca="1">Z165</f>
        <v>-0.17497582014461702</v>
      </c>
      <c r="AA179" s="47">
        <f t="shared" ref="AA179:AI179" ca="1" si="355">AA165</f>
        <v>-0.16029694186022667</v>
      </c>
      <c r="AB179" s="47">
        <f t="shared" ca="1" si="355"/>
        <v>-0.17964448073157677</v>
      </c>
      <c r="AC179" s="47">
        <f t="shared" ca="1" si="355"/>
        <v>-0.1980949478539501</v>
      </c>
      <c r="AD179" s="47">
        <f t="shared" ca="1" si="355"/>
        <v>-0.21254233366632097</v>
      </c>
      <c r="AE179" s="47">
        <f t="shared" ca="1" si="355"/>
        <v>-0.20806207590756925</v>
      </c>
      <c r="AF179" s="47">
        <f t="shared" ca="1" si="355"/>
        <v>-0.20608585106189484</v>
      </c>
      <c r="AG179" s="47">
        <f t="shared" ca="1" si="355"/>
        <v>-0.21299040057164745</v>
      </c>
      <c r="AH179" s="47">
        <f t="shared" ca="1" si="355"/>
        <v>-0.1799477795106097</v>
      </c>
      <c r="AI179" s="47">
        <f t="shared" ca="1" si="355"/>
        <v>-0.17966491126634995</v>
      </c>
      <c r="AJ179" s="47">
        <f t="shared" ref="AJ179:AK179" ca="1" si="356">AJ165</f>
        <v>-0.18234713991683427</v>
      </c>
      <c r="AK179" s="47">
        <f t="shared" ca="1" si="356"/>
        <v>-0.18236792994730849</v>
      </c>
    </row>
    <row r="180" spans="1:37">
      <c r="A180" s="11"/>
      <c r="B180" s="11"/>
      <c r="C180" s="11"/>
      <c r="D180" s="11"/>
      <c r="E180" s="11"/>
      <c r="F180" s="11"/>
      <c r="G180" s="11"/>
      <c r="Y180" s="70" t="str">
        <f>X166</f>
        <v>T Exhaust corr.</v>
      </c>
      <c r="Z180" s="47">
        <f ca="1">Z168</f>
        <v>4.2071084315236928E-2</v>
      </c>
      <c r="AA180" s="47">
        <f t="shared" ref="AA180:AI180" ca="1" si="357">AA168</f>
        <v>-6.6495532630928451E-3</v>
      </c>
      <c r="AB180" s="47">
        <f t="shared" ca="1" si="357"/>
        <v>2.1322031111801764E-2</v>
      </c>
      <c r="AC180" s="47">
        <f t="shared" ca="1" si="357"/>
        <v>1.8695084969661713E-2</v>
      </c>
      <c r="AD180" s="47">
        <f t="shared" ca="1" si="357"/>
        <v>3.9642983555198144E-2</v>
      </c>
      <c r="AE180" s="47">
        <f t="shared" ca="1" si="357"/>
        <v>4.9206242615672878E-2</v>
      </c>
      <c r="AF180" s="47">
        <f t="shared" ca="1" si="357"/>
        <v>9.0301794730425863E-2</v>
      </c>
      <c r="AG180" s="47">
        <f t="shared" ca="1" si="357"/>
        <v>7.8906810355012E-2</v>
      </c>
      <c r="AH180" s="47">
        <f t="shared" ca="1" si="357"/>
        <v>5.9760028174185041E-2</v>
      </c>
      <c r="AI180" s="47">
        <f t="shared" ca="1" si="357"/>
        <v>7.785625896604513E-2</v>
      </c>
      <c r="AJ180" s="47">
        <f t="shared" ref="AJ180:AK180" ca="1" si="358">AJ168</f>
        <v>6.9102334507001428E-2</v>
      </c>
      <c r="AK180" s="47">
        <f t="shared" ca="1" si="358"/>
        <v>2.4264989292836516E-2</v>
      </c>
    </row>
    <row r="181" spans="1:37">
      <c r="A181" s="11"/>
      <c r="B181" s="11"/>
      <c r="C181" s="11"/>
      <c r="D181" s="11"/>
      <c r="E181" s="11"/>
      <c r="F181" s="11"/>
      <c r="G181" s="11"/>
      <c r="Y181" s="70" t="str">
        <f>X169</f>
        <v>TC Speed</v>
      </c>
      <c r="Z181" s="47">
        <f ca="1">Z171</f>
        <v>0.22258202642060942</v>
      </c>
      <c r="AA181" s="47">
        <f t="shared" ref="AA181:AI181" ca="1" si="359">AA171</f>
        <v>0.24960460469501336</v>
      </c>
      <c r="AB181" s="47">
        <f t="shared" ca="1" si="359"/>
        <v>0.24240143636563355</v>
      </c>
      <c r="AC181" s="47">
        <f t="shared" ca="1" si="359"/>
        <v>0.3560569315514453</v>
      </c>
      <c r="AD181" s="47">
        <f t="shared" ca="1" si="359"/>
        <v>0.27514650740305413</v>
      </c>
      <c r="AE181" s="47">
        <f t="shared" ca="1" si="359"/>
        <v>0.24601894721424239</v>
      </c>
      <c r="AF181" s="47">
        <f t="shared" ca="1" si="359"/>
        <v>0.26599630833984861</v>
      </c>
      <c r="AG181" s="47">
        <f t="shared" ca="1" si="359"/>
        <v>0.26672874626397164</v>
      </c>
      <c r="AH181" s="47">
        <f t="shared" ca="1" si="359"/>
        <v>0.22754336762918639</v>
      </c>
      <c r="AI181" s="47">
        <f t="shared" ca="1" si="359"/>
        <v>0.23015683471507895</v>
      </c>
      <c r="AJ181" s="47">
        <f t="shared" ref="AJ181:AK181" ca="1" si="360">AJ171</f>
        <v>0.22829585924214865</v>
      </c>
      <c r="AK181" s="47">
        <f t="shared" ca="1" si="360"/>
        <v>0.21284454009029904</v>
      </c>
    </row>
    <row r="182" spans="1:37">
      <c r="A182" s="11"/>
      <c r="B182" s="11"/>
      <c r="C182" s="11"/>
      <c r="D182" s="11"/>
      <c r="E182" s="11"/>
      <c r="F182" s="11"/>
      <c r="G182" s="11"/>
    </row>
    <row r="183" spans="1:37">
      <c r="A183" s="11"/>
      <c r="B183" s="11"/>
      <c r="C183" s="11"/>
      <c r="D183" s="11"/>
      <c r="E183" s="11"/>
      <c r="F183" s="11"/>
      <c r="G183" s="11"/>
    </row>
    <row r="184" spans="1:37">
      <c r="A184" s="11"/>
      <c r="B184" s="11"/>
      <c r="C184" s="11"/>
      <c r="D184" s="11"/>
      <c r="E184" s="11"/>
      <c r="F184" s="11"/>
      <c r="G184" s="11"/>
    </row>
    <row r="185" spans="1:37">
      <c r="A185" s="11"/>
      <c r="B185" s="11"/>
      <c r="C185" s="11"/>
      <c r="D185" s="11"/>
      <c r="E185" s="11"/>
      <c r="F185" s="11"/>
      <c r="G185" s="11"/>
    </row>
    <row r="186" spans="1:37">
      <c r="A186" s="11"/>
      <c r="B186" s="11"/>
      <c r="C186" s="11"/>
      <c r="D186" s="11"/>
      <c r="E186" s="11"/>
      <c r="F186" s="11"/>
      <c r="G186" s="11"/>
    </row>
    <row r="187" spans="1:37">
      <c r="A187" s="11"/>
      <c r="B187" s="11"/>
      <c r="C187" s="11"/>
      <c r="D187" s="11"/>
      <c r="E187" s="11"/>
      <c r="F187" s="11"/>
      <c r="G187" s="11"/>
    </row>
    <row r="188" spans="1:37">
      <c r="A188" s="11"/>
      <c r="B188" s="11"/>
      <c r="C188" s="11"/>
      <c r="D188" s="11"/>
      <c r="E188" s="11"/>
      <c r="F188" s="11"/>
      <c r="G188" s="11"/>
    </row>
    <row r="189" spans="1:37">
      <c r="A189" s="11"/>
      <c r="B189" s="11"/>
      <c r="C189" s="11"/>
      <c r="D189" s="11"/>
      <c r="E189" s="11"/>
      <c r="F189" s="11"/>
      <c r="G189" s="11"/>
    </row>
    <row r="190" spans="1:37">
      <c r="A190" s="11"/>
      <c r="B190" s="11"/>
      <c r="C190" s="11"/>
      <c r="D190" s="11"/>
      <c r="E190" s="11"/>
      <c r="F190" s="11"/>
      <c r="G190" s="11"/>
    </row>
    <row r="191" spans="1:37">
      <c r="A191" s="11"/>
      <c r="B191" s="11"/>
      <c r="C191" s="11"/>
      <c r="D191" s="11"/>
      <c r="E191" s="11"/>
      <c r="F191" s="11"/>
      <c r="G191" s="11"/>
    </row>
    <row r="192" spans="1:37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</sheetData>
  <mergeCells count="2">
    <mergeCell ref="C1:D1"/>
    <mergeCell ref="Y174:AK174"/>
  </mergeCells>
  <pageMargins left="0.25" right="0.25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2"/>
  <sheetViews>
    <sheetView topLeftCell="A10" workbookViewId="0">
      <selection activeCell="J47" sqref="J47"/>
    </sheetView>
  </sheetViews>
  <sheetFormatPr defaultRowHeight="15"/>
  <sheetData>
    <row r="1" spans="2:10" s="11" customFormat="1">
      <c r="B1" s="11" t="s">
        <v>215</v>
      </c>
      <c r="G1" s="11" t="s">
        <v>227</v>
      </c>
      <c r="J1" s="11">
        <v>10</v>
      </c>
    </row>
    <row r="2" spans="2:10" s="11" customFormat="1">
      <c r="B2" s="11" t="s">
        <v>224</v>
      </c>
      <c r="C2" s="11" t="s">
        <v>225</v>
      </c>
      <c r="D2" s="11" t="s">
        <v>226</v>
      </c>
    </row>
    <row r="3" spans="2:10">
      <c r="B3">
        <v>4500</v>
      </c>
      <c r="C3">
        <v>1.0205409999999999</v>
      </c>
      <c r="D3">
        <v>5.4042060000000003</v>
      </c>
      <c r="E3">
        <v>0.7</v>
      </c>
    </row>
    <row r="4" spans="2:10">
      <c r="B4">
        <v>4500</v>
      </c>
      <c r="C4">
        <v>1.0284260000000001</v>
      </c>
      <c r="D4">
        <v>5.3331720000000002</v>
      </c>
      <c r="E4">
        <v>0.71</v>
      </c>
    </row>
    <row r="5" spans="2:10">
      <c r="B5">
        <v>4500</v>
      </c>
      <c r="C5">
        <v>1.036311</v>
      </c>
      <c r="D5">
        <v>5.2621370000000001</v>
      </c>
      <c r="E5">
        <v>0.74</v>
      </c>
    </row>
    <row r="6" spans="2:10">
      <c r="B6">
        <v>4500</v>
      </c>
      <c r="C6">
        <v>1.0441959999999999</v>
      </c>
      <c r="D6">
        <v>5.191103</v>
      </c>
      <c r="E6">
        <v>0.76</v>
      </c>
    </row>
    <row r="7" spans="2:10">
      <c r="B7">
        <v>4500</v>
      </c>
      <c r="C7">
        <v>1.052081</v>
      </c>
      <c r="D7">
        <v>5.120069</v>
      </c>
      <c r="E7">
        <v>0.77</v>
      </c>
    </row>
    <row r="8" spans="2:10">
      <c r="B8">
        <v>4500</v>
      </c>
      <c r="C8">
        <v>1.0725210000000001</v>
      </c>
      <c r="D8">
        <v>4.8349159999999998</v>
      </c>
      <c r="E8">
        <v>0.78</v>
      </c>
    </row>
    <row r="9" spans="2:10">
      <c r="B9">
        <v>4500</v>
      </c>
      <c r="C9">
        <v>1.089321</v>
      </c>
      <c r="D9">
        <v>4.5495260000000002</v>
      </c>
      <c r="E9">
        <v>0.79</v>
      </c>
    </row>
    <row r="10" spans="2:10">
      <c r="B10">
        <v>4500</v>
      </c>
      <c r="C10">
        <v>1.093091</v>
      </c>
      <c r="D10">
        <v>4.263668</v>
      </c>
      <c r="E10">
        <v>0.8</v>
      </c>
    </row>
    <row r="11" spans="2:10">
      <c r="B11">
        <v>4500</v>
      </c>
      <c r="C11">
        <v>1.0968610000000001</v>
      </c>
      <c r="D11">
        <v>3.9778090000000002</v>
      </c>
      <c r="E11">
        <v>0.79</v>
      </c>
    </row>
    <row r="12" spans="2:10">
      <c r="B12">
        <v>4500</v>
      </c>
      <c r="C12">
        <v>1.0969409999999999</v>
      </c>
      <c r="D12">
        <v>3.6919249999999999</v>
      </c>
      <c r="E12">
        <v>0.78</v>
      </c>
    </row>
    <row r="13" spans="2:10">
      <c r="B13">
        <v>5000</v>
      </c>
      <c r="C13">
        <v>1.0271349999999999</v>
      </c>
      <c r="D13">
        <v>6.4322280000000003</v>
      </c>
      <c r="E13">
        <v>0.7</v>
      </c>
    </row>
    <row r="14" spans="2:10">
      <c r="B14">
        <v>5000</v>
      </c>
      <c r="C14">
        <v>1.042878</v>
      </c>
      <c r="D14">
        <v>6.2848610000000003</v>
      </c>
      <c r="E14">
        <v>0.71</v>
      </c>
    </row>
    <row r="15" spans="2:10">
      <c r="B15">
        <v>5000</v>
      </c>
      <c r="C15">
        <v>1.0586199999999999</v>
      </c>
      <c r="D15">
        <v>6.1374940000000002</v>
      </c>
      <c r="E15">
        <v>0.74</v>
      </c>
    </row>
    <row r="16" spans="2:10">
      <c r="B16">
        <v>5000</v>
      </c>
      <c r="C16">
        <v>1.10866</v>
      </c>
      <c r="D16">
        <v>5.8453369999999998</v>
      </c>
      <c r="E16">
        <v>0.76</v>
      </c>
    </row>
    <row r="17" spans="2:5">
      <c r="B17">
        <v>5000</v>
      </c>
      <c r="C17">
        <v>1.1402000000000001</v>
      </c>
      <c r="D17">
        <v>5.5506089999999997</v>
      </c>
      <c r="E17">
        <v>0.78</v>
      </c>
    </row>
    <row r="18" spans="2:5">
      <c r="B18">
        <v>5000</v>
      </c>
      <c r="C18">
        <v>1.1606399999999999</v>
      </c>
      <c r="D18">
        <v>5.2549029999999997</v>
      </c>
      <c r="E18">
        <v>0.8</v>
      </c>
    </row>
    <row r="19" spans="2:5">
      <c r="B19">
        <v>5000</v>
      </c>
      <c r="C19">
        <v>1.17744</v>
      </c>
      <c r="D19">
        <v>4.9589689999999997</v>
      </c>
      <c r="E19">
        <v>0.81</v>
      </c>
    </row>
    <row r="20" spans="2:5">
      <c r="B20">
        <v>5000</v>
      </c>
      <c r="C20">
        <v>1.1812100000000001</v>
      </c>
      <c r="D20">
        <v>4.6625819999999996</v>
      </c>
      <c r="E20">
        <v>0.82</v>
      </c>
    </row>
    <row r="21" spans="2:5">
      <c r="B21">
        <v>5000</v>
      </c>
      <c r="C21">
        <v>1.1849799999999999</v>
      </c>
      <c r="D21">
        <v>4.3661960000000004</v>
      </c>
      <c r="E21">
        <v>0.8</v>
      </c>
    </row>
    <row r="22" spans="2:5">
      <c r="B22">
        <v>5000</v>
      </c>
      <c r="C22">
        <v>1.18506</v>
      </c>
      <c r="D22">
        <v>4.0697850000000004</v>
      </c>
      <c r="E22">
        <v>0.79</v>
      </c>
    </row>
    <row r="23" spans="2:5">
      <c r="B23">
        <v>5500</v>
      </c>
      <c r="C23">
        <v>1.0868469999999999</v>
      </c>
      <c r="D23">
        <v>6.9028960000000001</v>
      </c>
      <c r="E23">
        <v>0.7</v>
      </c>
    </row>
    <row r="24" spans="2:5">
      <c r="B24">
        <v>5500</v>
      </c>
      <c r="C24">
        <v>1.1183320000000001</v>
      </c>
      <c r="D24">
        <v>6.7526910000000004</v>
      </c>
      <c r="E24">
        <v>0.71</v>
      </c>
    </row>
    <row r="25" spans="2:5">
      <c r="B25">
        <v>5500</v>
      </c>
      <c r="C25">
        <v>1.1498170000000001</v>
      </c>
      <c r="D25">
        <v>6.602487</v>
      </c>
      <c r="E25">
        <v>0.74</v>
      </c>
    </row>
    <row r="26" spans="2:5">
      <c r="B26">
        <v>5500</v>
      </c>
      <c r="C26">
        <v>1.199857</v>
      </c>
      <c r="D26">
        <v>6.2996549999999996</v>
      </c>
      <c r="E26">
        <v>0.76</v>
      </c>
    </row>
    <row r="27" spans="2:5">
      <c r="B27">
        <v>5500</v>
      </c>
      <c r="C27">
        <v>1.2313970000000001</v>
      </c>
      <c r="D27">
        <v>5.9943410000000004</v>
      </c>
      <c r="E27">
        <v>0.77</v>
      </c>
    </row>
    <row r="28" spans="2:5">
      <c r="B28">
        <v>5500</v>
      </c>
      <c r="C28">
        <v>1.2518370000000001</v>
      </c>
      <c r="D28">
        <v>5.6880850000000001</v>
      </c>
      <c r="E28">
        <v>0.79</v>
      </c>
    </row>
    <row r="29" spans="2:5">
      <c r="B29">
        <v>5500</v>
      </c>
      <c r="C29">
        <v>1.268637</v>
      </c>
      <c r="D29">
        <v>5.3816069999999998</v>
      </c>
      <c r="E29">
        <v>0.81</v>
      </c>
    </row>
    <row r="30" spans="2:5">
      <c r="B30">
        <v>5500</v>
      </c>
      <c r="C30">
        <v>1.2724070000000001</v>
      </c>
      <c r="D30">
        <v>5.0746919999999998</v>
      </c>
      <c r="E30">
        <v>0.83</v>
      </c>
    </row>
    <row r="31" spans="2:5">
      <c r="B31">
        <v>5500</v>
      </c>
      <c r="C31">
        <v>1.2761769999999999</v>
      </c>
      <c r="D31">
        <v>4.7677769999999997</v>
      </c>
      <c r="E31">
        <v>0.84</v>
      </c>
    </row>
    <row r="32" spans="2:5">
      <c r="B32">
        <v>5500</v>
      </c>
      <c r="C32">
        <v>1.276257</v>
      </c>
      <c r="D32">
        <v>4.460839</v>
      </c>
      <c r="E32">
        <v>0.82</v>
      </c>
    </row>
    <row r="33" spans="2:5">
      <c r="B33">
        <v>6000</v>
      </c>
      <c r="C33">
        <v>1.0879399999999999</v>
      </c>
      <c r="D33">
        <v>7.7002699999999997</v>
      </c>
      <c r="E33">
        <v>0.7</v>
      </c>
    </row>
    <row r="34" spans="2:5">
      <c r="B34">
        <v>6000</v>
      </c>
      <c r="C34">
        <v>1.1823699999999999</v>
      </c>
      <c r="D34">
        <v>7.3971739999999997</v>
      </c>
      <c r="E34">
        <v>0.71</v>
      </c>
    </row>
    <row r="35" spans="2:5">
      <c r="B35">
        <v>6000</v>
      </c>
      <c r="C35">
        <v>1.2453399999999999</v>
      </c>
      <c r="D35">
        <v>7.0860159999999999</v>
      </c>
      <c r="E35">
        <v>0.74</v>
      </c>
    </row>
    <row r="36" spans="2:5">
      <c r="B36">
        <v>6000</v>
      </c>
      <c r="C36">
        <v>1.29538</v>
      </c>
      <c r="D36">
        <v>6.772519</v>
      </c>
      <c r="E36">
        <v>0.76</v>
      </c>
    </row>
    <row r="37" spans="2:5">
      <c r="B37">
        <v>6000</v>
      </c>
      <c r="C37">
        <v>1.3269200000000001</v>
      </c>
      <c r="D37">
        <v>6.4566239999999997</v>
      </c>
      <c r="E37">
        <v>0.77</v>
      </c>
    </row>
    <row r="38" spans="2:5">
      <c r="B38">
        <v>6000</v>
      </c>
      <c r="C38">
        <v>1.3473599999999999</v>
      </c>
      <c r="D38">
        <v>6.1398169999999999</v>
      </c>
      <c r="E38">
        <v>0.78</v>
      </c>
    </row>
    <row r="39" spans="2:5">
      <c r="B39">
        <v>6000</v>
      </c>
      <c r="C39">
        <v>1.36416</v>
      </c>
      <c r="D39">
        <v>5.8227969999999996</v>
      </c>
      <c r="E39">
        <v>0.8</v>
      </c>
    </row>
    <row r="40" spans="2:5">
      <c r="B40">
        <v>6000</v>
      </c>
      <c r="C40">
        <v>1.3679300000000001</v>
      </c>
      <c r="D40">
        <v>5.5053539999999996</v>
      </c>
      <c r="E40">
        <v>0.82</v>
      </c>
    </row>
    <row r="41" spans="2:5">
      <c r="B41">
        <v>6000</v>
      </c>
      <c r="C41">
        <v>1.3716999999999999</v>
      </c>
      <c r="D41">
        <v>5.1879109999999997</v>
      </c>
      <c r="E41">
        <v>0.85</v>
      </c>
    </row>
    <row r="42" spans="2:5">
      <c r="B42">
        <v>6000</v>
      </c>
      <c r="C42">
        <v>1.37178</v>
      </c>
      <c r="D42">
        <v>4.8704460000000003</v>
      </c>
      <c r="E42">
        <v>0.83</v>
      </c>
    </row>
    <row r="43" spans="2:5">
      <c r="B43">
        <v>6500</v>
      </c>
      <c r="C43">
        <v>1.189039</v>
      </c>
      <c r="D43">
        <v>8.2294389999999993</v>
      </c>
      <c r="E43">
        <v>0.7</v>
      </c>
    </row>
    <row r="44" spans="2:5">
      <c r="B44">
        <v>6500</v>
      </c>
      <c r="C44">
        <v>1.283469</v>
      </c>
      <c r="D44">
        <v>7.9153339999999996</v>
      </c>
      <c r="E44">
        <v>0.71</v>
      </c>
    </row>
    <row r="45" spans="2:5">
      <c r="B45">
        <v>6500</v>
      </c>
      <c r="C45">
        <v>1.3464389999999999</v>
      </c>
      <c r="D45">
        <v>7.5934419999999996</v>
      </c>
      <c r="E45">
        <v>0.74</v>
      </c>
    </row>
    <row r="46" spans="2:5">
      <c r="B46">
        <v>6500</v>
      </c>
      <c r="C46">
        <v>1.396479</v>
      </c>
      <c r="D46">
        <v>7.2692889999999997</v>
      </c>
      <c r="E46">
        <v>0.76</v>
      </c>
    </row>
    <row r="47" spans="2:5">
      <c r="B47">
        <v>6500</v>
      </c>
      <c r="C47">
        <v>1.4280189999999999</v>
      </c>
      <c r="D47">
        <v>6.9428169999999998</v>
      </c>
      <c r="E47">
        <v>0.77</v>
      </c>
    </row>
    <row r="48" spans="2:5">
      <c r="B48">
        <v>6500</v>
      </c>
      <c r="C48">
        <v>1.4484589999999999</v>
      </c>
      <c r="D48">
        <v>6.6154609999999998</v>
      </c>
      <c r="E48">
        <v>0.78</v>
      </c>
    </row>
    <row r="49" spans="2:11">
      <c r="B49">
        <v>6500</v>
      </c>
      <c r="C49">
        <v>1.4652590000000001</v>
      </c>
      <c r="D49">
        <v>6.2878990000000003</v>
      </c>
      <c r="E49">
        <v>0.81</v>
      </c>
      <c r="J49" s="11">
        <v>2.8389799999999998</v>
      </c>
      <c r="K49" s="11">
        <v>18.766200000000001</v>
      </c>
    </row>
    <row r="50" spans="2:11">
      <c r="B50">
        <v>6500</v>
      </c>
      <c r="C50">
        <v>1.4690289999999999</v>
      </c>
      <c r="D50">
        <v>5.9599279999999997</v>
      </c>
      <c r="E50">
        <v>0.84</v>
      </c>
      <c r="J50" s="11">
        <v>3.0294300000000001</v>
      </c>
      <c r="K50" s="11">
        <v>18.758199999999999</v>
      </c>
    </row>
    <row r="51" spans="2:11">
      <c r="B51">
        <v>6500</v>
      </c>
      <c r="C51">
        <v>1.472799</v>
      </c>
      <c r="D51">
        <v>5.6319569999999999</v>
      </c>
      <c r="E51">
        <v>0.86</v>
      </c>
      <c r="J51" s="11">
        <v>3.2140499999999999</v>
      </c>
      <c r="K51" s="11">
        <v>18.729800000000001</v>
      </c>
    </row>
    <row r="52" spans="2:11">
      <c r="B52">
        <v>6500</v>
      </c>
      <c r="C52">
        <v>1.472879</v>
      </c>
      <c r="D52">
        <v>5.3039639999999997</v>
      </c>
      <c r="E52">
        <v>0.83</v>
      </c>
      <c r="J52" s="11">
        <v>3.5203259999999998</v>
      </c>
      <c r="K52" s="11">
        <v>18.724799999999998</v>
      </c>
    </row>
    <row r="53" spans="2:11">
      <c r="B53">
        <v>6800</v>
      </c>
      <c r="C53">
        <v>1.24637</v>
      </c>
      <c r="D53">
        <v>8.5464800000000007</v>
      </c>
      <c r="E53">
        <v>0.74</v>
      </c>
      <c r="J53" s="11">
        <v>3.6988099999999999</v>
      </c>
      <c r="K53" s="11">
        <v>18.711500000000001</v>
      </c>
    </row>
    <row r="54" spans="2:11">
      <c r="B54">
        <v>6800</v>
      </c>
      <c r="C54">
        <v>1.3408</v>
      </c>
      <c r="D54">
        <v>8.1609499999999997</v>
      </c>
      <c r="E54">
        <v>0.76</v>
      </c>
      <c r="J54" s="11">
        <v>4.1130800000000001</v>
      </c>
      <c r="K54" s="11">
        <v>18.483699999999999</v>
      </c>
    </row>
    <row r="55" spans="2:11">
      <c r="B55">
        <v>6800</v>
      </c>
      <c r="C55">
        <v>1.40377</v>
      </c>
      <c r="D55">
        <v>7.8247</v>
      </c>
      <c r="E55">
        <v>0.78</v>
      </c>
      <c r="J55" s="11">
        <v>4.1678199999999999</v>
      </c>
      <c r="K55" s="11">
        <v>18.2622</v>
      </c>
    </row>
    <row r="56" spans="2:11">
      <c r="B56">
        <v>6800</v>
      </c>
      <c r="C56">
        <v>1.45381</v>
      </c>
      <c r="D56">
        <v>7.4506300000000003</v>
      </c>
      <c r="E56">
        <v>0.8</v>
      </c>
      <c r="J56" s="11">
        <v>4.2341300000000004</v>
      </c>
      <c r="K56" s="11">
        <v>18.063099999999999</v>
      </c>
    </row>
    <row r="57" spans="2:11">
      <c r="B57">
        <v>6800</v>
      </c>
      <c r="C57">
        <v>1.4853499999999999</v>
      </c>
      <c r="D57">
        <v>7.0886199999999997</v>
      </c>
      <c r="E57">
        <v>0.82</v>
      </c>
      <c r="J57" s="11">
        <v>4.3000699999999998</v>
      </c>
      <c r="K57" s="11">
        <v>17.876100000000001</v>
      </c>
    </row>
    <row r="58" spans="2:11">
      <c r="B58">
        <v>6800</v>
      </c>
      <c r="C58">
        <v>1.50579</v>
      </c>
      <c r="D58">
        <v>6.7888999999999999</v>
      </c>
      <c r="E58">
        <v>0.84</v>
      </c>
      <c r="J58" s="11">
        <v>4.3667499999999997</v>
      </c>
      <c r="K58" s="11">
        <v>17.338899999999999</v>
      </c>
    </row>
    <row r="59" spans="2:11">
      <c r="B59">
        <v>6800</v>
      </c>
      <c r="C59">
        <v>1.5225900000000001</v>
      </c>
      <c r="D59">
        <v>6.2514200000000004</v>
      </c>
      <c r="E59">
        <v>0.85</v>
      </c>
    </row>
    <row r="60" spans="2:11">
      <c r="B60">
        <v>6800</v>
      </c>
      <c r="C60">
        <v>1.5263599999999999</v>
      </c>
      <c r="D60">
        <v>6.0388599999999997</v>
      </c>
      <c r="E60">
        <v>0.86</v>
      </c>
    </row>
    <row r="61" spans="2:11">
      <c r="B61">
        <v>6800</v>
      </c>
      <c r="C61">
        <v>1.53013</v>
      </c>
      <c r="D61">
        <v>5.78878</v>
      </c>
      <c r="E61">
        <v>0.85</v>
      </c>
    </row>
    <row r="62" spans="2:11">
      <c r="B62">
        <v>6800</v>
      </c>
      <c r="C62">
        <v>1.5302100000000001</v>
      </c>
      <c r="D62">
        <v>5.5511200000000001</v>
      </c>
      <c r="E62">
        <v>0.84</v>
      </c>
    </row>
    <row r="63" spans="2:11">
      <c r="B63">
        <v>7500</v>
      </c>
      <c r="C63">
        <v>1.3692500000000001</v>
      </c>
      <c r="D63">
        <v>9.4713799999999999</v>
      </c>
      <c r="E63">
        <v>0.74</v>
      </c>
    </row>
    <row r="64" spans="2:11">
      <c r="B64">
        <v>7500</v>
      </c>
      <c r="C64">
        <v>1.4524900000000001</v>
      </c>
      <c r="D64">
        <v>9.2105800000000002</v>
      </c>
      <c r="E64">
        <v>0.76</v>
      </c>
    </row>
    <row r="65" spans="2:5">
      <c r="B65">
        <v>7500</v>
      </c>
      <c r="C65">
        <v>1.52834</v>
      </c>
      <c r="D65">
        <v>8.7992799999999995</v>
      </c>
      <c r="E65">
        <v>0.78</v>
      </c>
    </row>
    <row r="66" spans="2:5">
      <c r="B66">
        <v>7500</v>
      </c>
      <c r="C66">
        <v>1.58385</v>
      </c>
      <c r="D66">
        <v>8.4625800000000009</v>
      </c>
      <c r="E66">
        <v>0.8</v>
      </c>
    </row>
    <row r="67" spans="2:5">
      <c r="B67">
        <v>7500</v>
      </c>
      <c r="C67">
        <v>1.6227100000000001</v>
      </c>
      <c r="D67">
        <v>8.1504799999999999</v>
      </c>
      <c r="E67">
        <v>0.82</v>
      </c>
    </row>
    <row r="68" spans="2:5">
      <c r="B68">
        <v>7500</v>
      </c>
      <c r="C68">
        <v>1.6467799999999999</v>
      </c>
      <c r="D68">
        <v>7.8379799999999999</v>
      </c>
      <c r="E68">
        <v>0.84</v>
      </c>
    </row>
    <row r="69" spans="2:5">
      <c r="B69">
        <v>7500</v>
      </c>
      <c r="C69">
        <v>1.67455</v>
      </c>
      <c r="D69">
        <v>7.5130499999999998</v>
      </c>
      <c r="E69">
        <v>0.85</v>
      </c>
    </row>
    <row r="70" spans="2:5">
      <c r="B70">
        <v>7500</v>
      </c>
      <c r="C70">
        <v>1.70048</v>
      </c>
      <c r="D70">
        <v>7.1129199999999999</v>
      </c>
      <c r="E70">
        <v>0.85499999999999998</v>
      </c>
    </row>
    <row r="71" spans="2:5">
      <c r="B71">
        <v>7500</v>
      </c>
      <c r="C71">
        <v>1.7116100000000001</v>
      </c>
      <c r="D71">
        <v>6.7624899999999997</v>
      </c>
      <c r="E71">
        <v>0.84799999999999998</v>
      </c>
    </row>
    <row r="72" spans="2:5">
      <c r="B72">
        <v>7500</v>
      </c>
      <c r="C72">
        <v>1.7172000000000001</v>
      </c>
      <c r="D72">
        <v>6.3492800000000003</v>
      </c>
      <c r="E72">
        <v>0.84</v>
      </c>
    </row>
    <row r="73" spans="2:5">
      <c r="B73">
        <v>8500</v>
      </c>
      <c r="C73">
        <v>1.5429299999999999</v>
      </c>
      <c r="D73">
        <v>10.803800000000001</v>
      </c>
      <c r="E73">
        <v>0.74</v>
      </c>
    </row>
    <row r="74" spans="2:5">
      <c r="B74">
        <v>8500</v>
      </c>
      <c r="C74">
        <v>1.62246</v>
      </c>
      <c r="D74">
        <v>10.568</v>
      </c>
      <c r="E74">
        <v>0.76</v>
      </c>
    </row>
    <row r="75" spans="2:5">
      <c r="B75">
        <v>8500</v>
      </c>
      <c r="C75">
        <v>1.7168000000000001</v>
      </c>
      <c r="D75">
        <v>10.194800000000001</v>
      </c>
      <c r="E75">
        <v>0.78</v>
      </c>
    </row>
    <row r="76" spans="2:5">
      <c r="B76">
        <v>8500</v>
      </c>
      <c r="C76">
        <v>1.7723100000000001</v>
      </c>
      <c r="D76">
        <v>9.9081799999999998</v>
      </c>
      <c r="E76">
        <v>0.8</v>
      </c>
    </row>
    <row r="77" spans="2:5">
      <c r="B77">
        <v>8500</v>
      </c>
      <c r="C77">
        <v>1.81856</v>
      </c>
      <c r="D77">
        <v>9.6589100000000006</v>
      </c>
      <c r="E77">
        <v>0.82</v>
      </c>
    </row>
    <row r="78" spans="2:5">
      <c r="B78">
        <v>8500</v>
      </c>
      <c r="C78">
        <v>1.8518699999999999</v>
      </c>
      <c r="D78">
        <v>9.34666</v>
      </c>
      <c r="E78">
        <v>0.84</v>
      </c>
    </row>
    <row r="79" spans="2:5">
      <c r="B79">
        <v>8500</v>
      </c>
      <c r="C79">
        <v>1.8777900000000001</v>
      </c>
      <c r="D79">
        <v>9.08432</v>
      </c>
      <c r="E79">
        <v>0.85</v>
      </c>
    </row>
    <row r="80" spans="2:5">
      <c r="B80">
        <v>8500</v>
      </c>
      <c r="C80">
        <v>1.90927</v>
      </c>
      <c r="D80">
        <v>8.6342300000000005</v>
      </c>
      <c r="E80">
        <v>0.86</v>
      </c>
    </row>
    <row r="81" spans="2:5">
      <c r="B81">
        <v>8500</v>
      </c>
      <c r="C81">
        <v>1.9315</v>
      </c>
      <c r="D81">
        <v>8.2465200000000003</v>
      </c>
      <c r="E81">
        <v>0.86</v>
      </c>
    </row>
    <row r="82" spans="2:5">
      <c r="B82">
        <v>8500</v>
      </c>
      <c r="C82">
        <v>1.95747</v>
      </c>
      <c r="D82">
        <v>7.38293</v>
      </c>
      <c r="E82">
        <v>0.85</v>
      </c>
    </row>
    <row r="83" spans="2:5">
      <c r="B83">
        <v>9000</v>
      </c>
      <c r="C83">
        <v>1.6227</v>
      </c>
      <c r="D83">
        <v>11.432399999999999</v>
      </c>
      <c r="E83">
        <v>0.74</v>
      </c>
    </row>
    <row r="84" spans="2:5">
      <c r="B84">
        <v>9000</v>
      </c>
      <c r="C84">
        <v>1.71153</v>
      </c>
      <c r="D84">
        <v>11.1968</v>
      </c>
      <c r="E84">
        <v>0.76</v>
      </c>
    </row>
    <row r="85" spans="2:5">
      <c r="B85">
        <v>9000</v>
      </c>
      <c r="C85">
        <v>1.8096300000000001</v>
      </c>
      <c r="D85">
        <v>10.873900000000001</v>
      </c>
      <c r="E85">
        <v>0.78</v>
      </c>
    </row>
    <row r="86" spans="2:5">
      <c r="B86">
        <v>9000</v>
      </c>
      <c r="C86">
        <v>1.8670199999999999</v>
      </c>
      <c r="D86">
        <v>10.6501</v>
      </c>
      <c r="E86">
        <v>0.8</v>
      </c>
    </row>
    <row r="87" spans="2:5">
      <c r="B87">
        <v>9000</v>
      </c>
      <c r="C87">
        <v>1.9151800000000001</v>
      </c>
      <c r="D87">
        <v>10.3636</v>
      </c>
      <c r="E87">
        <v>0.82</v>
      </c>
    </row>
    <row r="88" spans="2:5">
      <c r="B88">
        <v>9000</v>
      </c>
      <c r="C88">
        <v>1.9540999999999999</v>
      </c>
      <c r="D88">
        <v>10.0768</v>
      </c>
      <c r="E88">
        <v>0.84</v>
      </c>
    </row>
    <row r="89" spans="2:5">
      <c r="B89">
        <v>9000</v>
      </c>
      <c r="C89">
        <v>1.98563</v>
      </c>
      <c r="D89">
        <v>9.7648100000000007</v>
      </c>
      <c r="E89">
        <v>0.85</v>
      </c>
    </row>
    <row r="90" spans="2:5">
      <c r="B90">
        <v>9000</v>
      </c>
      <c r="C90">
        <v>2.0153099999999999</v>
      </c>
      <c r="D90">
        <v>9.4527999999999999</v>
      </c>
      <c r="E90">
        <v>0.86</v>
      </c>
    </row>
    <row r="91" spans="2:5">
      <c r="B91">
        <v>9000</v>
      </c>
      <c r="C91">
        <v>2.0374400000000001</v>
      </c>
      <c r="D91">
        <v>8.7072000000000003</v>
      </c>
      <c r="E91">
        <v>0.86</v>
      </c>
    </row>
    <row r="92" spans="2:5">
      <c r="B92">
        <v>9000</v>
      </c>
      <c r="C92">
        <v>2.0749599999999999</v>
      </c>
      <c r="D92">
        <v>7.90313</v>
      </c>
      <c r="E92">
        <v>0.84</v>
      </c>
    </row>
    <row r="93" spans="2:5">
      <c r="B93">
        <v>9700</v>
      </c>
      <c r="C93">
        <v>1.7666200000000001</v>
      </c>
      <c r="D93">
        <v>12.436500000000001</v>
      </c>
      <c r="E93">
        <v>0.74</v>
      </c>
    </row>
    <row r="94" spans="2:5">
      <c r="B94">
        <v>9700</v>
      </c>
      <c r="C94">
        <v>1.8868400000000001</v>
      </c>
      <c r="D94">
        <v>12.3268</v>
      </c>
      <c r="E94">
        <v>0.76</v>
      </c>
    </row>
    <row r="95" spans="2:5">
      <c r="B95">
        <v>9700</v>
      </c>
      <c r="C95">
        <v>1.9922899999999999</v>
      </c>
      <c r="D95">
        <v>12.1416</v>
      </c>
      <c r="E95">
        <v>0.78</v>
      </c>
    </row>
    <row r="96" spans="2:5">
      <c r="B96">
        <v>9700</v>
      </c>
      <c r="C96">
        <v>2.0663299999999998</v>
      </c>
      <c r="D96">
        <v>11.9057</v>
      </c>
      <c r="E96">
        <v>0.8</v>
      </c>
    </row>
    <row r="97" spans="2:5">
      <c r="B97">
        <v>9700</v>
      </c>
      <c r="C97">
        <v>2.1200100000000002</v>
      </c>
      <c r="D97">
        <v>11.706799999999999</v>
      </c>
      <c r="E97">
        <v>0.82</v>
      </c>
    </row>
    <row r="98" spans="2:5">
      <c r="B98">
        <v>9700</v>
      </c>
      <c r="C98">
        <v>2.1700200000000001</v>
      </c>
      <c r="D98">
        <v>11.4453</v>
      </c>
      <c r="E98">
        <v>0.84</v>
      </c>
    </row>
    <row r="99" spans="2:5">
      <c r="B99">
        <v>9700</v>
      </c>
      <c r="C99">
        <v>2.2089400000000001</v>
      </c>
      <c r="D99">
        <v>11.1586</v>
      </c>
      <c r="E99">
        <v>0.85</v>
      </c>
    </row>
    <row r="100" spans="2:5">
      <c r="B100">
        <v>9700</v>
      </c>
      <c r="C100">
        <v>2.2478699999999998</v>
      </c>
      <c r="D100">
        <v>10.834300000000001</v>
      </c>
      <c r="E100">
        <v>0.86</v>
      </c>
    </row>
    <row r="101" spans="2:5">
      <c r="B101">
        <v>9700</v>
      </c>
      <c r="C101">
        <v>2.2912599999999999</v>
      </c>
      <c r="D101">
        <v>10.047079999999999</v>
      </c>
      <c r="E101">
        <v>0.86</v>
      </c>
    </row>
    <row r="102" spans="2:5">
      <c r="B102">
        <v>9700</v>
      </c>
      <c r="C102">
        <v>2.31684</v>
      </c>
      <c r="D102">
        <v>9.0221300000000006</v>
      </c>
      <c r="E102">
        <v>0.85</v>
      </c>
    </row>
    <row r="103" spans="2:5">
      <c r="B103">
        <v>10400</v>
      </c>
      <c r="C103">
        <v>1.93085</v>
      </c>
      <c r="D103">
        <v>13.528600000000001</v>
      </c>
      <c r="E103">
        <v>0.74</v>
      </c>
    </row>
    <row r="104" spans="2:5">
      <c r="B104">
        <v>10400</v>
      </c>
      <c r="C104">
        <v>2.05477</v>
      </c>
      <c r="D104">
        <v>13.419</v>
      </c>
      <c r="E104">
        <v>0.76</v>
      </c>
    </row>
    <row r="105" spans="2:5">
      <c r="B105">
        <v>10400</v>
      </c>
      <c r="C105">
        <v>2.1546699999999999</v>
      </c>
      <c r="D105">
        <v>13.258699999999999</v>
      </c>
      <c r="E105">
        <v>0.78</v>
      </c>
    </row>
    <row r="106" spans="2:5">
      <c r="B106">
        <v>10400</v>
      </c>
      <c r="C106">
        <v>2.23794</v>
      </c>
      <c r="D106">
        <v>13.0481</v>
      </c>
      <c r="E106">
        <v>0.8</v>
      </c>
    </row>
    <row r="107" spans="2:5">
      <c r="B107">
        <v>10400</v>
      </c>
      <c r="C107">
        <v>2.2990200000000001</v>
      </c>
      <c r="D107">
        <v>12.849399999999999</v>
      </c>
      <c r="E107">
        <v>0.82</v>
      </c>
    </row>
    <row r="108" spans="2:5">
      <c r="B108">
        <v>10400</v>
      </c>
      <c r="C108">
        <v>2.35087</v>
      </c>
      <c r="D108">
        <v>12.6004</v>
      </c>
      <c r="E108">
        <v>0.84</v>
      </c>
    </row>
    <row r="109" spans="2:5">
      <c r="B109">
        <v>10400</v>
      </c>
      <c r="C109">
        <v>2.4045800000000002</v>
      </c>
      <c r="D109">
        <v>12.314</v>
      </c>
      <c r="E109">
        <v>0.85</v>
      </c>
    </row>
    <row r="110" spans="2:5">
      <c r="B110">
        <v>10400</v>
      </c>
      <c r="C110">
        <v>2.45092</v>
      </c>
      <c r="D110">
        <v>11.952299999999999</v>
      </c>
      <c r="E110">
        <v>0.86</v>
      </c>
    </row>
    <row r="111" spans="2:5">
      <c r="B111">
        <v>10400</v>
      </c>
      <c r="C111">
        <v>2.5099999999999998</v>
      </c>
      <c r="D111">
        <v>11.040800000000001</v>
      </c>
      <c r="E111">
        <v>0.86</v>
      </c>
    </row>
    <row r="112" spans="2:5">
      <c r="B112">
        <v>10400</v>
      </c>
      <c r="C112">
        <v>2.5384099999999998</v>
      </c>
      <c r="D112">
        <v>10.0656</v>
      </c>
      <c r="E112">
        <v>0.85499999999999998</v>
      </c>
    </row>
    <row r="113" spans="2:5">
      <c r="B113">
        <v>11000</v>
      </c>
      <c r="C113">
        <v>2.0729199999999999</v>
      </c>
      <c r="D113">
        <v>14.520200000000001</v>
      </c>
      <c r="E113">
        <v>0.74</v>
      </c>
    </row>
    <row r="114" spans="2:5">
      <c r="B114">
        <v>11000</v>
      </c>
      <c r="C114">
        <v>2.2171699999999999</v>
      </c>
      <c r="D114">
        <v>14.461</v>
      </c>
      <c r="E114">
        <v>0.76</v>
      </c>
    </row>
    <row r="115" spans="2:5">
      <c r="B115">
        <v>11000</v>
      </c>
      <c r="C115">
        <v>2.3355299999999999</v>
      </c>
      <c r="D115">
        <v>14.376300000000001</v>
      </c>
      <c r="E115">
        <v>0.78</v>
      </c>
    </row>
    <row r="116" spans="2:5">
      <c r="B116">
        <v>11000</v>
      </c>
      <c r="C116">
        <v>2.4372699999999998</v>
      </c>
      <c r="D116">
        <v>14.2536</v>
      </c>
      <c r="E116">
        <v>0.8</v>
      </c>
    </row>
    <row r="117" spans="2:5">
      <c r="B117">
        <v>11000</v>
      </c>
      <c r="C117">
        <v>2.5260600000000002</v>
      </c>
      <c r="D117">
        <v>14.1556</v>
      </c>
      <c r="E117">
        <v>0.82</v>
      </c>
    </row>
    <row r="118" spans="2:5">
      <c r="B118">
        <v>11000</v>
      </c>
      <c r="C118">
        <v>2.5945299999999998</v>
      </c>
      <c r="D118">
        <v>13.957100000000001</v>
      </c>
      <c r="E118">
        <v>0.84</v>
      </c>
    </row>
    <row r="119" spans="2:5">
      <c r="B119">
        <v>11000</v>
      </c>
      <c r="C119">
        <v>2.6556199999999999</v>
      </c>
      <c r="D119">
        <v>13.7334</v>
      </c>
      <c r="E119">
        <v>0.85</v>
      </c>
    </row>
    <row r="120" spans="2:5">
      <c r="B120">
        <v>11000</v>
      </c>
      <c r="C120">
        <v>2.7278500000000001</v>
      </c>
      <c r="D120">
        <v>13.3474</v>
      </c>
      <c r="E120">
        <v>0.86</v>
      </c>
    </row>
    <row r="121" spans="2:5">
      <c r="B121">
        <v>11000</v>
      </c>
      <c r="C121">
        <v>2.8317199999999998</v>
      </c>
      <c r="D121">
        <v>12.3116</v>
      </c>
      <c r="E121">
        <v>0.86</v>
      </c>
    </row>
    <row r="122" spans="2:5">
      <c r="B122">
        <v>11000</v>
      </c>
      <c r="C122">
        <v>2.8671700000000002</v>
      </c>
      <c r="D122">
        <v>11.2742</v>
      </c>
      <c r="E122">
        <v>0.86</v>
      </c>
    </row>
    <row r="123" spans="2:5">
      <c r="B123">
        <v>11400</v>
      </c>
      <c r="C123">
        <v>2.1397499999999998</v>
      </c>
      <c r="D123">
        <v>14.9536</v>
      </c>
      <c r="E123">
        <v>0.74</v>
      </c>
    </row>
    <row r="124" spans="2:5">
      <c r="B124">
        <v>11400</v>
      </c>
      <c r="C124">
        <v>2.29508</v>
      </c>
      <c r="D124">
        <v>14.9328</v>
      </c>
      <c r="E124">
        <v>0.76</v>
      </c>
    </row>
    <row r="125" spans="2:5">
      <c r="B125">
        <v>11400</v>
      </c>
      <c r="C125">
        <v>2.4134199999999999</v>
      </c>
      <c r="D125">
        <v>14.9109</v>
      </c>
      <c r="E125">
        <v>0.78</v>
      </c>
    </row>
    <row r="126" spans="2:5">
      <c r="B126">
        <v>11400</v>
      </c>
      <c r="C126">
        <v>2.53362</v>
      </c>
      <c r="D126">
        <v>14.826499999999999</v>
      </c>
      <c r="E126">
        <v>0.8</v>
      </c>
    </row>
    <row r="127" spans="2:5">
      <c r="B127">
        <v>11400</v>
      </c>
      <c r="C127">
        <v>2.6223900000000002</v>
      </c>
      <c r="D127">
        <v>14.7287</v>
      </c>
      <c r="E127">
        <v>0.82</v>
      </c>
    </row>
    <row r="128" spans="2:5">
      <c r="B128">
        <v>11400</v>
      </c>
      <c r="C128">
        <v>2.7056100000000001</v>
      </c>
      <c r="D128">
        <v>14.5556</v>
      </c>
      <c r="E128">
        <v>0.84</v>
      </c>
    </row>
    <row r="129" spans="2:5">
      <c r="B129">
        <v>11400</v>
      </c>
      <c r="C129">
        <v>2.7869899999999999</v>
      </c>
      <c r="D129">
        <v>14.382400000000001</v>
      </c>
      <c r="E129">
        <v>0.85</v>
      </c>
    </row>
    <row r="130" spans="2:5">
      <c r="B130">
        <v>11400</v>
      </c>
      <c r="C130">
        <v>2.87948</v>
      </c>
      <c r="D130">
        <v>13.996600000000001</v>
      </c>
      <c r="E130">
        <v>0.86</v>
      </c>
    </row>
    <row r="131" spans="2:5">
      <c r="B131">
        <v>11400</v>
      </c>
      <c r="C131">
        <v>3.0034700000000001</v>
      </c>
      <c r="D131">
        <v>12.9854</v>
      </c>
      <c r="E131">
        <v>0.86</v>
      </c>
    </row>
    <row r="132" spans="2:5">
      <c r="B132">
        <v>11400</v>
      </c>
      <c r="C132">
        <v>3.0553499999999998</v>
      </c>
      <c r="D132">
        <v>11.997199999999999</v>
      </c>
      <c r="E132">
        <v>0.86</v>
      </c>
    </row>
    <row r="133" spans="2:5">
      <c r="B133">
        <v>11800</v>
      </c>
      <c r="C133">
        <v>2.21502</v>
      </c>
      <c r="D133">
        <v>15.424200000000001</v>
      </c>
      <c r="E133">
        <v>0.74</v>
      </c>
    </row>
    <row r="134" spans="2:5">
      <c r="B134">
        <v>11800</v>
      </c>
      <c r="C134">
        <v>2.3629699999999998</v>
      </c>
      <c r="D134">
        <v>15.3401</v>
      </c>
      <c r="E134">
        <v>0.76</v>
      </c>
    </row>
    <row r="135" spans="2:5">
      <c r="B135">
        <v>11800</v>
      </c>
      <c r="C135">
        <v>2.4757699999999998</v>
      </c>
      <c r="D135">
        <v>15.3178</v>
      </c>
      <c r="E135">
        <v>0.78</v>
      </c>
    </row>
    <row r="136" spans="2:5">
      <c r="B136">
        <v>11800</v>
      </c>
      <c r="C136">
        <v>2.6089199999999999</v>
      </c>
      <c r="D136">
        <v>15.2834</v>
      </c>
      <c r="E136">
        <v>0.8</v>
      </c>
    </row>
    <row r="137" spans="2:5">
      <c r="B137">
        <v>11800</v>
      </c>
      <c r="C137">
        <v>2.72357</v>
      </c>
      <c r="D137">
        <v>15.2361</v>
      </c>
      <c r="E137">
        <v>0.82</v>
      </c>
    </row>
    <row r="138" spans="2:5">
      <c r="B138">
        <v>11800</v>
      </c>
      <c r="C138">
        <v>2.8290000000000002</v>
      </c>
      <c r="D138">
        <v>15.151</v>
      </c>
      <c r="E138">
        <v>0.84</v>
      </c>
    </row>
    <row r="139" spans="2:5">
      <c r="B139">
        <v>11800</v>
      </c>
      <c r="C139">
        <v>2.9252099999999999</v>
      </c>
      <c r="D139">
        <v>14.953099999999999</v>
      </c>
      <c r="E139">
        <v>0.85</v>
      </c>
    </row>
    <row r="140" spans="2:5">
      <c r="B140">
        <v>11800</v>
      </c>
      <c r="C140">
        <v>3.0325600000000001</v>
      </c>
      <c r="D140">
        <v>14.617900000000001</v>
      </c>
      <c r="E140">
        <v>0.86</v>
      </c>
    </row>
    <row r="141" spans="2:5">
      <c r="B141">
        <v>11800</v>
      </c>
      <c r="C141">
        <v>3.1900900000000001</v>
      </c>
      <c r="D141">
        <v>13.458399999999999</v>
      </c>
      <c r="E141">
        <v>0.86</v>
      </c>
    </row>
    <row r="142" spans="2:5">
      <c r="B142">
        <v>11800</v>
      </c>
      <c r="C142">
        <v>3.2254700000000001</v>
      </c>
      <c r="D142">
        <v>12.6586</v>
      </c>
      <c r="E142">
        <v>0.86</v>
      </c>
    </row>
    <row r="143" spans="2:5">
      <c r="B143">
        <v>12200</v>
      </c>
      <c r="C143">
        <v>2.36727</v>
      </c>
      <c r="D143">
        <v>16.0779</v>
      </c>
      <c r="E143">
        <v>0.74</v>
      </c>
    </row>
    <row r="144" spans="2:5">
      <c r="B144">
        <v>12200</v>
      </c>
      <c r="C144">
        <v>2.5190000000000001</v>
      </c>
      <c r="D144">
        <v>16.0733</v>
      </c>
      <c r="E144">
        <v>0.76</v>
      </c>
    </row>
    <row r="145" spans="2:5">
      <c r="B145">
        <v>12200</v>
      </c>
      <c r="C145">
        <v>2.6111599999999999</v>
      </c>
      <c r="D145">
        <v>16.043600000000001</v>
      </c>
      <c r="E145">
        <v>0.78</v>
      </c>
    </row>
    <row r="146" spans="2:5">
      <c r="B146">
        <v>12200</v>
      </c>
      <c r="C146">
        <v>2.8029700000000002</v>
      </c>
      <c r="D146">
        <v>16.0259</v>
      </c>
      <c r="E146">
        <v>0.8</v>
      </c>
    </row>
    <row r="147" spans="2:5">
      <c r="B147">
        <v>12200</v>
      </c>
      <c r="C147">
        <v>2.9253900000000002</v>
      </c>
      <c r="D147">
        <v>16.022500000000001</v>
      </c>
      <c r="E147">
        <v>0.82</v>
      </c>
    </row>
    <row r="148" spans="2:5">
      <c r="B148">
        <v>12200</v>
      </c>
      <c r="C148">
        <v>2.9994800000000001</v>
      </c>
      <c r="D148">
        <v>15.916399999999999</v>
      </c>
      <c r="E148">
        <v>0.84</v>
      </c>
    </row>
    <row r="149" spans="2:5">
      <c r="B149">
        <v>12200</v>
      </c>
      <c r="C149">
        <v>3.0938099999999999</v>
      </c>
      <c r="D149">
        <v>15.655900000000001</v>
      </c>
      <c r="E149">
        <v>0.85</v>
      </c>
    </row>
    <row r="150" spans="2:5">
      <c r="B150">
        <v>12200</v>
      </c>
      <c r="C150">
        <v>3.2084899999999998</v>
      </c>
      <c r="D150">
        <v>15.2456</v>
      </c>
      <c r="E150">
        <v>0.86</v>
      </c>
    </row>
    <row r="151" spans="2:5">
      <c r="B151">
        <v>12200</v>
      </c>
      <c r="C151">
        <v>3.3213599999999999</v>
      </c>
      <c r="D151">
        <v>14.4971</v>
      </c>
      <c r="E151">
        <v>0.86</v>
      </c>
    </row>
    <row r="152" spans="2:5">
      <c r="B152">
        <v>12200</v>
      </c>
      <c r="C152">
        <v>3.3751099999999998</v>
      </c>
      <c r="D152">
        <v>13.2334</v>
      </c>
      <c r="E152">
        <v>0.86</v>
      </c>
    </row>
    <row r="153" spans="2:5">
      <c r="B153">
        <v>12400</v>
      </c>
      <c r="C153">
        <v>2.3885000000000001</v>
      </c>
      <c r="D153">
        <v>16.491499999999998</v>
      </c>
      <c r="E153">
        <v>0.74</v>
      </c>
    </row>
    <row r="154" spans="2:5">
      <c r="B154">
        <v>12400</v>
      </c>
      <c r="C154">
        <v>2.5567799999999998</v>
      </c>
      <c r="D154">
        <v>16.457999999999998</v>
      </c>
      <c r="E154">
        <v>0.76</v>
      </c>
    </row>
    <row r="155" spans="2:5">
      <c r="B155">
        <v>12400</v>
      </c>
      <c r="C155">
        <v>2.7490999999999999</v>
      </c>
      <c r="D155">
        <v>16.401800000000001</v>
      </c>
      <c r="E155">
        <v>0.78</v>
      </c>
    </row>
    <row r="156" spans="2:5">
      <c r="B156">
        <v>12400</v>
      </c>
      <c r="C156">
        <v>2.9051399999999998</v>
      </c>
      <c r="D156">
        <v>16.398199999999999</v>
      </c>
      <c r="E156">
        <v>0.8</v>
      </c>
    </row>
    <row r="157" spans="2:5">
      <c r="B157">
        <v>12400</v>
      </c>
      <c r="C157">
        <v>2.9710000000000001</v>
      </c>
      <c r="D157">
        <v>16.380199999999999</v>
      </c>
      <c r="E157">
        <v>0.82</v>
      </c>
    </row>
    <row r="158" spans="2:5">
      <c r="B158">
        <v>12400</v>
      </c>
      <c r="C158">
        <v>3.1059999999999999</v>
      </c>
      <c r="D158">
        <v>16.320900000000002</v>
      </c>
      <c r="E158">
        <v>0.84</v>
      </c>
    </row>
    <row r="159" spans="2:5">
      <c r="B159">
        <v>12400</v>
      </c>
      <c r="C159">
        <v>3.2280799999999998</v>
      </c>
      <c r="D159">
        <v>16.1736</v>
      </c>
      <c r="E159">
        <v>0.85</v>
      </c>
    </row>
    <row r="160" spans="2:5">
      <c r="B160">
        <v>12400</v>
      </c>
      <c r="C160">
        <v>3.3428599999999999</v>
      </c>
      <c r="D160">
        <v>15.7386</v>
      </c>
      <c r="E160">
        <v>0.86</v>
      </c>
    </row>
    <row r="161" spans="2:5">
      <c r="B161">
        <v>12400</v>
      </c>
      <c r="C161">
        <v>3.4726400000000002</v>
      </c>
      <c r="D161">
        <v>14.603300000000001</v>
      </c>
      <c r="E161">
        <v>0.86</v>
      </c>
    </row>
    <row r="162" spans="2:5">
      <c r="B162">
        <v>12400</v>
      </c>
      <c r="C162">
        <v>3.49878</v>
      </c>
      <c r="D162">
        <v>13.8034</v>
      </c>
      <c r="E162">
        <v>0.86</v>
      </c>
    </row>
    <row r="163" spans="2:5">
      <c r="B163">
        <v>13100</v>
      </c>
      <c r="C163">
        <v>2.55464</v>
      </c>
      <c r="D163">
        <v>17.4086</v>
      </c>
      <c r="E163">
        <v>0.74</v>
      </c>
    </row>
    <row r="164" spans="2:5">
      <c r="B164">
        <v>13100</v>
      </c>
      <c r="C164">
        <v>2.72106</v>
      </c>
      <c r="D164">
        <v>17.387499999999999</v>
      </c>
      <c r="E164">
        <v>0.76</v>
      </c>
    </row>
    <row r="165" spans="2:5">
      <c r="B165">
        <v>13100</v>
      </c>
      <c r="C165">
        <v>2.8597600000000001</v>
      </c>
      <c r="D165">
        <v>17.340699999999998</v>
      </c>
      <c r="E165">
        <v>0.78</v>
      </c>
    </row>
    <row r="166" spans="2:5">
      <c r="B166">
        <v>13100</v>
      </c>
      <c r="C166">
        <v>3.0224899999999999</v>
      </c>
      <c r="D166">
        <v>17.307099999999998</v>
      </c>
      <c r="E166">
        <v>0.8</v>
      </c>
    </row>
    <row r="167" spans="2:5">
      <c r="B167">
        <v>13100</v>
      </c>
      <c r="C167">
        <v>3.18337</v>
      </c>
      <c r="D167">
        <v>17.273399999999999</v>
      </c>
      <c r="E167">
        <v>0.82</v>
      </c>
    </row>
    <row r="168" spans="2:5">
      <c r="B168">
        <v>13100</v>
      </c>
      <c r="C168">
        <v>3.3738299999999999</v>
      </c>
      <c r="D168">
        <v>17.252800000000001</v>
      </c>
      <c r="E168">
        <v>0.84</v>
      </c>
    </row>
    <row r="169" spans="2:5">
      <c r="B169">
        <v>13100</v>
      </c>
      <c r="C169">
        <v>3.5291899999999998</v>
      </c>
      <c r="D169">
        <v>17.131399999999999</v>
      </c>
      <c r="E169">
        <v>0.85</v>
      </c>
    </row>
    <row r="170" spans="2:5">
      <c r="B170">
        <v>13100</v>
      </c>
      <c r="C170">
        <v>3.7326800000000002</v>
      </c>
      <c r="D170">
        <v>16.835999999999999</v>
      </c>
      <c r="E170">
        <v>0.86</v>
      </c>
    </row>
    <row r="171" spans="2:5">
      <c r="B171">
        <v>13100</v>
      </c>
      <c r="C171">
        <v>3.8659400000000002</v>
      </c>
      <c r="D171">
        <v>16.401399999999999</v>
      </c>
      <c r="E171">
        <v>0.86</v>
      </c>
    </row>
    <row r="172" spans="2:5">
      <c r="B172">
        <v>13100</v>
      </c>
      <c r="C172">
        <v>3.9697</v>
      </c>
      <c r="D172">
        <v>15.7409</v>
      </c>
      <c r="E172">
        <v>0.84499999999999997</v>
      </c>
    </row>
    <row r="173" spans="2:5">
      <c r="B173">
        <v>13400</v>
      </c>
      <c r="C173">
        <v>2.82057</v>
      </c>
      <c r="D173">
        <v>18.0671</v>
      </c>
      <c r="E173">
        <v>0.74</v>
      </c>
    </row>
    <row r="174" spans="2:5">
      <c r="B174">
        <v>13400</v>
      </c>
      <c r="C174">
        <v>2.9738199999999999</v>
      </c>
      <c r="D174">
        <v>18.036999999999999</v>
      </c>
      <c r="E174">
        <v>0.76</v>
      </c>
    </row>
    <row r="175" spans="2:5">
      <c r="B175">
        <v>13400</v>
      </c>
      <c r="C175">
        <v>3.0288400000000002</v>
      </c>
      <c r="D175">
        <v>18.034099999999999</v>
      </c>
      <c r="E175">
        <v>0.78</v>
      </c>
    </row>
    <row r="176" spans="2:5">
      <c r="B176">
        <v>13400</v>
      </c>
      <c r="C176">
        <v>3.1749200000000002</v>
      </c>
      <c r="D176">
        <v>17.9879</v>
      </c>
      <c r="E176">
        <v>0.8</v>
      </c>
    </row>
    <row r="177" spans="2:5">
      <c r="B177">
        <v>13400</v>
      </c>
      <c r="C177">
        <v>3.3801800000000002</v>
      </c>
      <c r="D177">
        <v>17.930900000000001</v>
      </c>
      <c r="E177">
        <v>0.82</v>
      </c>
    </row>
    <row r="178" spans="2:5">
      <c r="B178">
        <v>13400</v>
      </c>
      <c r="C178">
        <v>3.5817399999999999</v>
      </c>
      <c r="D178">
        <v>17.848600000000001</v>
      </c>
      <c r="E178">
        <v>0.84</v>
      </c>
    </row>
    <row r="179" spans="2:5">
      <c r="B179">
        <v>13400</v>
      </c>
      <c r="C179">
        <v>3.8369300000000002</v>
      </c>
      <c r="D179">
        <v>17.6676</v>
      </c>
      <c r="E179">
        <v>0.85</v>
      </c>
    </row>
    <row r="180" spans="2:5">
      <c r="B180">
        <v>13400</v>
      </c>
      <c r="C180">
        <v>3.9941399999999998</v>
      </c>
      <c r="D180">
        <v>17.258500000000002</v>
      </c>
      <c r="E180">
        <v>0.85</v>
      </c>
    </row>
    <row r="181" spans="2:5">
      <c r="B181">
        <v>13400</v>
      </c>
      <c r="C181">
        <v>4.0755400000000002</v>
      </c>
      <c r="D181">
        <v>16.897500000000001</v>
      </c>
      <c r="E181">
        <v>0.85</v>
      </c>
    </row>
    <row r="182" spans="2:5">
      <c r="B182">
        <v>13400</v>
      </c>
      <c r="C182">
        <v>4.1551</v>
      </c>
      <c r="D182">
        <v>16.411100000000001</v>
      </c>
      <c r="E182">
        <v>0.84499999999999997</v>
      </c>
    </row>
    <row r="183" spans="2:5">
      <c r="B183">
        <v>13800</v>
      </c>
      <c r="C183">
        <v>2.8389799999999998</v>
      </c>
      <c r="D183">
        <v>18.766200000000001</v>
      </c>
      <c r="E183">
        <v>0.74</v>
      </c>
    </row>
    <row r="184" spans="2:5">
      <c r="B184">
        <v>13800</v>
      </c>
      <c r="C184">
        <v>3.0294300000000001</v>
      </c>
      <c r="D184">
        <v>18.758199999999999</v>
      </c>
      <c r="E184">
        <v>0.76</v>
      </c>
    </row>
    <row r="185" spans="2:5">
      <c r="B185">
        <v>13800</v>
      </c>
      <c r="C185">
        <v>3.2140499999999999</v>
      </c>
      <c r="D185">
        <v>18.729800000000001</v>
      </c>
      <c r="E185">
        <v>0.78</v>
      </c>
    </row>
    <row r="186" spans="2:5">
      <c r="B186">
        <v>13800</v>
      </c>
      <c r="C186">
        <v>3.5203259999999998</v>
      </c>
      <c r="D186">
        <v>18.724799999999998</v>
      </c>
      <c r="E186">
        <v>0.8</v>
      </c>
    </row>
    <row r="187" spans="2:5">
      <c r="B187">
        <v>13800</v>
      </c>
      <c r="C187">
        <v>3.6988099999999999</v>
      </c>
      <c r="D187">
        <v>18.711500000000001</v>
      </c>
      <c r="E187">
        <v>0.82</v>
      </c>
    </row>
    <row r="188" spans="2:5">
      <c r="B188">
        <v>13800</v>
      </c>
      <c r="C188">
        <v>4.1130800000000001</v>
      </c>
      <c r="D188">
        <v>18.483699999999999</v>
      </c>
      <c r="E188">
        <v>0.84</v>
      </c>
    </row>
    <row r="189" spans="2:5">
      <c r="B189">
        <v>13800</v>
      </c>
      <c r="C189">
        <v>4.1678199999999999</v>
      </c>
      <c r="D189">
        <v>18.2622</v>
      </c>
      <c r="E189">
        <v>0.84</v>
      </c>
    </row>
    <row r="190" spans="2:5">
      <c r="B190">
        <v>13800</v>
      </c>
      <c r="C190">
        <v>4.2341300000000004</v>
      </c>
      <c r="D190">
        <v>18.063099999999999</v>
      </c>
      <c r="E190">
        <v>0.84499999999999997</v>
      </c>
    </row>
    <row r="191" spans="2:5">
      <c r="B191">
        <v>13800</v>
      </c>
      <c r="C191">
        <v>4.3000699999999998</v>
      </c>
      <c r="D191">
        <v>17.876100000000001</v>
      </c>
      <c r="E191">
        <v>0.85</v>
      </c>
    </row>
    <row r="192" spans="2:5">
      <c r="B192">
        <v>13800</v>
      </c>
      <c r="C192">
        <v>4.3667499999999997</v>
      </c>
      <c r="D192">
        <v>17.338899999999999</v>
      </c>
      <c r="E192">
        <v>0.84</v>
      </c>
    </row>
    <row r="193" spans="2:5">
      <c r="B193">
        <v>14800</v>
      </c>
      <c r="C193">
        <v>3.4247399999999999</v>
      </c>
      <c r="D193">
        <v>20.043500000000002</v>
      </c>
      <c r="E193">
        <v>0.74</v>
      </c>
    </row>
    <row r="194" spans="2:5">
      <c r="B194">
        <v>14800</v>
      </c>
      <c r="C194">
        <v>3.5784379999999998</v>
      </c>
      <c r="D194">
        <v>19.975300000000001</v>
      </c>
      <c r="E194">
        <v>0.76</v>
      </c>
    </row>
    <row r="195" spans="2:5">
      <c r="B195">
        <v>14800</v>
      </c>
      <c r="C195">
        <v>3.6780900000000001</v>
      </c>
      <c r="D195">
        <v>19.974399999999999</v>
      </c>
      <c r="E195">
        <v>0.78</v>
      </c>
    </row>
    <row r="196" spans="2:5">
      <c r="B196">
        <v>14800</v>
      </c>
      <c r="C196">
        <v>4.0960000000000001</v>
      </c>
      <c r="D196">
        <v>19.896799999999999</v>
      </c>
      <c r="E196">
        <v>0.8</v>
      </c>
    </row>
    <row r="197" spans="2:5">
      <c r="B197">
        <v>14800</v>
      </c>
      <c r="C197">
        <v>4.1977399999999996</v>
      </c>
      <c r="D197">
        <v>19.774100000000001</v>
      </c>
      <c r="E197">
        <v>0.80500000000000005</v>
      </c>
    </row>
    <row r="198" spans="2:5">
      <c r="B198">
        <v>14800</v>
      </c>
      <c r="C198">
        <v>4.3142899999999997</v>
      </c>
      <c r="D198">
        <v>19.576699999999999</v>
      </c>
      <c r="E198">
        <v>0.80800000000000005</v>
      </c>
    </row>
    <row r="199" spans="2:5">
      <c r="B199">
        <v>14800</v>
      </c>
      <c r="C199">
        <v>4.4067999999999996</v>
      </c>
      <c r="D199">
        <v>19.378699999999998</v>
      </c>
      <c r="E199">
        <v>0.81</v>
      </c>
    </row>
    <row r="200" spans="2:5">
      <c r="B200">
        <v>14800</v>
      </c>
      <c r="C200">
        <v>4.4919500000000001</v>
      </c>
      <c r="D200">
        <v>19.0931</v>
      </c>
      <c r="E200">
        <v>0.81299999999999994</v>
      </c>
    </row>
    <row r="201" spans="2:5">
      <c r="B201">
        <v>14800</v>
      </c>
      <c r="C201">
        <v>4.57524</v>
      </c>
      <c r="D201">
        <v>18.844899999999999</v>
      </c>
      <c r="E201">
        <v>0.81499999999999995</v>
      </c>
    </row>
    <row r="202" spans="2:5">
      <c r="B202">
        <v>14800</v>
      </c>
      <c r="C202">
        <v>4.6456200000000001</v>
      </c>
      <c r="D202">
        <v>18.446200000000001</v>
      </c>
      <c r="E202">
        <v>0.81599999999999995</v>
      </c>
    </row>
  </sheetData>
  <sortState ref="B3:E202">
    <sortCondition ref="B3:B20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workbookViewId="0">
      <selection activeCell="C13" sqref="C13"/>
    </sheetView>
  </sheetViews>
  <sheetFormatPr defaultRowHeight="15"/>
  <cols>
    <col min="4" max="4" width="12" bestFit="1" customWidth="1"/>
    <col min="5" max="5" width="11" hidden="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5">
        <v>0.95</v>
      </c>
    </row>
    <row r="4" spans="3:5" s="11" customFormat="1">
      <c r="C4" s="16">
        <f>'INPUT DATA'!$C$16</f>
        <v>22.7</v>
      </c>
      <c r="D4" s="64">
        <f>$C$3+E4</f>
        <v>0.95</v>
      </c>
      <c r="E4" s="11">
        <f>E5</f>
        <v>0</v>
      </c>
    </row>
    <row r="5" spans="3:5">
      <c r="C5" s="16">
        <f t="array" ref="C5:C10">TRANSPOSE(RESULTS!D8:I8)</f>
        <v>57.4</v>
      </c>
      <c r="D5" s="64">
        <f>$C$3+E5</f>
        <v>0.95</v>
      </c>
      <c r="E5">
        <f t="array" ref="E5:E10">TRANSPOSE(RESULTS!D92:I92)</f>
        <v>0</v>
      </c>
    </row>
    <row r="6" spans="3:5">
      <c r="C6" s="16">
        <v>72.3</v>
      </c>
      <c r="D6" s="64">
        <f t="shared" ref="D6:D11" si="0">$C$3+E6</f>
        <v>0.95392265999999992</v>
      </c>
      <c r="E6">
        <v>3.9226599999999997E-3</v>
      </c>
    </row>
    <row r="7" spans="3:5">
      <c r="C7" s="16">
        <v>82.6</v>
      </c>
      <c r="D7" s="64">
        <f t="shared" si="0"/>
        <v>0.95784532</v>
      </c>
      <c r="E7">
        <v>7.8453199999999994E-3</v>
      </c>
    </row>
    <row r="8" spans="3:5">
      <c r="C8" s="16">
        <v>87.9</v>
      </c>
      <c r="D8" s="64">
        <f t="shared" si="0"/>
        <v>0.964709975</v>
      </c>
      <c r="E8">
        <v>1.4709975E-2</v>
      </c>
    </row>
    <row r="9" spans="3:5">
      <c r="C9" s="16">
        <v>91</v>
      </c>
      <c r="D9" s="64">
        <f t="shared" si="0"/>
        <v>0.96569063999999993</v>
      </c>
      <c r="E9">
        <v>1.5690639999999999E-2</v>
      </c>
    </row>
    <row r="10" spans="3:5">
      <c r="C10" s="16">
        <v>93.9</v>
      </c>
      <c r="D10" s="64">
        <f t="shared" si="0"/>
        <v>0.97255529499999993</v>
      </c>
      <c r="E10">
        <v>2.2555295E-2</v>
      </c>
    </row>
    <row r="11" spans="3:5">
      <c r="C11" s="16">
        <f>C10+0.11*C10</f>
        <v>104.22900000000001</v>
      </c>
      <c r="D11" s="64">
        <f t="shared" si="0"/>
        <v>0.97255529499999993</v>
      </c>
      <c r="E11" s="11">
        <f>E10</f>
        <v>2.2555295E-2</v>
      </c>
    </row>
    <row r="12" spans="3:5">
      <c r="C12" s="65">
        <v>1.07</v>
      </c>
      <c r="D12" s="64"/>
    </row>
    <row r="13" spans="3:5">
      <c r="C13" s="16">
        <f>C4</f>
        <v>22.7</v>
      </c>
      <c r="D13" s="64">
        <f>$C$12+E13</f>
        <v>1.07</v>
      </c>
      <c r="E13" s="11">
        <f>E4</f>
        <v>0</v>
      </c>
    </row>
    <row r="14" spans="3:5">
      <c r="C14" s="16">
        <f t="shared" ref="C14:C20" si="1">C5</f>
        <v>57.4</v>
      </c>
      <c r="D14" s="64">
        <f>$C$12+E14</f>
        <v>1.07</v>
      </c>
      <c r="E14" s="11">
        <f t="shared" ref="E14:E20" si="2">E5</f>
        <v>0</v>
      </c>
    </row>
    <row r="15" spans="3:5">
      <c r="C15" s="16">
        <f t="shared" si="1"/>
        <v>72.3</v>
      </c>
      <c r="D15" s="64">
        <f>$C$12+E15</f>
        <v>1.07392266</v>
      </c>
      <c r="E15" s="11">
        <f t="shared" si="2"/>
        <v>3.9226599999999997E-3</v>
      </c>
    </row>
    <row r="16" spans="3:5">
      <c r="C16" s="16">
        <f t="shared" si="1"/>
        <v>82.6</v>
      </c>
      <c r="D16" s="64">
        <f t="shared" ref="D16:D20" si="3">$C$12+E16</f>
        <v>1.07784532</v>
      </c>
      <c r="E16" s="11">
        <f t="shared" si="2"/>
        <v>7.8453199999999994E-3</v>
      </c>
    </row>
    <row r="17" spans="3:5">
      <c r="C17" s="16">
        <f t="shared" si="1"/>
        <v>87.9</v>
      </c>
      <c r="D17" s="64">
        <f t="shared" si="3"/>
        <v>1.084709975</v>
      </c>
      <c r="E17" s="11">
        <f t="shared" si="2"/>
        <v>1.4709975E-2</v>
      </c>
    </row>
    <row r="18" spans="3:5">
      <c r="C18" s="16">
        <f t="shared" si="1"/>
        <v>91</v>
      </c>
      <c r="D18" s="64">
        <f t="shared" si="3"/>
        <v>1.0856906400000002</v>
      </c>
      <c r="E18" s="11">
        <f t="shared" si="2"/>
        <v>1.5690639999999999E-2</v>
      </c>
    </row>
    <row r="19" spans="3:5">
      <c r="C19" s="16">
        <f t="shared" si="1"/>
        <v>93.9</v>
      </c>
      <c r="D19" s="64">
        <f t="shared" si="3"/>
        <v>1.0925552950000001</v>
      </c>
      <c r="E19" s="11">
        <f t="shared" si="2"/>
        <v>2.2555295E-2</v>
      </c>
    </row>
    <row r="20" spans="3:5">
      <c r="C20" s="16">
        <f t="shared" si="1"/>
        <v>104.22900000000001</v>
      </c>
      <c r="D20" s="64">
        <f t="shared" si="3"/>
        <v>1.0925552950000001</v>
      </c>
      <c r="E20" s="11">
        <f t="shared" si="2"/>
        <v>2.2555295E-2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P14" sqref="P14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M28"/>
  <sheetViews>
    <sheetView topLeftCell="O1" workbookViewId="0">
      <selection activeCell="AC19" sqref="AC19"/>
    </sheetView>
  </sheetViews>
  <sheetFormatPr defaultRowHeight="15"/>
  <cols>
    <col min="1" max="1" width="2.7109375" customWidth="1"/>
    <col min="2" max="2" width="39.85546875" bestFit="1" customWidth="1"/>
    <col min="3" max="3" width="12.7109375" style="11" bestFit="1" customWidth="1"/>
    <col min="4" max="4" width="26.140625" bestFit="1" customWidth="1"/>
    <col min="7" max="11" width="9.140625" style="11"/>
    <col min="13" max="13" width="10" customWidth="1"/>
    <col min="15" max="15" width="26.7109375" bestFit="1" customWidth="1"/>
    <col min="27" max="27" width="26.7109375" bestFit="1" customWidth="1"/>
  </cols>
  <sheetData>
    <row r="1" spans="1:39" s="20" customFormat="1" ht="18.75">
      <c r="B1" s="20" t="str">
        <f>'INPUT DATA'!B1</f>
        <v>MAN 6s70mcc7</v>
      </c>
      <c r="C1" s="95" t="str">
        <f>'INPUT DATA'!C1</f>
        <v>CAP PHILLIPE</v>
      </c>
      <c r="D1" s="95"/>
      <c r="O1" s="20" t="str">
        <f>B1</f>
        <v>MAN 6s70mcc7</v>
      </c>
      <c r="P1" s="20" t="str">
        <f>C1</f>
        <v>CAP PHILLIPE</v>
      </c>
      <c r="AA1" s="20" t="str">
        <f>B1</f>
        <v>MAN 6s70mcc7</v>
      </c>
      <c r="AB1" s="20" t="str">
        <f>C1</f>
        <v>CAP PHILLIPE</v>
      </c>
    </row>
    <row r="2" spans="1:39" s="20" customFormat="1" ht="18.75">
      <c r="C2" s="23"/>
      <c r="D2" s="23"/>
    </row>
    <row r="3" spans="1:39" s="20" customFormat="1" ht="18.75">
      <c r="B3" s="37" t="str">
        <f>'INPUT DATA'!B18</f>
        <v>SHOP TESTS</v>
      </c>
      <c r="O3" s="37" t="str">
        <f>'INPUT DATA'!M18</f>
        <v>SEA TRIALS</v>
      </c>
      <c r="AA3" s="37" t="str">
        <f>'INPUT DATA'!X18</f>
        <v>OPERATION</v>
      </c>
    </row>
    <row r="4" spans="1:39" s="11" customFormat="1">
      <c r="F4" s="3">
        <f>'INPUT DATA'!D22</f>
        <v>38763</v>
      </c>
      <c r="G4" s="3">
        <f>'INPUT DATA'!E22</f>
        <v>38763</v>
      </c>
      <c r="H4" s="3">
        <f>'INPUT DATA'!F22</f>
        <v>38763</v>
      </c>
      <c r="I4" s="3">
        <f>'INPUT DATA'!G22</f>
        <v>38763</v>
      </c>
      <c r="J4" s="3">
        <f>'INPUT DATA'!H22</f>
        <v>38763</v>
      </c>
      <c r="K4" s="3">
        <f>'INPUT DATA'!I22</f>
        <v>38763</v>
      </c>
      <c r="L4" s="3"/>
      <c r="M4" s="3"/>
      <c r="N4" s="3"/>
      <c r="O4" s="3" t="str">
        <f>'INPUT DATA'!M22</f>
        <v>DATE</v>
      </c>
      <c r="P4" s="3"/>
      <c r="Q4" s="3">
        <f>'INPUT DATA'!O22</f>
        <v>38898</v>
      </c>
      <c r="R4" s="3">
        <f>'INPUT DATA'!P22</f>
        <v>38898</v>
      </c>
      <c r="S4" s="3">
        <f>'INPUT DATA'!Q22</f>
        <v>38898</v>
      </c>
      <c r="T4" s="3">
        <f>'INPUT DATA'!R22</f>
        <v>38898</v>
      </c>
      <c r="U4" s="3">
        <f>'INPUT DATA'!S22</f>
        <v>38898</v>
      </c>
      <c r="V4" s="3" t="e">
        <f>'INPUT DATA'!#REF!</f>
        <v>#REF!</v>
      </c>
      <c r="W4" s="3"/>
      <c r="X4" s="3"/>
      <c r="Y4" s="3"/>
      <c r="Z4" s="3"/>
      <c r="AA4" s="3" t="str">
        <f>'INPUT DATA'!X22</f>
        <v>DATE</v>
      </c>
      <c r="AB4" s="3"/>
      <c r="AC4" s="3">
        <f>'INPUT DATA'!Z22</f>
        <v>39111</v>
      </c>
      <c r="AD4" s="3">
        <f>'INPUT DATA'!AA22</f>
        <v>39136</v>
      </c>
      <c r="AE4" s="3">
        <f>'INPUT DATA'!AB22</f>
        <v>39172</v>
      </c>
      <c r="AF4" s="3">
        <f>'INPUT DATA'!AC22</f>
        <v>39198</v>
      </c>
      <c r="AG4" s="3">
        <f>'INPUT DATA'!AD22</f>
        <v>39227</v>
      </c>
      <c r="AH4" s="3">
        <f>'INPUT DATA'!AE22</f>
        <v>39259</v>
      </c>
      <c r="AI4" s="3">
        <f>'INPUT DATA'!AF22</f>
        <v>39283</v>
      </c>
      <c r="AJ4" s="3">
        <f>'INPUT DATA'!AG22</f>
        <v>39306</v>
      </c>
      <c r="AK4" s="3">
        <f>'INPUT DATA'!AH22</f>
        <v>39336</v>
      </c>
      <c r="AL4" s="3">
        <f>'INPUT DATA'!AI22</f>
        <v>39382</v>
      </c>
      <c r="AM4" s="3"/>
    </row>
    <row r="5" spans="1:39" ht="15.75">
      <c r="B5" s="29" t="s">
        <v>141</v>
      </c>
      <c r="F5" s="2">
        <f>'INPUT DATA'!D21</f>
        <v>0.25</v>
      </c>
      <c r="G5" s="2">
        <f>'INPUT DATA'!E21</f>
        <v>0.5</v>
      </c>
      <c r="H5" s="2">
        <f>'INPUT DATA'!F21</f>
        <v>0.75</v>
      </c>
      <c r="I5" s="2">
        <f>'INPUT DATA'!G21</f>
        <v>0.9</v>
      </c>
      <c r="J5" s="2">
        <f>'INPUT DATA'!H21</f>
        <v>1</v>
      </c>
      <c r="K5" s="2">
        <f>'INPUT DATA'!I21</f>
        <v>1.1000000000000001</v>
      </c>
      <c r="L5" s="2"/>
      <c r="M5" s="2"/>
      <c r="N5" s="2"/>
      <c r="O5" s="2" t="str">
        <f>'INPUT DATA'!M21</f>
        <v>Load</v>
      </c>
      <c r="P5" s="2"/>
      <c r="Q5" s="2">
        <f>'INPUT DATA'!O21</f>
        <v>0.75</v>
      </c>
      <c r="R5" s="2">
        <f>'INPUT DATA'!P21</f>
        <v>0.75</v>
      </c>
      <c r="S5" s="2">
        <f>'INPUT DATA'!Q21</f>
        <v>0.9</v>
      </c>
      <c r="T5" s="2">
        <f>'INPUT DATA'!R21</f>
        <v>0.9</v>
      </c>
      <c r="U5" s="2">
        <f>'INPUT DATA'!S21</f>
        <v>1</v>
      </c>
      <c r="V5" s="2" t="e">
        <f>'INPUT DATA'!#REF!</f>
        <v>#REF!</v>
      </c>
      <c r="W5" s="2"/>
      <c r="X5" s="2"/>
      <c r="Y5" s="2"/>
      <c r="Z5" s="2"/>
      <c r="AA5" s="2" t="str">
        <f>'INPUT DATA'!X21</f>
        <v>Load</v>
      </c>
      <c r="AB5" s="2"/>
      <c r="AC5" s="2">
        <f>'INPUT DATA'!Z21</f>
        <v>0.75900000000000001</v>
      </c>
      <c r="AD5" s="2">
        <f>'INPUT DATA'!AA21</f>
        <v>0.69499999999999995</v>
      </c>
      <c r="AE5" s="2">
        <f>'INPUT DATA'!AB21</f>
        <v>0.72</v>
      </c>
      <c r="AF5" s="2">
        <f>'INPUT DATA'!AC21</f>
        <v>0.57099999999999995</v>
      </c>
      <c r="AG5" s="2">
        <f>'INPUT DATA'!AD21</f>
        <v>0.71099999999999997</v>
      </c>
      <c r="AH5" s="2">
        <f>'INPUT DATA'!AE21</f>
        <v>0.75</v>
      </c>
      <c r="AI5" s="2">
        <f>'INPUT DATA'!AF21</f>
        <v>0.72</v>
      </c>
      <c r="AJ5" s="2">
        <f>'INPUT DATA'!AG21</f>
        <v>0.753</v>
      </c>
      <c r="AK5" s="2">
        <f>'INPUT DATA'!AH21</f>
        <v>0.749</v>
      </c>
      <c r="AL5" s="2">
        <f>'INPUT DATA'!AI21</f>
        <v>0.745</v>
      </c>
      <c r="AM5" s="2"/>
    </row>
    <row r="6" spans="1:39">
      <c r="A6">
        <v>1</v>
      </c>
      <c r="B6" t="s">
        <v>133</v>
      </c>
      <c r="D6" t="s">
        <v>7</v>
      </c>
      <c r="E6" t="s">
        <v>14</v>
      </c>
      <c r="F6">
        <f>'INPUT DATA'!D27</f>
        <v>57.4</v>
      </c>
      <c r="G6" s="11">
        <f>'INPUT DATA'!E27</f>
        <v>72.3</v>
      </c>
      <c r="H6" s="11">
        <f>'INPUT DATA'!F27</f>
        <v>82.6</v>
      </c>
      <c r="I6" s="11">
        <f>'INPUT DATA'!G27</f>
        <v>87.9</v>
      </c>
      <c r="J6" s="11">
        <f>'INPUT DATA'!H27</f>
        <v>91</v>
      </c>
      <c r="K6" s="11">
        <f>'INPUT DATA'!I27</f>
        <v>93.9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85.9</v>
      </c>
      <c r="R6" s="11">
        <f>'INPUT DATA'!P27</f>
        <v>85.9</v>
      </c>
      <c r="S6" s="11">
        <f>'INPUT DATA'!Q27</f>
        <v>90.9</v>
      </c>
      <c r="T6" s="11">
        <f>'INPUT DATA'!R27</f>
        <v>90.69</v>
      </c>
      <c r="U6" s="11">
        <f>'INPUT DATA'!S27</f>
        <v>94.09</v>
      </c>
      <c r="V6" s="11" t="e">
        <f>'INPUT DATA'!#REF!</f>
        <v>#REF!</v>
      </c>
      <c r="W6" s="11"/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11">
        <f>'INPUT DATA'!Z27</f>
        <v>90.4</v>
      </c>
      <c r="AD6" s="11">
        <f>'INPUT DATA'!AA27</f>
        <v>87.2</v>
      </c>
      <c r="AE6" s="11">
        <f>'INPUT DATA'!AB27</f>
        <v>89.3</v>
      </c>
      <c r="AF6" s="11">
        <f>'INPUT DATA'!AC27</f>
        <v>82.1</v>
      </c>
      <c r="AG6" s="11">
        <f>'INPUT DATA'!AD27</f>
        <v>89.3</v>
      </c>
      <c r="AH6" s="11">
        <f>'INPUT DATA'!AE27</f>
        <v>90.4</v>
      </c>
      <c r="AI6" s="11">
        <f>'INPUT DATA'!AF27</f>
        <v>90.3</v>
      </c>
      <c r="AJ6" s="11">
        <f>'INPUT DATA'!AG27</f>
        <v>90.7</v>
      </c>
      <c r="AK6" s="11">
        <f>'INPUT DATA'!AH27</f>
        <v>90.8</v>
      </c>
      <c r="AL6" s="11">
        <f>'INPUT DATA'!AI27</f>
        <v>90.8</v>
      </c>
      <c r="AM6" s="11"/>
    </row>
    <row r="7" spans="1:39">
      <c r="A7">
        <v>2</v>
      </c>
      <c r="B7" t="s">
        <v>134</v>
      </c>
      <c r="D7" t="s">
        <v>130</v>
      </c>
      <c r="E7" t="s">
        <v>20</v>
      </c>
      <c r="F7">
        <f>'INPUT DATA'!D211</f>
        <v>1.0100933836999999</v>
      </c>
      <c r="G7" s="11">
        <f>'INPUT DATA'!E211</f>
        <v>1.0089441404200001</v>
      </c>
      <c r="H7" s="11">
        <f>'INPUT DATA'!F211</f>
        <v>1.0069045974699999</v>
      </c>
      <c r="I7" s="11">
        <f>'INPUT DATA'!G211</f>
        <v>1.0056986197700002</v>
      </c>
      <c r="J7" s="11">
        <f>'INPUT DATA'!H211</f>
        <v>1.0050611875200002</v>
      </c>
      <c r="K7" s="11">
        <f>'INPUT DATA'!I211</f>
        <v>1.0044727885200002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1.01061939582</v>
      </c>
      <c r="R7" s="11">
        <f>'INPUT DATA'!P211</f>
        <v>1.0107174623200001</v>
      </c>
      <c r="S7" s="11">
        <f>'INPUT DATA'!Q211</f>
        <v>1.00934453132</v>
      </c>
      <c r="T7" s="11">
        <f>'INPUT DATA'!R211</f>
        <v>1.0100800300700001</v>
      </c>
      <c r="U7" s="11">
        <f>'INPUT DATA'!S211</f>
        <v>1.0086090325700001</v>
      </c>
      <c r="V7" s="11" t="e">
        <f>'INPUT DATA'!#REF!</f>
        <v>#REF!</v>
      </c>
      <c r="W7" s="11"/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11">
        <f>'INPUT DATA'!Z211</f>
        <v>-8.0904862500000008E-3</v>
      </c>
      <c r="AD7" s="11">
        <f>'INPUT DATA'!AA211</f>
        <v>-8.0904862500000008E-3</v>
      </c>
      <c r="AE7" s="11">
        <f>'INPUT DATA'!AB211</f>
        <v>-7.1098212500000004E-3</v>
      </c>
      <c r="AF7" s="11">
        <f>'INPUT DATA'!AC211</f>
        <v>-6.3743224999999997E-3</v>
      </c>
      <c r="AG7" s="11">
        <f>'INPUT DATA'!AD211</f>
        <v>-5.8839900000000004E-3</v>
      </c>
      <c r="AH7" s="11">
        <f>'INPUT DATA'!AE211</f>
        <v>-4.6581587500000004E-3</v>
      </c>
      <c r="AI7" s="11">
        <f>'INPUT DATA'!AF211</f>
        <v>-5.4426907499999996E-3</v>
      </c>
      <c r="AJ7" s="11">
        <f>'INPUT DATA'!AG211</f>
        <v>-7.6001537499999997E-3</v>
      </c>
      <c r="AK7" s="11">
        <f>'INPUT DATA'!AH211</f>
        <v>-3.67749375E-3</v>
      </c>
      <c r="AL7" s="11">
        <f>'INPUT DATA'!AI211</f>
        <v>-3.9226599999999997E-3</v>
      </c>
      <c r="AM7" s="11"/>
    </row>
    <row r="8" spans="1:39">
      <c r="A8">
        <v>3</v>
      </c>
      <c r="B8" s="11" t="s">
        <v>134</v>
      </c>
      <c r="D8" s="11" t="s">
        <v>131</v>
      </c>
      <c r="E8" t="s">
        <v>77</v>
      </c>
      <c r="F8" s="11">
        <f>'INPUT DATA'!D212</f>
        <v>287.29999999999995</v>
      </c>
      <c r="G8" s="11">
        <f>'INPUT DATA'!E212</f>
        <v>288.34999999999997</v>
      </c>
      <c r="H8" s="11">
        <f>'INPUT DATA'!F212</f>
        <v>289.29999999999995</v>
      </c>
      <c r="I8" s="11">
        <f>'INPUT DATA'!G212</f>
        <v>291.5</v>
      </c>
      <c r="J8" s="11">
        <f>'INPUT DATA'!H212</f>
        <v>290.59999999999997</v>
      </c>
      <c r="K8" s="11">
        <f>'INPUT DATA'!I212</f>
        <v>291.7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309.89999999999998</v>
      </c>
      <c r="R8" s="11">
        <f>'INPUT DATA'!P212</f>
        <v>310.39999999999998</v>
      </c>
      <c r="S8" s="11">
        <f>'INPUT DATA'!Q212</f>
        <v>310.39999999999998</v>
      </c>
      <c r="T8" s="11">
        <f>'INPUT DATA'!R212</f>
        <v>310.39999999999998</v>
      </c>
      <c r="U8" s="11">
        <f>'INPUT DATA'!S212</f>
        <v>310.39999999999998</v>
      </c>
      <c r="V8" s="11" t="e">
        <f>'INPUT DATA'!#REF!</f>
        <v>#REF!</v>
      </c>
      <c r="W8" s="11"/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11">
        <f>'INPUT DATA'!Z212</f>
        <v>304.14999999999998</v>
      </c>
      <c r="AD8" s="11">
        <f>'INPUT DATA'!AA212</f>
        <v>301.14999999999998</v>
      </c>
      <c r="AE8" s="11">
        <f>'INPUT DATA'!AB212</f>
        <v>303.14999999999998</v>
      </c>
      <c r="AF8" s="11">
        <f>'INPUT DATA'!AC212</f>
        <v>297.14999999999998</v>
      </c>
      <c r="AG8" s="11">
        <f>'INPUT DATA'!AD212</f>
        <v>311.14999999999998</v>
      </c>
      <c r="AH8" s="11">
        <f>'INPUT DATA'!AE212</f>
        <v>301.14999999999998</v>
      </c>
      <c r="AI8" s="11">
        <f>'INPUT DATA'!AF212</f>
        <v>306.64999999999998</v>
      </c>
      <c r="AJ8" s="11">
        <f>'INPUT DATA'!AG212</f>
        <v>309.14999999999998</v>
      </c>
      <c r="AK8" s="11">
        <f>'INPUT DATA'!AH212</f>
        <v>308.14999999999998</v>
      </c>
      <c r="AL8" s="11">
        <f>'INPUT DATA'!AI212</f>
        <v>312.14999999999998</v>
      </c>
      <c r="AM8" s="11"/>
    </row>
    <row r="9" spans="1:39">
      <c r="A9" s="11">
        <v>4</v>
      </c>
      <c r="B9" t="s">
        <v>135</v>
      </c>
      <c r="C9" s="11" t="s">
        <v>136</v>
      </c>
      <c r="D9" t="s">
        <v>127</v>
      </c>
      <c r="E9" t="s">
        <v>15</v>
      </c>
      <c r="F9">
        <f>'INPUT DATA'!D84</f>
        <v>0</v>
      </c>
      <c r="G9" s="11">
        <f>'INPUT DATA'!E84</f>
        <v>0</v>
      </c>
      <c r="H9" s="11">
        <f>'INPUT DATA'!F84</f>
        <v>0</v>
      </c>
      <c r="I9" s="11">
        <f>'INPUT DATA'!G84</f>
        <v>0</v>
      </c>
      <c r="J9" s="11">
        <f>'INPUT DATA'!H84</f>
        <v>0</v>
      </c>
      <c r="K9" s="11">
        <f>'INPUT DATA'!I84</f>
        <v>0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1">
        <f>'INPUT DATA'!O84</f>
        <v>0</v>
      </c>
      <c r="R9" s="11">
        <f>'INPUT DATA'!P84</f>
        <v>0</v>
      </c>
      <c r="S9" s="11">
        <f>'INPUT DATA'!Q84</f>
        <v>0</v>
      </c>
      <c r="T9" s="11">
        <f>'INPUT DATA'!R84</f>
        <v>0</v>
      </c>
      <c r="U9" s="11">
        <f>'INPUT DATA'!S84</f>
        <v>0</v>
      </c>
      <c r="V9" s="11" t="e">
        <f>'INPUT DATA'!#REF!</f>
        <v>#REF!</v>
      </c>
      <c r="W9" s="11"/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11">
        <f>'INPUT DATA'!Z84</f>
        <v>0</v>
      </c>
      <c r="AD9" s="11">
        <f>'INPUT DATA'!AA84</f>
        <v>0</v>
      </c>
      <c r="AE9" s="11">
        <f>'INPUT DATA'!AB84</f>
        <v>0</v>
      </c>
      <c r="AF9" s="11">
        <f>'INPUT DATA'!AC84</f>
        <v>0</v>
      </c>
      <c r="AG9" s="11">
        <f>'INPUT DATA'!AD84</f>
        <v>0</v>
      </c>
      <c r="AH9" s="11">
        <f>'INPUT DATA'!AE84</f>
        <v>0</v>
      </c>
      <c r="AI9" s="11">
        <f>'INPUT DATA'!AF84</f>
        <v>0</v>
      </c>
      <c r="AJ9" s="11">
        <f>'INPUT DATA'!AG84</f>
        <v>0</v>
      </c>
      <c r="AK9" s="11">
        <f>'INPUT DATA'!AH84</f>
        <v>0</v>
      </c>
      <c r="AL9" s="11">
        <f>'INPUT DATA'!AI84</f>
        <v>0</v>
      </c>
      <c r="AM9" s="11"/>
    </row>
    <row r="10" spans="1:39">
      <c r="A10" s="11">
        <v>5</v>
      </c>
      <c r="B10" s="11" t="s">
        <v>135</v>
      </c>
      <c r="C10" s="11" t="s">
        <v>137</v>
      </c>
      <c r="D10" t="s">
        <v>128</v>
      </c>
      <c r="E10" t="s">
        <v>15</v>
      </c>
      <c r="F10" s="11">
        <f>'INPUT DATA'!D97</f>
        <v>0</v>
      </c>
      <c r="G10" s="11">
        <f>'INPUT DATA'!E97</f>
        <v>0</v>
      </c>
      <c r="H10" s="11">
        <f>'INPUT DATA'!F97</f>
        <v>0</v>
      </c>
      <c r="I10" s="11">
        <f>'INPUT DATA'!G97</f>
        <v>0</v>
      </c>
      <c r="J10" s="11">
        <f>'INPUT DATA'!H97</f>
        <v>0</v>
      </c>
      <c r="K10" s="11">
        <f>'INPUT DATA'!I97</f>
        <v>0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1">
        <f>'INPUT DATA'!O97</f>
        <v>0</v>
      </c>
      <c r="R10" s="11">
        <f>'INPUT DATA'!P97</f>
        <v>0</v>
      </c>
      <c r="S10" s="11">
        <f>'INPUT DATA'!Q97</f>
        <v>0</v>
      </c>
      <c r="T10" s="11">
        <f>'INPUT DATA'!R97</f>
        <v>0</v>
      </c>
      <c r="U10" s="11">
        <f>'INPUT DATA'!S97</f>
        <v>0</v>
      </c>
      <c r="V10" s="11" t="e">
        <f>'INPUT DATA'!#REF!</f>
        <v>#REF!</v>
      </c>
      <c r="W10" s="11"/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11">
        <f>'INPUT DATA'!Z97</f>
        <v>0</v>
      </c>
      <c r="AD10" s="11">
        <f>'INPUT DATA'!AA97</f>
        <v>0</v>
      </c>
      <c r="AE10" s="11">
        <f>'INPUT DATA'!AB97</f>
        <v>0</v>
      </c>
      <c r="AF10" s="11">
        <f>'INPUT DATA'!AC97</f>
        <v>0</v>
      </c>
      <c r="AG10" s="11">
        <f>'INPUT DATA'!AD97</f>
        <v>0</v>
      </c>
      <c r="AH10" s="11">
        <f>'INPUT DATA'!AE97</f>
        <v>0</v>
      </c>
      <c r="AI10" s="11">
        <f>'INPUT DATA'!AF97</f>
        <v>0</v>
      </c>
      <c r="AJ10" s="11">
        <f>'INPUT DATA'!AG97</f>
        <v>0</v>
      </c>
      <c r="AK10" s="11">
        <f>'INPUT DATA'!AH97</f>
        <v>0</v>
      </c>
      <c r="AL10" s="11">
        <f>'INPUT DATA'!AI97</f>
        <v>0</v>
      </c>
      <c r="AM10" s="11"/>
    </row>
    <row r="11" spans="1:39">
      <c r="A11" s="11">
        <v>6</v>
      </c>
      <c r="B11" s="11" t="s">
        <v>135</v>
      </c>
      <c r="C11" s="11" t="s">
        <v>138</v>
      </c>
      <c r="D11" s="27" t="s">
        <v>129</v>
      </c>
      <c r="E11" t="s">
        <v>77</v>
      </c>
      <c r="F11">
        <f>'INPUT DATA'!D208</f>
        <v>300.14999999999998</v>
      </c>
      <c r="G11" s="11">
        <f>'INPUT DATA'!E208</f>
        <v>299.14999999999998</v>
      </c>
      <c r="H11" s="11">
        <f>'INPUT DATA'!F208</f>
        <v>299.14999999999998</v>
      </c>
      <c r="I11" s="11">
        <f>'INPUT DATA'!G208</f>
        <v>300.14999999999998</v>
      </c>
      <c r="J11" s="11">
        <f>'INPUT DATA'!H208</f>
        <v>300.14999999999998</v>
      </c>
      <c r="K11" s="11">
        <f>'INPUT DATA'!I208</f>
        <v>301.14999999999998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309.14999999999998</v>
      </c>
      <c r="R11" s="11">
        <f>'INPUT DATA'!P208</f>
        <v>309.14999999999998</v>
      </c>
      <c r="S11" s="11">
        <f>'INPUT DATA'!Q208</f>
        <v>309.14999999999998</v>
      </c>
      <c r="T11" s="11">
        <f>'INPUT DATA'!R208</f>
        <v>309.14999999999998</v>
      </c>
      <c r="U11" s="11">
        <f>'INPUT DATA'!S208</f>
        <v>309.14999999999998</v>
      </c>
      <c r="V11" s="11" t="e">
        <f>'INPUT DATA'!#REF!</f>
        <v>#REF!</v>
      </c>
      <c r="W11" s="11"/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11">
        <f>'INPUT DATA'!Z208</f>
        <v>309.14999999999998</v>
      </c>
      <c r="AD11" s="11">
        <f>'INPUT DATA'!AA208</f>
        <v>309.14999999999998</v>
      </c>
      <c r="AE11" s="11">
        <f>'INPUT DATA'!AB208</f>
        <v>309.14999999999998</v>
      </c>
      <c r="AF11" s="11">
        <f>'INPUT DATA'!AC208</f>
        <v>309.14999999999998</v>
      </c>
      <c r="AG11" s="11">
        <f>'INPUT DATA'!AD208</f>
        <v>312.14999999999998</v>
      </c>
      <c r="AH11" s="11">
        <f>'INPUT DATA'!AE208</f>
        <v>311.14999999999998</v>
      </c>
      <c r="AI11" s="11">
        <f>'INPUT DATA'!AF208</f>
        <v>309.14999999999998</v>
      </c>
      <c r="AJ11" s="11">
        <f>'INPUT DATA'!AG208</f>
        <v>307.14999999999998</v>
      </c>
      <c r="AK11" s="11">
        <f>'INPUT DATA'!AH208</f>
        <v>307.14999999999998</v>
      </c>
      <c r="AL11" s="11">
        <f>'INPUT DATA'!AI208</f>
        <v>306.14999999999998</v>
      </c>
      <c r="AM11" s="11"/>
    </row>
    <row r="12" spans="1:39">
      <c r="A12" s="11">
        <v>7</v>
      </c>
      <c r="B12" s="11" t="s">
        <v>135</v>
      </c>
      <c r="C12" s="11" t="s">
        <v>139</v>
      </c>
      <c r="D12" t="s">
        <v>92</v>
      </c>
      <c r="E12" t="s">
        <v>77</v>
      </c>
      <c r="F12" s="16">
        <f>'INPUT DATA'!D188</f>
        <v>283.54999999999995</v>
      </c>
      <c r="G12" s="16">
        <f>'INPUT DATA'!E188</f>
        <v>283.45</v>
      </c>
      <c r="H12" s="16">
        <f>'INPUT DATA'!F188</f>
        <v>283.75</v>
      </c>
      <c r="I12" s="16">
        <f>'INPUT DATA'!G188</f>
        <v>283.84999999999997</v>
      </c>
      <c r="J12" s="16">
        <f>'INPUT DATA'!H188</f>
        <v>283.95</v>
      </c>
      <c r="K12" s="16">
        <f>'INPUT DATA'!I188</f>
        <v>283.84999999999997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307.14999999999998</v>
      </c>
      <c r="R12" s="16">
        <f>'INPUT DATA'!P188</f>
        <v>309.14999999999998</v>
      </c>
      <c r="S12" s="16">
        <f>'INPUT DATA'!Q188</f>
        <v>308.14999999999998</v>
      </c>
      <c r="T12" s="16">
        <f>'INPUT DATA'!R188</f>
        <v>308.14999999999998</v>
      </c>
      <c r="U12" s="16">
        <f>'INPUT DATA'!S188</f>
        <v>308.14999999999998</v>
      </c>
      <c r="V12" s="16" t="e">
        <f>'INPUT DATA'!#REF!</f>
        <v>#REF!</v>
      </c>
      <c r="W12" s="16"/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16">
        <f>'INPUT DATA'!Z188</f>
        <v>304.14999999999998</v>
      </c>
      <c r="AD12" s="16">
        <f>'INPUT DATA'!AA188</f>
        <v>291.14999999999998</v>
      </c>
      <c r="AE12" s="16">
        <f>'INPUT DATA'!AB188</f>
        <v>304.14999999999998</v>
      </c>
      <c r="AF12" s="16">
        <f>'INPUT DATA'!AC188</f>
        <v>297.14999999999998</v>
      </c>
      <c r="AG12" s="16">
        <f>'INPUT DATA'!AD188</f>
        <v>315.14999999999998</v>
      </c>
      <c r="AH12" s="16">
        <f>'INPUT DATA'!AE188</f>
        <v>301.14999999999998</v>
      </c>
      <c r="AI12" s="16">
        <f>'INPUT DATA'!AF188</f>
        <v>308.14999999999998</v>
      </c>
      <c r="AJ12" s="16">
        <f>'INPUT DATA'!AG188</f>
        <v>309.14999999999998</v>
      </c>
      <c r="AK12" s="16">
        <f>'INPUT DATA'!AH188</f>
        <v>309.14999999999998</v>
      </c>
      <c r="AL12" s="16">
        <f>'INPUT DATA'!AI188</f>
        <v>313.14999999999998</v>
      </c>
      <c r="AM12" s="16"/>
    </row>
    <row r="13" spans="1:39">
      <c r="A13" s="11">
        <v>8</v>
      </c>
      <c r="B13" s="11" t="s">
        <v>135</v>
      </c>
      <c r="C13" s="11" t="s">
        <v>140</v>
      </c>
      <c r="D13" t="s">
        <v>132</v>
      </c>
      <c r="E13" t="s">
        <v>77</v>
      </c>
      <c r="F13">
        <f>'INPUT DATA'!D223</f>
        <v>339.95</v>
      </c>
      <c r="G13" s="11">
        <f>'INPUT DATA'!E223</f>
        <v>344.15</v>
      </c>
      <c r="H13" s="11">
        <f>'INPUT DATA'!F223</f>
        <v>348.15</v>
      </c>
      <c r="I13" s="11">
        <f>'INPUT DATA'!G223</f>
        <v>348.15</v>
      </c>
      <c r="J13" s="11">
        <f>'INPUT DATA'!H223</f>
        <v>348.45</v>
      </c>
      <c r="K13" s="11">
        <f>'INPUT DATA'!I223</f>
        <v>348.45</v>
      </c>
      <c r="L13" s="11"/>
      <c r="M13" s="11"/>
      <c r="N13" s="11"/>
      <c r="O13" s="11" t="str">
        <f>'INPUT DATA'!M223</f>
        <v>Cooiling Water Temperature</v>
      </c>
      <c r="P13" s="11" t="str">
        <f>'INPUT DATA'!N223</f>
        <v>K</v>
      </c>
      <c r="Q13" s="11">
        <f>'INPUT DATA'!O223</f>
        <v>353.15</v>
      </c>
      <c r="R13" s="11">
        <f>'INPUT DATA'!P223</f>
        <v>353.15</v>
      </c>
      <c r="S13" s="11">
        <f>'INPUT DATA'!Q223</f>
        <v>353.15</v>
      </c>
      <c r="T13" s="11">
        <f>'INPUT DATA'!R223</f>
        <v>353.15</v>
      </c>
      <c r="U13" s="11">
        <f>'INPUT DATA'!S223</f>
        <v>353.15</v>
      </c>
      <c r="V13" s="11" t="e">
        <f>'INPUT DATA'!#REF!</f>
        <v>#REF!</v>
      </c>
      <c r="W13" s="11"/>
      <c r="X13" s="11"/>
      <c r="Y13" s="11"/>
      <c r="Z13" s="11"/>
      <c r="AA13" s="11" t="str">
        <f>'INPUT DATA'!X223</f>
        <v>Cooiling Water Temperature</v>
      </c>
      <c r="AB13" s="11" t="str">
        <f>'INPUT DATA'!Y223</f>
        <v>K</v>
      </c>
      <c r="AC13" s="11">
        <f>'INPUT DATA'!Z223</f>
        <v>354.15</v>
      </c>
      <c r="AD13" s="11">
        <f>'INPUT DATA'!AA223</f>
        <v>353.15</v>
      </c>
      <c r="AE13" s="11">
        <f>'INPUT DATA'!AB223</f>
        <v>353.15</v>
      </c>
      <c r="AF13" s="11">
        <f>'INPUT DATA'!AC223</f>
        <v>353.15</v>
      </c>
      <c r="AG13" s="11">
        <f>'INPUT DATA'!AD223</f>
        <v>351.15</v>
      </c>
      <c r="AH13" s="11">
        <f>'INPUT DATA'!AE223</f>
        <v>354.15</v>
      </c>
      <c r="AI13" s="11">
        <f>'INPUT DATA'!AF223</f>
        <v>354.15</v>
      </c>
      <c r="AJ13" s="11">
        <f>'INPUT DATA'!AG223</f>
        <v>354.15</v>
      </c>
      <c r="AK13" s="11">
        <f>'INPUT DATA'!AH223</f>
        <v>354.15</v>
      </c>
      <c r="AL13" s="11">
        <f>'INPUT DATA'!AI223</f>
        <v>354.15</v>
      </c>
      <c r="AM13" s="11"/>
    </row>
    <row r="14" spans="1:39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>
      <c r="F15" s="3">
        <f>F4</f>
        <v>38763</v>
      </c>
      <c r="G15" s="3">
        <f t="shared" ref="G15:K15" si="0">G4</f>
        <v>38763</v>
      </c>
      <c r="H15" s="3">
        <f t="shared" si="0"/>
        <v>38763</v>
      </c>
      <c r="I15" s="3">
        <f t="shared" si="0"/>
        <v>38763</v>
      </c>
      <c r="J15" s="3">
        <f t="shared" si="0"/>
        <v>38763</v>
      </c>
      <c r="K15" s="3">
        <f t="shared" si="0"/>
        <v>38763</v>
      </c>
      <c r="L15" s="3"/>
      <c r="M15" s="3"/>
      <c r="N15" s="3"/>
      <c r="O15" s="3" t="str">
        <f t="shared" ref="O15:AG15" si="1">O4</f>
        <v>DATE</v>
      </c>
      <c r="P15" s="3"/>
      <c r="Q15" s="3">
        <f t="shared" si="1"/>
        <v>38898</v>
      </c>
      <c r="R15" s="3">
        <f t="shared" si="1"/>
        <v>38898</v>
      </c>
      <c r="S15" s="3">
        <f t="shared" si="1"/>
        <v>38898</v>
      </c>
      <c r="T15" s="3">
        <f t="shared" si="1"/>
        <v>38898</v>
      </c>
      <c r="U15" s="3">
        <f t="shared" si="1"/>
        <v>38898</v>
      </c>
      <c r="V15" s="3" t="e">
        <f t="shared" si="1"/>
        <v>#REF!</v>
      </c>
      <c r="W15" s="3"/>
      <c r="X15" s="3"/>
      <c r="Y15" s="3"/>
      <c r="Z15" s="3"/>
      <c r="AA15" s="3" t="str">
        <f t="shared" si="1"/>
        <v>DATE</v>
      </c>
      <c r="AB15" s="3"/>
      <c r="AC15" s="3">
        <f t="shared" si="1"/>
        <v>39111</v>
      </c>
      <c r="AD15" s="3">
        <f t="shared" si="1"/>
        <v>39136</v>
      </c>
      <c r="AE15" s="3">
        <f t="shared" si="1"/>
        <v>39172</v>
      </c>
      <c r="AF15" s="3">
        <f t="shared" si="1"/>
        <v>39198</v>
      </c>
      <c r="AG15" s="3">
        <f t="shared" si="1"/>
        <v>39227</v>
      </c>
      <c r="AH15" s="3">
        <f t="shared" ref="AH15:AL15" si="2">AH4</f>
        <v>39259</v>
      </c>
      <c r="AI15" s="3">
        <f t="shared" si="2"/>
        <v>39283</v>
      </c>
      <c r="AJ15" s="3">
        <f t="shared" si="2"/>
        <v>39306</v>
      </c>
      <c r="AK15" s="3">
        <f t="shared" si="2"/>
        <v>39336</v>
      </c>
      <c r="AL15" s="3">
        <f t="shared" si="2"/>
        <v>39382</v>
      </c>
      <c r="AM15" s="3"/>
    </row>
    <row r="16" spans="1:39" ht="15.75">
      <c r="B16" s="29" t="s">
        <v>146</v>
      </c>
      <c r="F16" s="2">
        <f>F5</f>
        <v>0.25</v>
      </c>
      <c r="G16" s="2">
        <f t="shared" ref="G16:K16" si="3">G5</f>
        <v>0.5</v>
      </c>
      <c r="H16" s="2">
        <f t="shared" si="3"/>
        <v>0.75</v>
      </c>
      <c r="I16" s="2">
        <f t="shared" si="3"/>
        <v>0.9</v>
      </c>
      <c r="J16" s="2">
        <f t="shared" si="3"/>
        <v>1</v>
      </c>
      <c r="K16" s="2">
        <f t="shared" si="3"/>
        <v>1.1000000000000001</v>
      </c>
      <c r="L16" s="2"/>
      <c r="M16" s="2"/>
      <c r="N16" s="2"/>
      <c r="O16" s="2" t="str">
        <f t="shared" ref="O16:AG16" si="4">O5</f>
        <v>Load</v>
      </c>
      <c r="P16" s="2"/>
      <c r="Q16" s="2">
        <f t="shared" si="4"/>
        <v>0.75</v>
      </c>
      <c r="R16" s="2">
        <f t="shared" si="4"/>
        <v>0.75</v>
      </c>
      <c r="S16" s="2">
        <f t="shared" si="4"/>
        <v>0.9</v>
      </c>
      <c r="T16" s="2">
        <f t="shared" si="4"/>
        <v>0.9</v>
      </c>
      <c r="U16" s="2">
        <f t="shared" si="4"/>
        <v>1</v>
      </c>
      <c r="V16" s="2" t="e">
        <f t="shared" si="4"/>
        <v>#REF!</v>
      </c>
      <c r="W16" s="2"/>
      <c r="X16" s="2"/>
      <c r="Y16" s="2"/>
      <c r="Z16" s="2"/>
      <c r="AA16" s="2" t="str">
        <f t="shared" si="4"/>
        <v>Load</v>
      </c>
      <c r="AB16" s="2"/>
      <c r="AC16" s="2">
        <f t="shared" si="4"/>
        <v>0.75900000000000001</v>
      </c>
      <c r="AD16" s="2">
        <f t="shared" si="4"/>
        <v>0.69499999999999995</v>
      </c>
      <c r="AE16" s="2">
        <f t="shared" si="4"/>
        <v>0.72</v>
      </c>
      <c r="AF16" s="2">
        <f t="shared" si="4"/>
        <v>0.57099999999999995</v>
      </c>
      <c r="AG16" s="2">
        <f t="shared" si="4"/>
        <v>0.71099999999999997</v>
      </c>
      <c r="AH16" s="2">
        <f t="shared" ref="AH16:AL16" si="5">AH5</f>
        <v>0.75</v>
      </c>
      <c r="AI16" s="2">
        <f t="shared" si="5"/>
        <v>0.72</v>
      </c>
      <c r="AJ16" s="2">
        <f t="shared" si="5"/>
        <v>0.753</v>
      </c>
      <c r="AK16" s="2">
        <f t="shared" si="5"/>
        <v>0.749</v>
      </c>
      <c r="AL16" s="2">
        <f t="shared" si="5"/>
        <v>0.745</v>
      </c>
      <c r="AM16" s="2"/>
    </row>
    <row r="17" spans="1:39">
      <c r="A17" s="11">
        <v>1</v>
      </c>
      <c r="B17" t="s">
        <v>148</v>
      </c>
      <c r="D17" t="s">
        <v>157</v>
      </c>
      <c r="E17" t="s">
        <v>84</v>
      </c>
      <c r="F17" s="9">
        <f>'INPUT DATA'!D227</f>
        <v>4313.1280596480001</v>
      </c>
      <c r="G17" s="9">
        <f>'INPUT DATA'!E227</f>
        <v>8474.8790452800004</v>
      </c>
      <c r="H17" s="9">
        <f>'INPUT DATA'!F227</f>
        <v>12761.161909536</v>
      </c>
      <c r="I17" s="9">
        <f>'INPUT DATA'!G227</f>
        <v>15376.331360639999</v>
      </c>
      <c r="J17" s="9">
        <f>'INPUT DATA'!H227</f>
        <v>17120.523361248001</v>
      </c>
      <c r="K17" s="9">
        <f>'INPUT DATA'!I227</f>
        <v>18731.98078464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13161.602740799999</v>
      </c>
      <c r="R17" s="9">
        <f>'INPUT DATA'!P227</f>
        <v>12498.675554592</v>
      </c>
      <c r="S17" s="9">
        <f>'INPUT DATA'!Q227</f>
        <v>15498.626139648</v>
      </c>
      <c r="T17" s="9">
        <f>'INPUT DATA'!R227</f>
        <v>14670.153581856001</v>
      </c>
      <c r="U17" s="9">
        <f>'INPUT DATA'!S227</f>
        <v>17081.001268032</v>
      </c>
      <c r="V17" s="9" t="e">
        <f>'INPUT DATA'!#REF!</f>
        <v>#REF!</v>
      </c>
      <c r="W17" s="9"/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12975.923472672001</v>
      </c>
      <c r="AD17" s="9">
        <f>'INPUT DATA'!AA227</f>
        <v>11878.99896096</v>
      </c>
      <c r="AE17" s="9">
        <f>'INPUT DATA'!AB227</f>
        <v>12309.267787104</v>
      </c>
      <c r="AF17" s="9">
        <f>'INPUT DATA'!AC227</f>
        <v>9765.6855237119998</v>
      </c>
      <c r="AG17" s="9">
        <f>'INPUT DATA'!AD227</f>
        <v>12155.653613471999</v>
      </c>
      <c r="AH17" s="9">
        <f>'INPUT DATA'!AE227</f>
        <v>12820.072199423999</v>
      </c>
      <c r="AI17" s="9">
        <f>'INPUT DATA'!AF227</f>
        <v>12284.659691327999</v>
      </c>
      <c r="AJ17" s="9">
        <f>'INPUT DATA'!AG227</f>
        <v>12865.559891616</v>
      </c>
      <c r="AK17" s="9">
        <f>'INPUT DATA'!AH227</f>
        <v>12796.955503392001</v>
      </c>
      <c r="AL17" s="9">
        <f>'INPUT DATA'!AI227</f>
        <v>12732.825314399999</v>
      </c>
      <c r="AM17" s="9"/>
    </row>
    <row r="18" spans="1:39">
      <c r="A18" s="11">
        <v>2</v>
      </c>
      <c r="B18" t="s">
        <v>11</v>
      </c>
      <c r="D18" t="s">
        <v>158</v>
      </c>
      <c r="E18" t="s">
        <v>84</v>
      </c>
      <c r="F18" s="9">
        <f>'INPUT DATA'!D234</f>
        <v>4949.9557503360002</v>
      </c>
      <c r="G18" s="9">
        <f>'INPUT DATA'!E234</f>
        <v>9275.760707808</v>
      </c>
      <c r="H18" s="9">
        <f>'INPUT DATA'!F234</f>
        <v>13671.661453248</v>
      </c>
      <c r="I18" s="9">
        <f>'INPUT DATA'!G234</f>
        <v>16352.452493088</v>
      </c>
      <c r="J18" s="9">
        <f>'INPUT DATA'!H234</f>
        <v>18127.218188448001</v>
      </c>
      <c r="K18" s="9">
        <f>'INPUT DATA'!I234</f>
        <v>19830.396696095999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 t="e">
        <f>'INPUT DATA'!#REF!</f>
        <v>#REF!</v>
      </c>
      <c r="W18" s="9"/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13963.2301032</v>
      </c>
      <c r="AD18" s="9">
        <f>'INPUT DATA'!AA234</f>
        <v>12831.257697503999</v>
      </c>
      <c r="AE18" s="9">
        <f>'INPUT DATA'!AB234</f>
        <v>13284.64321968</v>
      </c>
      <c r="AF18" s="9">
        <f>'INPUT DATA'!AC234</f>
        <v>10662.762469727999</v>
      </c>
      <c r="AG18" s="9">
        <f>'INPUT DATA'!AD234</f>
        <v>13131.029046047999</v>
      </c>
      <c r="AH18" s="9">
        <f>'INPUT DATA'!AE234</f>
        <v>13539.672575904</v>
      </c>
      <c r="AI18" s="9">
        <f>'INPUT DATA'!AF234</f>
        <v>13271.220621983999</v>
      </c>
      <c r="AJ18" s="9">
        <f>'INPUT DATA'!AG234</f>
        <v>13856.595021503999</v>
      </c>
      <c r="AK18" s="9">
        <f>'INPUT DATA'!AH234</f>
        <v>13788.736333151999</v>
      </c>
      <c r="AL18" s="9">
        <f>'INPUT DATA'!AI234</f>
        <v>13725.351844032</v>
      </c>
      <c r="AM18" s="9"/>
    </row>
    <row r="19" spans="1:39">
      <c r="A19" s="11">
        <v>3</v>
      </c>
      <c r="B19" t="s">
        <v>156</v>
      </c>
      <c r="D19" t="s">
        <v>39</v>
      </c>
      <c r="E19" t="s">
        <v>89</v>
      </c>
      <c r="F19" s="16">
        <f>'INPUT DATA'!D233</f>
        <v>179.7590976093482</v>
      </c>
      <c r="G19" s="16">
        <f>'INPUT DATA'!E233</f>
        <v>170.73226806148489</v>
      </c>
      <c r="H19" s="16">
        <f>'INPUT DATA'!F233</f>
        <v>168.29436519089404</v>
      </c>
      <c r="I19" s="16">
        <f>'INPUT DATA'!G233</f>
        <v>167.70136178993957</v>
      </c>
      <c r="J19" s="16">
        <f>'INPUT DATA'!H233</f>
        <v>168.87419073849404</v>
      </c>
      <c r="K19" s="16">
        <f>'INPUT DATA'!I233</f>
        <v>170.99582512857575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0</v>
      </c>
      <c r="V19" s="16" t="e">
        <f>'INPUT DATA'!#REF!</f>
        <v>#REF!</v>
      </c>
      <c r="W19" s="16"/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>
        <f>'INPUT DATA'!Z233</f>
        <v>196.1497620573769</v>
      </c>
      <c r="AD19" s="16">
        <f>'INPUT DATA'!AA233</f>
        <v>196.40785384955763</v>
      </c>
      <c r="AE19" s="16">
        <f>'INPUT DATA'!AB233</f>
        <v>192.39414647254557</v>
      </c>
      <c r="AF19" s="16">
        <f>'INPUT DATA'!AC233</f>
        <v>193.02916911040086</v>
      </c>
      <c r="AG19" s="16">
        <f>'INPUT DATA'!AD233</f>
        <v>211.4229672622134</v>
      </c>
      <c r="AH19" s="16">
        <f>'INPUT DATA'!AE233</f>
        <v>200.05417770443165</v>
      </c>
      <c r="AI19" s="16">
        <f>'INPUT DATA'!AF233</f>
        <v>203.42733504575156</v>
      </c>
      <c r="AJ19" s="16">
        <f>'INPUT DATA'!AG233</f>
        <v>199.52662526770104</v>
      </c>
      <c r="AK19" s="16">
        <f>'INPUT DATA'!AH233</f>
        <v>200.42746549244097</v>
      </c>
      <c r="AL19" s="16">
        <f>'INPUT DATA'!AI233</f>
        <v>194.9500654814089</v>
      </c>
      <c r="AM19" s="16"/>
    </row>
    <row r="20" spans="1:39">
      <c r="A20" s="11">
        <v>4</v>
      </c>
      <c r="B20" t="s">
        <v>19</v>
      </c>
      <c r="D20" t="s">
        <v>19</v>
      </c>
      <c r="E20" t="s">
        <v>20</v>
      </c>
      <c r="F20" s="18">
        <f>'INPUT DATA'!D240</f>
        <v>76.093917049533331</v>
      </c>
      <c r="G20" s="18">
        <f>'INPUT DATA'!E240</f>
        <v>103.76031707142</v>
      </c>
      <c r="H20" s="18">
        <f>'INPUT DATA'!F240</f>
        <v>135.34298379280335</v>
      </c>
      <c r="I20" s="18">
        <f>'INPUT DATA'!G240</f>
        <v>151.00898384752</v>
      </c>
      <c r="J20" s="18">
        <f>'INPUT DATA'!H240</f>
        <v>151.50898384752</v>
      </c>
      <c r="K20" s="18">
        <f>'INPUT DATA'!I240</f>
        <v>153.67565051418666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131.18165002173666</v>
      </c>
      <c r="R20" s="18">
        <f>'INPUT DATA'!P240</f>
        <v>130.34831668840334</v>
      </c>
      <c r="S20" s="18">
        <f>'INPUT DATA'!Q240</f>
        <v>146.34831668840334</v>
      </c>
      <c r="T20" s="18">
        <f>'INPUT DATA'!R240</f>
        <v>145.68165002173666</v>
      </c>
      <c r="U20" s="18">
        <f>'INPUT DATA'!S240</f>
        <v>146.68165002173666</v>
      </c>
      <c r="V20" s="18" t="e">
        <f>'INPUT DATA'!#REF!</f>
        <v>#REF!</v>
      </c>
      <c r="W20" s="18"/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136.5</v>
      </c>
      <c r="AD20" s="18">
        <f>'INPUT DATA'!AA240</f>
        <v>135.5</v>
      </c>
      <c r="AE20" s="18">
        <f>'INPUT DATA'!AB240</f>
        <v>134.16666666666666</v>
      </c>
      <c r="AF20" s="18">
        <f>'INPUT DATA'!AC240</f>
        <v>120.16666666666667</v>
      </c>
      <c r="AG20" s="18">
        <f>'INPUT DATA'!AD240</f>
        <v>128.83333333333334</v>
      </c>
      <c r="AH20" s="18">
        <f>'INPUT DATA'!AE240</f>
        <v>135.33333333333334</v>
      </c>
      <c r="AI20" s="18">
        <f>'INPUT DATA'!AF240</f>
        <v>126.16666666666667</v>
      </c>
      <c r="AJ20" s="18">
        <f>'INPUT DATA'!AG240</f>
        <v>129.16666666666666</v>
      </c>
      <c r="AK20" s="18">
        <f>'INPUT DATA'!AH240</f>
        <v>134</v>
      </c>
      <c r="AL20" s="18">
        <f>'INPUT DATA'!AI240</f>
        <v>132.33333333333334</v>
      </c>
      <c r="AM20" s="18"/>
    </row>
    <row r="21" spans="1:39">
      <c r="A21" s="11">
        <v>5</v>
      </c>
      <c r="B21" t="s">
        <v>21</v>
      </c>
      <c r="D21" t="s">
        <v>21</v>
      </c>
      <c r="E21" s="11" t="s">
        <v>20</v>
      </c>
      <c r="F21" s="18">
        <f>'INPUT DATA'!D241</f>
        <v>50.343917049533339</v>
      </c>
      <c r="G21" s="18">
        <f>'INPUT DATA'!E241</f>
        <v>76.926983738086676</v>
      </c>
      <c r="H21" s="18">
        <f>'INPUT DATA'!F241</f>
        <v>108.00965045947</v>
      </c>
      <c r="I21" s="18">
        <f>'INPUT DATA'!G241</f>
        <v>126.00898384752</v>
      </c>
      <c r="J21" s="18">
        <f>'INPUT DATA'!H241</f>
        <v>140.67565051418666</v>
      </c>
      <c r="K21" s="18">
        <f>'INPUT DATA'!I241</f>
        <v>150.00898384752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104.68165002173667</v>
      </c>
      <c r="R21" s="18">
        <f>'INPUT DATA'!P241</f>
        <v>104.34831668840333</v>
      </c>
      <c r="S21" s="18">
        <f>'INPUT DATA'!Q241</f>
        <v>129.51498335507</v>
      </c>
      <c r="T21" s="18">
        <f>'INPUT DATA'!R241</f>
        <v>120.34831668840333</v>
      </c>
      <c r="U21" s="18">
        <f>'INPUT DATA'!S241</f>
        <v>137.68165002173666</v>
      </c>
      <c r="V21" s="18" t="e">
        <f>'INPUT DATA'!#REF!</f>
        <v>#REF!</v>
      </c>
      <c r="W21" s="18"/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116.40000000000002</v>
      </c>
      <c r="AD21" s="18">
        <f>'INPUT DATA'!AA241</f>
        <v>114.58333333333333</v>
      </c>
      <c r="AE21" s="18">
        <f>'INPUT DATA'!AB241</f>
        <v>114.11666666666667</v>
      </c>
      <c r="AF21" s="18">
        <f>'INPUT DATA'!AC241</f>
        <v>97.083333333333329</v>
      </c>
      <c r="AG21" s="18">
        <f>'INPUT DATA'!AD241</f>
        <v>107.2</v>
      </c>
      <c r="AH21" s="18">
        <f>'INPUT DATA'!AE241</f>
        <v>115.45</v>
      </c>
      <c r="AI21" s="18">
        <f>'INPUT DATA'!AF241</f>
        <v>104.8</v>
      </c>
      <c r="AJ21" s="18">
        <f>'INPUT DATA'!AG241</f>
        <v>110.13333333333333</v>
      </c>
      <c r="AK21" s="18">
        <f>'INPUT DATA'!AH241</f>
        <v>114.33333333333333</v>
      </c>
      <c r="AL21" s="18">
        <f>'INPUT DATA'!AI241</f>
        <v>111</v>
      </c>
      <c r="AM21" s="18"/>
    </row>
    <row r="22" spans="1:39">
      <c r="A22" s="11">
        <v>6</v>
      </c>
      <c r="B22" t="s">
        <v>155</v>
      </c>
      <c r="D22" t="s">
        <v>143</v>
      </c>
      <c r="E22" s="11" t="s">
        <v>20</v>
      </c>
      <c r="F22">
        <f>'INPUT DATA'!D215</f>
        <v>1.3805837161999999</v>
      </c>
      <c r="G22" s="11">
        <f>'INPUT DATA'!E215</f>
        <v>2.1303170714200004</v>
      </c>
      <c r="H22" s="11">
        <f>'INPUT DATA'!F215</f>
        <v>2.9396504594700001</v>
      </c>
      <c r="I22" s="11">
        <f>'INPUT DATA'!G215</f>
        <v>3.4389838475200003</v>
      </c>
      <c r="J22" s="11">
        <f>'INPUT DATA'!H215</f>
        <v>3.80898384752</v>
      </c>
      <c r="K22" s="11">
        <f>'INPUT DATA'!I215</f>
        <v>4.0689838475200002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3.0743798550700001</v>
      </c>
      <c r="R22" s="11">
        <f>'INPUT DATA'!P215</f>
        <v>2.9272801050699999</v>
      </c>
      <c r="S22" s="11">
        <f>'INPUT DATA'!Q215</f>
        <v>3.5647123550700002</v>
      </c>
      <c r="T22" s="11">
        <f>'INPUT DATA'!R215</f>
        <v>3.3587727050700003</v>
      </c>
      <c r="U22" s="11">
        <f>'INPUT DATA'!S215</f>
        <v>3.8589118550700001</v>
      </c>
      <c r="V22" s="11" t="e">
        <f>'INPUT DATA'!#REF!</f>
        <v>#REF!</v>
      </c>
      <c r="W22" s="11"/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2.41</v>
      </c>
      <c r="AD22" s="11">
        <f>'INPUT DATA'!AA215</f>
        <v>2.2999999999999998</v>
      </c>
      <c r="AE22" s="11">
        <f>'INPUT DATA'!AB215</f>
        <v>2.2999999999999998</v>
      </c>
      <c r="AF22" s="11">
        <f>'INPUT DATA'!AC215</f>
        <v>1.9</v>
      </c>
      <c r="AG22" s="11">
        <f>'INPUT DATA'!AD215</f>
        <v>2.15</v>
      </c>
      <c r="AH22" s="11">
        <f>'INPUT DATA'!AE215</f>
        <v>2.3199999999999998</v>
      </c>
      <c r="AI22" s="11">
        <f>'INPUT DATA'!AF215</f>
        <v>2.2000000000000002</v>
      </c>
      <c r="AJ22" s="11">
        <f>'INPUT DATA'!AG215</f>
        <v>2.2400000000000002</v>
      </c>
      <c r="AK22" s="11">
        <f>'INPUT DATA'!AH215</f>
        <v>2.33</v>
      </c>
      <c r="AL22" s="11">
        <f>'INPUT DATA'!AI215</f>
        <v>2.29</v>
      </c>
      <c r="AM22" s="11"/>
    </row>
    <row r="23" spans="1:39">
      <c r="A23" s="11">
        <v>7</v>
      </c>
      <c r="B23" t="s">
        <v>154</v>
      </c>
      <c r="D23" t="s">
        <v>144</v>
      </c>
      <c r="E23" t="s">
        <v>77</v>
      </c>
      <c r="F23" s="11">
        <f>'INPUT DATA'!D216</f>
        <v>305.14999999999998</v>
      </c>
      <c r="G23" s="11">
        <f>'INPUT DATA'!E216</f>
        <v>299.14999999999998</v>
      </c>
      <c r="H23" s="11">
        <f>'INPUT DATA'!F216</f>
        <v>301.14999999999998</v>
      </c>
      <c r="I23" s="11">
        <f>'INPUT DATA'!G216</f>
        <v>303.14999999999998</v>
      </c>
      <c r="J23" s="11">
        <f>'INPUT DATA'!H216</f>
        <v>307.14999999999998</v>
      </c>
      <c r="K23" s="11">
        <f>'INPUT DATA'!I216</f>
        <v>309.14999999999998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315.14999999999998</v>
      </c>
      <c r="R23" s="11">
        <f>'INPUT DATA'!P216</f>
        <v>314.14999999999998</v>
      </c>
      <c r="S23" s="11">
        <f>'INPUT DATA'!Q216</f>
        <v>317.14999999999998</v>
      </c>
      <c r="T23" s="11">
        <f>'INPUT DATA'!R216</f>
        <v>315.14999999999998</v>
      </c>
      <c r="U23" s="11">
        <f>'INPUT DATA'!S216</f>
        <v>319.14999999999998</v>
      </c>
      <c r="V23" s="11" t="e">
        <f>'INPUT DATA'!#REF!</f>
        <v>#REF!</v>
      </c>
      <c r="W23" s="11"/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316.14999999999998</v>
      </c>
      <c r="AD23" s="11">
        <f>'INPUT DATA'!AA216</f>
        <v>312.14999999999998</v>
      </c>
      <c r="AE23" s="11">
        <f>'INPUT DATA'!AB216</f>
        <v>313.14999999999998</v>
      </c>
      <c r="AF23" s="11">
        <f>'INPUT DATA'!AC216</f>
        <v>311.14999999999998</v>
      </c>
      <c r="AG23" s="11">
        <f>'INPUT DATA'!AD216</f>
        <v>317.14999999999998</v>
      </c>
      <c r="AH23" s="11">
        <f>'INPUT DATA'!AE216</f>
        <v>316.14999999999998</v>
      </c>
      <c r="AI23" s="11">
        <f>'INPUT DATA'!AF216</f>
        <v>315.14999999999998</v>
      </c>
      <c r="AJ23" s="11">
        <f>'INPUT DATA'!AG216</f>
        <v>314.14999999999998</v>
      </c>
      <c r="AK23" s="11">
        <f>'INPUT DATA'!AH216</f>
        <v>314.14999999999998</v>
      </c>
      <c r="AL23" s="11">
        <f>'INPUT DATA'!AI216</f>
        <v>316.14999999999998</v>
      </c>
      <c r="AM23" s="11"/>
    </row>
    <row r="24" spans="1:39">
      <c r="A24" s="11">
        <v>8</v>
      </c>
      <c r="B24" t="s">
        <v>153</v>
      </c>
      <c r="D24" t="s">
        <v>145</v>
      </c>
      <c r="E24" t="s">
        <v>20</v>
      </c>
      <c r="F24" s="11">
        <f>'INPUT DATA'!D217</f>
        <v>1.3105837162</v>
      </c>
      <c r="G24" s="11">
        <f>'INPUT DATA'!E217</f>
        <v>1.98031707142</v>
      </c>
      <c r="H24" s="11">
        <f>'INPUT DATA'!F217</f>
        <v>2.73965045947</v>
      </c>
      <c r="I24" s="11">
        <f>'INPUT DATA'!G217</f>
        <v>3.1489838475200003</v>
      </c>
      <c r="J24" s="11">
        <f>'INPUT DATA'!H217</f>
        <v>3.5289838475200002</v>
      </c>
      <c r="K24" s="11">
        <f>'INPUT DATA'!I217</f>
        <v>3.82898384752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1.01498335507</v>
      </c>
      <c r="R24" s="11">
        <f>'INPUT DATA'!P217</f>
        <v>1.01498335507</v>
      </c>
      <c r="S24" s="11">
        <f>'INPUT DATA'!Q217</f>
        <v>1.01498335507</v>
      </c>
      <c r="T24" s="11">
        <f>'INPUT DATA'!R217</f>
        <v>1.01498335507</v>
      </c>
      <c r="U24" s="11">
        <f>'INPUT DATA'!S217</f>
        <v>1.01498335507</v>
      </c>
      <c r="V24" s="11" t="e">
        <f>'INPUT DATA'!#REF!</f>
        <v>#REF!</v>
      </c>
      <c r="W24" s="11"/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2.15</v>
      </c>
      <c r="AD24" s="11">
        <f>'INPUT DATA'!AA217</f>
        <v>2.1</v>
      </c>
      <c r="AE24" s="11">
        <f>'INPUT DATA'!AB217</f>
        <v>2</v>
      </c>
      <c r="AF24" s="11">
        <f>'INPUT DATA'!AC217</f>
        <v>1.45</v>
      </c>
      <c r="AG24" s="11">
        <f>'INPUT DATA'!AD217</f>
        <v>1.9</v>
      </c>
      <c r="AH24" s="11">
        <f>'INPUT DATA'!AE217</f>
        <v>2.1</v>
      </c>
      <c r="AI24" s="11">
        <f>'INPUT DATA'!AF217</f>
        <v>2</v>
      </c>
      <c r="AJ24" s="11">
        <f>'INPUT DATA'!AG217</f>
        <v>1.9</v>
      </c>
      <c r="AK24" s="11">
        <f>'INPUT DATA'!AH217</f>
        <v>2</v>
      </c>
      <c r="AL24" s="11">
        <f>'INPUT DATA'!AI217</f>
        <v>1.9</v>
      </c>
      <c r="AM24" s="11"/>
    </row>
    <row r="25" spans="1:39">
      <c r="A25" s="11">
        <v>9</v>
      </c>
      <c r="B25" t="s">
        <v>152</v>
      </c>
      <c r="D25" t="s">
        <v>147</v>
      </c>
      <c r="E25" t="s">
        <v>77</v>
      </c>
      <c r="F25" s="11">
        <f>'INPUT DATA'!D218</f>
        <v>535.65</v>
      </c>
      <c r="G25" s="11">
        <f>'INPUT DATA'!E218</f>
        <v>587.15</v>
      </c>
      <c r="H25" s="11">
        <f>'INPUT DATA'!F218</f>
        <v>608.15</v>
      </c>
      <c r="I25" s="11">
        <f>'INPUT DATA'!G218</f>
        <v>626.65</v>
      </c>
      <c r="J25" s="11">
        <f>'INPUT DATA'!H218</f>
        <v>648.15</v>
      </c>
      <c r="K25" s="11">
        <f>'INPUT DATA'!I218</f>
        <v>668.15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648.15</v>
      </c>
      <c r="R25" s="11">
        <f>'INPUT DATA'!P218</f>
        <v>645.65</v>
      </c>
      <c r="S25" s="11">
        <f>'INPUT DATA'!Q218</f>
        <v>670.15</v>
      </c>
      <c r="T25" s="11">
        <f>'INPUT DATA'!R218</f>
        <v>658.15</v>
      </c>
      <c r="U25" s="11">
        <f>'INPUT DATA'!S218</f>
        <v>685.65</v>
      </c>
      <c r="V25" s="11" t="e">
        <f>'INPUT DATA'!#REF!</f>
        <v>#REF!</v>
      </c>
      <c r="W25" s="11"/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650.65</v>
      </c>
      <c r="AD25" s="11">
        <f>'INPUT DATA'!AA218</f>
        <v>623.15</v>
      </c>
      <c r="AE25" s="11">
        <f>'INPUT DATA'!AB218</f>
        <v>638.15</v>
      </c>
      <c r="AF25" s="11">
        <f>'INPUT DATA'!AC218</f>
        <v>615.65</v>
      </c>
      <c r="AG25" s="11">
        <f>'INPUT DATA'!AD218</f>
        <v>658.15</v>
      </c>
      <c r="AH25" s="11">
        <f>'INPUT DATA'!AE218</f>
        <v>648.15</v>
      </c>
      <c r="AI25" s="11">
        <f>'INPUT DATA'!AF218</f>
        <v>668.15</v>
      </c>
      <c r="AJ25" s="11">
        <f>'INPUT DATA'!AG218</f>
        <v>670.65</v>
      </c>
      <c r="AK25" s="11">
        <f>'INPUT DATA'!AH218</f>
        <v>661.65</v>
      </c>
      <c r="AL25" s="11">
        <f>'INPUT DATA'!AI218</f>
        <v>674.15</v>
      </c>
      <c r="AM25" s="11"/>
    </row>
    <row r="26" spans="1:39">
      <c r="A26" s="11">
        <v>10</v>
      </c>
      <c r="B26" t="s">
        <v>149</v>
      </c>
      <c r="D26" t="s">
        <v>149</v>
      </c>
      <c r="E26" t="s">
        <v>14</v>
      </c>
      <c r="F26">
        <f>'INPUT DATA'!D206</f>
        <v>5620</v>
      </c>
      <c r="G26" s="11">
        <f>'INPUT DATA'!E206</f>
        <v>9240</v>
      </c>
      <c r="H26" s="11">
        <f>'INPUT DATA'!F206</f>
        <v>11451.5</v>
      </c>
      <c r="I26" s="11">
        <f>'INPUT DATA'!G206</f>
        <v>12285</v>
      </c>
      <c r="J26" s="11">
        <f>'INPUT DATA'!H206</f>
        <v>12994.5</v>
      </c>
      <c r="K26" s="11">
        <f>'INPUT DATA'!I206</f>
        <v>13552.5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11875</v>
      </c>
      <c r="R26" s="11">
        <f>'INPUT DATA'!P206</f>
        <v>11606</v>
      </c>
      <c r="S26" s="11">
        <f>'INPUT DATA'!Q206</f>
        <v>12787.5</v>
      </c>
      <c r="T26" s="11">
        <f>'INPUT DATA'!R206</f>
        <v>12520</v>
      </c>
      <c r="U26" s="11">
        <f>'INPUT DATA'!S206</f>
        <v>13430</v>
      </c>
      <c r="V26" s="11" t="e">
        <f>'INPUT DATA'!#REF!</f>
        <v>#REF!</v>
      </c>
      <c r="W26" s="11"/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12410</v>
      </c>
      <c r="AD26" s="11">
        <f>'INPUT DATA'!AA206</f>
        <v>12235</v>
      </c>
      <c r="AE26" s="11">
        <f>'INPUT DATA'!AB206</f>
        <v>12210</v>
      </c>
      <c r="AF26" s="11">
        <f>'INPUT DATA'!AC206</f>
        <v>11074</v>
      </c>
      <c r="AG26" s="11">
        <f>'INPUT DATA'!AD206</f>
        <v>12127.5</v>
      </c>
      <c r="AH26" s="11">
        <f>'INPUT DATA'!AE206</f>
        <v>12232.5</v>
      </c>
      <c r="AI26" s="11">
        <f>'INPUT DATA'!AF206</f>
        <v>12170</v>
      </c>
      <c r="AJ26" s="11">
        <f>'INPUT DATA'!AG206</f>
        <v>12410</v>
      </c>
      <c r="AK26" s="11">
        <f>'INPUT DATA'!AH206</f>
        <v>12315</v>
      </c>
      <c r="AL26" s="11">
        <f>'INPUT DATA'!AI206</f>
        <v>12310</v>
      </c>
      <c r="AM26" s="11"/>
    </row>
    <row r="27" spans="1:39">
      <c r="A27" s="11">
        <v>11</v>
      </c>
      <c r="B27" t="s">
        <v>151</v>
      </c>
      <c r="D27" t="s">
        <v>159</v>
      </c>
      <c r="E27" t="s">
        <v>77</v>
      </c>
      <c r="F27">
        <f>'INPUT DATA'!D246</f>
        <v>307.14999999999998</v>
      </c>
      <c r="G27" s="11">
        <f>'INPUT DATA'!E246</f>
        <v>361.15</v>
      </c>
      <c r="H27" s="11">
        <f>'INPUT DATA'!F246</f>
        <v>407.15</v>
      </c>
      <c r="I27" s="11">
        <f>'INPUT DATA'!G246</f>
        <v>431.15</v>
      </c>
      <c r="J27" s="11">
        <f>'INPUT DATA'!H246</f>
        <v>449.15</v>
      </c>
      <c r="K27" s="11">
        <f>'INPUT DATA'!I246</f>
        <v>466.65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448.15</v>
      </c>
      <c r="R27" s="11">
        <f>'INPUT DATA'!P246</f>
        <v>440.15</v>
      </c>
      <c r="S27" s="11">
        <f>'INPUT DATA'!Q246</f>
        <v>470.15</v>
      </c>
      <c r="T27" s="11">
        <f>'INPUT DATA'!R246</f>
        <v>462.15</v>
      </c>
      <c r="U27" s="11">
        <f>'INPUT DATA'!S246</f>
        <v>483.15</v>
      </c>
      <c r="V27" s="11" t="e">
        <f>'INPUT DATA'!#REF!</f>
        <v>#REF!</v>
      </c>
      <c r="W27" s="11"/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453.15</v>
      </c>
      <c r="AD27" s="11">
        <f>'INPUT DATA'!AA246</f>
        <v>425.65</v>
      </c>
      <c r="AE27" s="11">
        <f>'INPUT DATA'!AB246</f>
        <v>440.65</v>
      </c>
      <c r="AF27" s="11">
        <f>'INPUT DATA'!AC246</f>
        <v>408.15</v>
      </c>
      <c r="AG27" s="11">
        <f>'INPUT DATA'!AD246</f>
        <v>440.65</v>
      </c>
      <c r="AH27" s="11">
        <f>'INPUT DATA'!AE246</f>
        <v>443.15</v>
      </c>
      <c r="AI27" s="11">
        <f>'INPUT DATA'!AF246</f>
        <v>447.15</v>
      </c>
      <c r="AJ27" s="11">
        <f>'INPUT DATA'!AG246</f>
        <v>455.65</v>
      </c>
      <c r="AK27" s="11">
        <f>'INPUT DATA'!AH246</f>
        <v>455.65</v>
      </c>
      <c r="AL27" s="11">
        <f>'INPUT DATA'!AI246</f>
        <v>443.15</v>
      </c>
      <c r="AM27" s="11"/>
    </row>
    <row r="28" spans="1:39">
      <c r="A28" s="11">
        <v>12</v>
      </c>
      <c r="B28" t="s">
        <v>150</v>
      </c>
      <c r="D28" t="s">
        <v>142</v>
      </c>
      <c r="E28" t="s">
        <v>20</v>
      </c>
      <c r="F28">
        <f>'INPUT DATA'!D244</f>
        <v>6.3743224999999997E-3</v>
      </c>
      <c r="G28" s="11">
        <f>'INPUT DATA'!E244</f>
        <v>1.12776475E-2</v>
      </c>
      <c r="H28" s="11">
        <f>'INPUT DATA'!F244</f>
        <v>1.5445473750000001E-2</v>
      </c>
      <c r="I28" s="11">
        <f>'INPUT DATA'!G244</f>
        <v>1.7406803750000002E-2</v>
      </c>
      <c r="J28" s="11">
        <f>'INPUT DATA'!H244</f>
        <v>1.9122967500000001E-2</v>
      </c>
      <c r="K28" s="11">
        <f>'INPUT DATA'!I244</f>
        <v>2.0593964999999999E-2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1.7651969999999999E-2</v>
      </c>
      <c r="R28" s="11">
        <f>'INPUT DATA'!P244</f>
        <v>1.6671305000000001E-2</v>
      </c>
      <c r="S28" s="11">
        <f>'INPUT DATA'!Q244</f>
        <v>1.96133E-2</v>
      </c>
      <c r="T28" s="11">
        <f>'INPUT DATA'!R244</f>
        <v>1.8877801249999999E-2</v>
      </c>
      <c r="U28" s="11">
        <f>'INPUT DATA'!S244</f>
        <v>2.0103632499999999E-2</v>
      </c>
      <c r="V28" s="11" t="e">
        <f>'INPUT DATA'!#REF!</f>
        <v>#REF!</v>
      </c>
      <c r="W28" s="11"/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9.5614837500000004E-3</v>
      </c>
      <c r="AD28" s="11">
        <f>'INPUT DATA'!AA244</f>
        <v>9.0711512499999994E-3</v>
      </c>
      <c r="AE28" s="11">
        <f>'INPUT DATA'!AB244</f>
        <v>1.12776475E-2</v>
      </c>
      <c r="AF28" s="11">
        <f>'INPUT DATA'!AC244</f>
        <v>1.5445473750000001E-2</v>
      </c>
      <c r="AG28" s="11">
        <f>'INPUT DATA'!AD244</f>
        <v>8.8259849999999997E-3</v>
      </c>
      <c r="AH28" s="11">
        <f>'INPUT DATA'!AE244</f>
        <v>9.0711512499999994E-3</v>
      </c>
      <c r="AI28" s="11">
        <f>'INPUT DATA'!AF244</f>
        <v>8.5808187500000001E-3</v>
      </c>
      <c r="AJ28" s="11">
        <f>'INPUT DATA'!AG244</f>
        <v>8.5808187500000001E-3</v>
      </c>
      <c r="AK28" s="11">
        <f>'INPUT DATA'!AH244</f>
        <v>8.8259849999999997E-3</v>
      </c>
      <c r="AL28" s="11">
        <f>'INPUT DATA'!AI244</f>
        <v>8.8259849999999997E-3</v>
      </c>
      <c r="AM28" s="11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opLeftCell="A76" workbookViewId="0">
      <selection activeCell="B90" sqref="B90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showGridLines="0" topLeftCell="A64" workbookViewId="0">
      <selection activeCell="Q98" sqref="Q98"/>
    </sheetView>
  </sheetViews>
  <sheetFormatPr defaultRowHeight="15"/>
  <cols>
    <col min="1" max="16384" width="9.140625" style="1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opLeftCell="T1" workbookViewId="0">
      <selection activeCell="U16" sqref="U16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G1" sqref="G1"/>
    </sheetView>
  </sheetViews>
  <sheetFormatPr defaultRowHeight="15"/>
  <cols>
    <col min="5" max="5" width="10.28515625" bestFit="1" customWidth="1"/>
  </cols>
  <sheetData>
    <row r="1" spans="2:6">
      <c r="B1" t="s">
        <v>219</v>
      </c>
      <c r="C1" t="s">
        <v>220</v>
      </c>
      <c r="D1" t="s">
        <v>39</v>
      </c>
      <c r="E1" t="s">
        <v>221</v>
      </c>
      <c r="F1" t="s">
        <v>229</v>
      </c>
    </row>
    <row r="2" spans="2:6">
      <c r="B2" t="s">
        <v>13</v>
      </c>
      <c r="C2" s="11" t="s">
        <v>218</v>
      </c>
      <c r="D2" t="s">
        <v>40</v>
      </c>
      <c r="E2" t="s">
        <v>94</v>
      </c>
      <c r="F2" t="s">
        <v>72</v>
      </c>
    </row>
    <row r="3" spans="2:6">
      <c r="B3" t="s">
        <v>84</v>
      </c>
      <c r="C3" t="s">
        <v>20</v>
      </c>
      <c r="D3" t="s">
        <v>89</v>
      </c>
      <c r="E3" t="s">
        <v>31</v>
      </c>
      <c r="F3" t="s">
        <v>100</v>
      </c>
    </row>
    <row r="4" spans="2:6">
      <c r="B4" t="s">
        <v>216</v>
      </c>
      <c r="C4" t="s">
        <v>217</v>
      </c>
      <c r="D4" t="s">
        <v>222</v>
      </c>
      <c r="E4" t="s">
        <v>46</v>
      </c>
    </row>
    <row r="7" spans="2:6">
      <c r="C7" t="s">
        <v>13</v>
      </c>
    </row>
  </sheetData>
  <sortState ref="D2:D3">
    <sortCondition ref="D2"/>
  </sortState>
  <dataValidations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INPUT DATA</vt:lpstr>
      <vt:lpstr>RESULTS</vt:lpstr>
      <vt:lpstr>Compressor MAP</vt:lpstr>
      <vt:lpstr>Exhaust Fixed Fluid</vt:lpstr>
      <vt:lpstr>ISO diagrams</vt:lpstr>
      <vt:lpstr>ThermoS </vt:lpstr>
      <vt:lpstr>Diagrams vs Speed</vt:lpstr>
      <vt:lpstr>Diagrams vs Load</vt:lpstr>
      <vt:lpstr>Extra Diagrams</vt:lpstr>
      <vt:lpstr>Sheet1</vt:lpstr>
      <vt:lpstr>bsfc_con</vt:lpstr>
      <vt:lpstr>LHV</vt:lpstr>
      <vt:lpstr>Power</vt:lpstr>
      <vt:lpstr>Pressure_con</vt:lpstr>
      <vt:lpstr>pressure_drop</vt:lpstr>
      <vt:lpstr>'INPUT DATA'!Print_Area</vt:lpstr>
      <vt:lpstr>'ISO diagrams'!Print_Area</vt:lpstr>
      <vt:lpstr>RESULTS!Print_Area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cp:lastPrinted>2015-04-21T11:15:02Z</cp:lastPrinted>
  <dcterms:created xsi:type="dcterms:W3CDTF">2015-01-19T14:44:04Z</dcterms:created>
  <dcterms:modified xsi:type="dcterms:W3CDTF">2015-10-16T07:14:59Z</dcterms:modified>
</cp:coreProperties>
</file>