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GitHub\Components\"/>
    </mc:Choice>
  </mc:AlternateContent>
  <bookViews>
    <workbookView xWindow="0" yWindow="0" windowWidth="28800" windowHeight="12135" tabRatio="599"/>
  </bookViews>
  <sheets>
    <sheet name="Shop" sheetId="1" r:id="rId1"/>
    <sheet name="Sea" sheetId="2" r:id="rId2"/>
    <sheet name="Operation 2007" sheetId="4" r:id="rId3"/>
    <sheet name="Operation 2014" sheetId="5" r:id="rId4"/>
    <sheet name="Correlations" sheetId="3" r:id="rId5"/>
  </sheets>
  <definedNames>
    <definedName name="backpressure">Correlations!$D$21:$D$26</definedName>
    <definedName name="load">Correlations!$B$21:$B$26</definedName>
    <definedName name="load2" localSheetId="3">'Operation 2014'!$D$6:$O$6</definedName>
    <definedName name="load2">'Operation 2007'!$D$6:$O$6</definedName>
    <definedName name="pscexh">Correlations!$C$21:$C$26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D24" i="5" l="1"/>
  <c r="D21" i="5"/>
  <c r="O23" i="5"/>
  <c r="C71" i="5" l="1"/>
  <c r="C70" i="5"/>
  <c r="C69" i="5"/>
  <c r="C62" i="5"/>
  <c r="C61" i="5"/>
  <c r="O60" i="5"/>
  <c r="N60" i="5"/>
  <c r="M60" i="5"/>
  <c r="L60" i="5"/>
  <c r="K60" i="5"/>
  <c r="J60" i="5"/>
  <c r="I60" i="5"/>
  <c r="H60" i="5"/>
  <c r="G60" i="5"/>
  <c r="F60" i="5"/>
  <c r="E60" i="5"/>
  <c r="D60" i="5"/>
  <c r="C59" i="5"/>
  <c r="C58" i="5"/>
  <c r="C57" i="5"/>
  <c r="C53" i="5"/>
  <c r="C52" i="5"/>
  <c r="O51" i="5"/>
  <c r="N51" i="5"/>
  <c r="M51" i="5"/>
  <c r="L51" i="5"/>
  <c r="K51" i="5"/>
  <c r="J51" i="5"/>
  <c r="I51" i="5"/>
  <c r="H51" i="5"/>
  <c r="G51" i="5"/>
  <c r="F51" i="5"/>
  <c r="E51" i="5"/>
  <c r="D51" i="5"/>
  <c r="C50" i="5"/>
  <c r="C49" i="5"/>
  <c r="C48" i="5"/>
  <c r="C44" i="5"/>
  <c r="C43" i="5"/>
  <c r="C42" i="5"/>
  <c r="O34" i="5"/>
  <c r="O59" i="5" s="1"/>
  <c r="N34" i="5"/>
  <c r="N59" i="5" s="1"/>
  <c r="M34" i="5"/>
  <c r="M59" i="5" s="1"/>
  <c r="L34" i="5"/>
  <c r="L59" i="5" s="1"/>
  <c r="K34" i="5"/>
  <c r="K59" i="5" s="1"/>
  <c r="J34" i="5"/>
  <c r="J59" i="5" s="1"/>
  <c r="I34" i="5"/>
  <c r="I59" i="5" s="1"/>
  <c r="H34" i="5"/>
  <c r="H59" i="5" s="1"/>
  <c r="G34" i="5"/>
  <c r="G59" i="5" s="1"/>
  <c r="F34" i="5"/>
  <c r="F59" i="5" s="1"/>
  <c r="E34" i="5"/>
  <c r="E59" i="5" s="1"/>
  <c r="D34" i="5"/>
  <c r="D59" i="5" s="1"/>
  <c r="O32" i="5"/>
  <c r="N32" i="5"/>
  <c r="M32" i="5"/>
  <c r="L32" i="5"/>
  <c r="L57" i="5" s="1"/>
  <c r="K32" i="5"/>
  <c r="K57" i="5" s="1"/>
  <c r="J32" i="5"/>
  <c r="J57" i="5" s="1"/>
  <c r="I32" i="5"/>
  <c r="I57" i="5" s="1"/>
  <c r="H32" i="5"/>
  <c r="H57" i="5" s="1"/>
  <c r="G32" i="5"/>
  <c r="F32" i="5"/>
  <c r="E32" i="5"/>
  <c r="D32" i="5"/>
  <c r="D57" i="5" s="1"/>
  <c r="O28" i="5"/>
  <c r="N28" i="5"/>
  <c r="M28" i="5"/>
  <c r="L28" i="5"/>
  <c r="K28" i="5"/>
  <c r="J28" i="5"/>
  <c r="I28" i="5"/>
  <c r="H28" i="5"/>
  <c r="G28" i="5"/>
  <c r="F28" i="5"/>
  <c r="E28" i="5"/>
  <c r="D28" i="5"/>
  <c r="O25" i="5"/>
  <c r="N25" i="5"/>
  <c r="M25" i="5"/>
  <c r="L25" i="5"/>
  <c r="K25" i="5"/>
  <c r="K50" i="5" s="1"/>
  <c r="J25" i="5"/>
  <c r="J50" i="5" s="1"/>
  <c r="I25" i="5"/>
  <c r="I50" i="5" s="1"/>
  <c r="H25" i="5"/>
  <c r="H50" i="5" s="1"/>
  <c r="G25" i="5"/>
  <c r="F25" i="5"/>
  <c r="E25" i="5"/>
  <c r="D25" i="5"/>
  <c r="O24" i="5"/>
  <c r="O26" i="5" s="1"/>
  <c r="N24" i="5"/>
  <c r="N49" i="5" s="1"/>
  <c r="M24" i="5"/>
  <c r="M49" i="5" s="1"/>
  <c r="L24" i="5"/>
  <c r="L49" i="5" s="1"/>
  <c r="K24" i="5"/>
  <c r="K49" i="5" s="1"/>
  <c r="J24" i="5"/>
  <c r="J49" i="5" s="1"/>
  <c r="I24" i="5"/>
  <c r="H24" i="5"/>
  <c r="G24" i="5"/>
  <c r="F24" i="5"/>
  <c r="F49" i="5" s="1"/>
  <c r="E24" i="5"/>
  <c r="E49" i="5" s="1"/>
  <c r="D49" i="5"/>
  <c r="Z23" i="5"/>
  <c r="O48" i="5"/>
  <c r="N23" i="5"/>
  <c r="N48" i="5" s="1"/>
  <c r="M23" i="5"/>
  <c r="M48" i="5" s="1"/>
  <c r="L23" i="5"/>
  <c r="L48" i="5" s="1"/>
  <c r="K23" i="5"/>
  <c r="K48" i="5" s="1"/>
  <c r="J23" i="5"/>
  <c r="J48" i="5" s="1"/>
  <c r="I23" i="5"/>
  <c r="I48" i="5" s="1"/>
  <c r="H23" i="5"/>
  <c r="H48" i="5" s="1"/>
  <c r="G23" i="5"/>
  <c r="G48" i="5" s="1"/>
  <c r="F23" i="5"/>
  <c r="F48" i="5" s="1"/>
  <c r="E23" i="5"/>
  <c r="E48" i="5" s="1"/>
  <c r="D23" i="5"/>
  <c r="D48" i="5" s="1"/>
  <c r="AA22" i="5"/>
  <c r="AA21" i="5"/>
  <c r="O20" i="5"/>
  <c r="O21" i="5" s="1"/>
  <c r="N20" i="5"/>
  <c r="N21" i="5" s="1"/>
  <c r="M20" i="5"/>
  <c r="M21" i="5" s="1"/>
  <c r="L20" i="5"/>
  <c r="L21" i="5" s="1"/>
  <c r="K20" i="5"/>
  <c r="K21" i="5" s="1"/>
  <c r="J20" i="5"/>
  <c r="J21" i="5" s="1"/>
  <c r="I20" i="5"/>
  <c r="I21" i="5" s="1"/>
  <c r="H20" i="5"/>
  <c r="H21" i="5" s="1"/>
  <c r="G20" i="5"/>
  <c r="G21" i="5" s="1"/>
  <c r="F20" i="5"/>
  <c r="F21" i="5" s="1"/>
  <c r="E20" i="5"/>
  <c r="E21" i="5" s="1"/>
  <c r="D20" i="5"/>
  <c r="Y17" i="5"/>
  <c r="Y16" i="5"/>
  <c r="Y15" i="5"/>
  <c r="O13" i="5"/>
  <c r="O33" i="5" s="1"/>
  <c r="O58" i="5" s="1"/>
  <c r="N13" i="5"/>
  <c r="N33" i="5" s="1"/>
  <c r="N58" i="5" s="1"/>
  <c r="M13" i="5"/>
  <c r="M33" i="5" s="1"/>
  <c r="M58" i="5" s="1"/>
  <c r="L13" i="5"/>
  <c r="L33" i="5" s="1"/>
  <c r="L58" i="5" s="1"/>
  <c r="K13" i="5"/>
  <c r="K33" i="5" s="1"/>
  <c r="K58" i="5" s="1"/>
  <c r="J13" i="5"/>
  <c r="J33" i="5" s="1"/>
  <c r="J58" i="5" s="1"/>
  <c r="I13" i="5"/>
  <c r="I33" i="5" s="1"/>
  <c r="H13" i="5"/>
  <c r="H33" i="5" s="1"/>
  <c r="H58" i="5" s="1"/>
  <c r="G13" i="5"/>
  <c r="G33" i="5" s="1"/>
  <c r="G58" i="5" s="1"/>
  <c r="F13" i="5"/>
  <c r="F33" i="5" s="1"/>
  <c r="F58" i="5" s="1"/>
  <c r="E13" i="5"/>
  <c r="E33" i="5" s="1"/>
  <c r="E58" i="5" s="1"/>
  <c r="D13" i="5"/>
  <c r="D33" i="5" s="1"/>
  <c r="D58" i="5" s="1"/>
  <c r="Y12" i="5"/>
  <c r="Y11" i="5"/>
  <c r="Y10" i="5"/>
  <c r="I3" i="5"/>
  <c r="I2" i="5"/>
  <c r="O27" i="5" l="1"/>
  <c r="O53" i="5" s="1"/>
  <c r="AA23" i="5"/>
  <c r="AB23" i="5" s="1"/>
  <c r="G26" i="5"/>
  <c r="H26" i="5"/>
  <c r="H52" i="5" s="1"/>
  <c r="I26" i="5"/>
  <c r="I27" i="5" s="1"/>
  <c r="I29" i="5" s="1"/>
  <c r="G49" i="5"/>
  <c r="H49" i="5"/>
  <c r="I35" i="5"/>
  <c r="I36" i="5" s="1"/>
  <c r="I62" i="5" s="1"/>
  <c r="I63" i="5" s="1"/>
  <c r="I70" i="5" s="1"/>
  <c r="O49" i="5"/>
  <c r="D35" i="5"/>
  <c r="D61" i="5" s="1"/>
  <c r="L35" i="5"/>
  <c r="L61" i="5" s="1"/>
  <c r="E35" i="5"/>
  <c r="E36" i="5" s="1"/>
  <c r="E62" i="5" s="1"/>
  <c r="E63" i="5" s="1"/>
  <c r="E70" i="5" s="1"/>
  <c r="M35" i="5"/>
  <c r="M36" i="5" s="1"/>
  <c r="M62" i="5" s="1"/>
  <c r="M63" i="5" s="1"/>
  <c r="M70" i="5" s="1"/>
  <c r="F35" i="5"/>
  <c r="N35" i="5"/>
  <c r="G35" i="5"/>
  <c r="O35" i="5"/>
  <c r="G52" i="5"/>
  <c r="G27" i="5"/>
  <c r="G53" i="5" s="1"/>
  <c r="O52" i="5"/>
  <c r="K35" i="5"/>
  <c r="H35" i="5"/>
  <c r="J26" i="5"/>
  <c r="J35" i="5"/>
  <c r="I49" i="5"/>
  <c r="D50" i="5"/>
  <c r="L50" i="5"/>
  <c r="E57" i="5"/>
  <c r="M57" i="5"/>
  <c r="K26" i="5"/>
  <c r="E50" i="5"/>
  <c r="M50" i="5"/>
  <c r="F57" i="5"/>
  <c r="N57" i="5"/>
  <c r="I58" i="5"/>
  <c r="D26" i="5"/>
  <c r="L26" i="5"/>
  <c r="F50" i="5"/>
  <c r="N50" i="5"/>
  <c r="G57" i="5"/>
  <c r="O57" i="5"/>
  <c r="E26" i="5"/>
  <c r="M26" i="5"/>
  <c r="G50" i="5"/>
  <c r="O50" i="5"/>
  <c r="F26" i="5"/>
  <c r="N26" i="5"/>
  <c r="E21" i="4"/>
  <c r="F21" i="4"/>
  <c r="G21" i="4"/>
  <c r="H21" i="4"/>
  <c r="I21" i="4"/>
  <c r="J21" i="4"/>
  <c r="K21" i="4"/>
  <c r="L21" i="4"/>
  <c r="M21" i="4"/>
  <c r="N21" i="4"/>
  <c r="O21" i="4"/>
  <c r="D21" i="4"/>
  <c r="D13" i="4"/>
  <c r="D33" i="4" s="1"/>
  <c r="D58" i="4" s="1"/>
  <c r="O13" i="4"/>
  <c r="O33" i="4" s="1"/>
  <c r="O58" i="4" s="1"/>
  <c r="E13" i="4"/>
  <c r="E33" i="4" s="1"/>
  <c r="E58" i="4" s="1"/>
  <c r="F13" i="4"/>
  <c r="F33" i="4" s="1"/>
  <c r="F58" i="4" s="1"/>
  <c r="G13" i="4"/>
  <c r="G33" i="4" s="1"/>
  <c r="G58" i="4" s="1"/>
  <c r="H13" i="4"/>
  <c r="H33" i="4" s="1"/>
  <c r="H58" i="4" s="1"/>
  <c r="I13" i="4"/>
  <c r="I33" i="4" s="1"/>
  <c r="I58" i="4" s="1"/>
  <c r="J13" i="4"/>
  <c r="J33" i="4" s="1"/>
  <c r="J58" i="4" s="1"/>
  <c r="K13" i="4"/>
  <c r="K33" i="4" s="1"/>
  <c r="L13" i="4"/>
  <c r="L33" i="4" s="1"/>
  <c r="L58" i="4" s="1"/>
  <c r="M13" i="4"/>
  <c r="M33" i="4" s="1"/>
  <c r="M58" i="4" s="1"/>
  <c r="N13" i="4"/>
  <c r="N33" i="4" s="1"/>
  <c r="N58" i="4" s="1"/>
  <c r="K23" i="4"/>
  <c r="L23" i="4"/>
  <c r="M23" i="4"/>
  <c r="N23" i="4"/>
  <c r="O23" i="4"/>
  <c r="K24" i="4"/>
  <c r="K49" i="4" s="1"/>
  <c r="L24" i="4"/>
  <c r="L26" i="4" s="1"/>
  <c r="M24" i="4"/>
  <c r="M26" i="4" s="1"/>
  <c r="N24" i="4"/>
  <c r="N26" i="4" s="1"/>
  <c r="O24" i="4"/>
  <c r="O49" i="4" s="1"/>
  <c r="K25" i="4"/>
  <c r="L25" i="4"/>
  <c r="M25" i="4"/>
  <c r="N25" i="4"/>
  <c r="N50" i="4" s="1"/>
  <c r="O25" i="4"/>
  <c r="K28" i="4"/>
  <c r="L28" i="4"/>
  <c r="M28" i="4"/>
  <c r="N28" i="4"/>
  <c r="O28" i="4"/>
  <c r="K32" i="4"/>
  <c r="K57" i="4" s="1"/>
  <c r="L32" i="4"/>
  <c r="L57" i="4" s="1"/>
  <c r="M32" i="4"/>
  <c r="N32" i="4"/>
  <c r="O32" i="4"/>
  <c r="O57" i="4" s="1"/>
  <c r="K34" i="4"/>
  <c r="L34" i="4"/>
  <c r="M34" i="4"/>
  <c r="N34" i="4"/>
  <c r="N59" i="4" s="1"/>
  <c r="O34" i="4"/>
  <c r="O59" i="4" s="1"/>
  <c r="K48" i="4"/>
  <c r="L48" i="4"/>
  <c r="M48" i="4"/>
  <c r="N48" i="4"/>
  <c r="O48" i="4"/>
  <c r="K50" i="4"/>
  <c r="L50" i="4"/>
  <c r="M50" i="4"/>
  <c r="K51" i="4"/>
  <c r="L51" i="4"/>
  <c r="M51" i="4"/>
  <c r="N51" i="4"/>
  <c r="O51" i="4"/>
  <c r="K59" i="4"/>
  <c r="L59" i="4"/>
  <c r="M59" i="4"/>
  <c r="K60" i="4"/>
  <c r="L60" i="4"/>
  <c r="M60" i="4"/>
  <c r="N60" i="4"/>
  <c r="O60" i="4"/>
  <c r="J51" i="4"/>
  <c r="I51" i="4"/>
  <c r="G60" i="4"/>
  <c r="D60" i="4"/>
  <c r="J23" i="4"/>
  <c r="J48" i="4" s="1"/>
  <c r="I23" i="4"/>
  <c r="I48" i="4" s="1"/>
  <c r="I34" i="4"/>
  <c r="I59" i="4" s="1"/>
  <c r="H34" i="4"/>
  <c r="H59" i="4" s="1"/>
  <c r="E34" i="4"/>
  <c r="E59" i="4" s="1"/>
  <c r="E20" i="4"/>
  <c r="F20" i="4"/>
  <c r="H20" i="4"/>
  <c r="I20" i="4"/>
  <c r="J20" i="4"/>
  <c r="K20" i="4"/>
  <c r="L20" i="4"/>
  <c r="M20" i="4"/>
  <c r="N20" i="4"/>
  <c r="O20" i="4"/>
  <c r="D20" i="4"/>
  <c r="H24" i="4"/>
  <c r="C71" i="4"/>
  <c r="C70" i="4"/>
  <c r="C69" i="4"/>
  <c r="C62" i="4"/>
  <c r="C61" i="4"/>
  <c r="J60" i="4"/>
  <c r="H60" i="4"/>
  <c r="F60" i="4"/>
  <c r="E60" i="4"/>
  <c r="C59" i="4"/>
  <c r="C58" i="4"/>
  <c r="C57" i="4"/>
  <c r="C53" i="4"/>
  <c r="C52" i="4"/>
  <c r="H51" i="4"/>
  <c r="G51" i="4"/>
  <c r="F51" i="4"/>
  <c r="E51" i="4"/>
  <c r="D51" i="4"/>
  <c r="C50" i="4"/>
  <c r="C49" i="4"/>
  <c r="C48" i="4"/>
  <c r="C44" i="4"/>
  <c r="C43" i="4"/>
  <c r="C42" i="4"/>
  <c r="J34" i="4"/>
  <c r="J59" i="4" s="1"/>
  <c r="G34" i="4"/>
  <c r="G59" i="4" s="1"/>
  <c r="F34" i="4"/>
  <c r="F59" i="4" s="1"/>
  <c r="D34" i="4"/>
  <c r="D59" i="4" s="1"/>
  <c r="J28" i="4"/>
  <c r="I28" i="4"/>
  <c r="H28" i="4"/>
  <c r="G28" i="4"/>
  <c r="F28" i="4"/>
  <c r="E28" i="4"/>
  <c r="D28" i="4"/>
  <c r="J25" i="4"/>
  <c r="I25" i="4"/>
  <c r="H25" i="4"/>
  <c r="G25" i="4"/>
  <c r="F25" i="4"/>
  <c r="E25" i="4"/>
  <c r="D25" i="4"/>
  <c r="D50" i="4" s="1"/>
  <c r="J24" i="4"/>
  <c r="J49" i="4" s="1"/>
  <c r="I24" i="4"/>
  <c r="I49" i="4" s="1"/>
  <c r="G24" i="4"/>
  <c r="G49" i="4" s="1"/>
  <c r="F24" i="4"/>
  <c r="E24" i="4"/>
  <c r="D24" i="4"/>
  <c r="D49" i="4" s="1"/>
  <c r="Z23" i="4"/>
  <c r="H23" i="4"/>
  <c r="H48" i="4" s="1"/>
  <c r="G23" i="4"/>
  <c r="F23" i="4"/>
  <c r="F48" i="4" s="1"/>
  <c r="E23" i="4"/>
  <c r="E48" i="4" s="1"/>
  <c r="D23" i="4"/>
  <c r="D48" i="4" s="1"/>
  <c r="AA22" i="4"/>
  <c r="AA21" i="4"/>
  <c r="Y17" i="4"/>
  <c r="Y16" i="4"/>
  <c r="Y15" i="4"/>
  <c r="Y12" i="4"/>
  <c r="Y11" i="4"/>
  <c r="Y10" i="4"/>
  <c r="I3" i="4"/>
  <c r="I2" i="4"/>
  <c r="E60" i="2"/>
  <c r="F60" i="2"/>
  <c r="G60" i="2"/>
  <c r="H60" i="2"/>
  <c r="I60" i="2"/>
  <c r="J60" i="2"/>
  <c r="D60" i="2"/>
  <c r="D60" i="1"/>
  <c r="E20" i="2"/>
  <c r="E12" i="2" s="1"/>
  <c r="F20" i="2"/>
  <c r="F12" i="2" s="1"/>
  <c r="G20" i="2"/>
  <c r="G12" i="2" s="1"/>
  <c r="H20" i="2"/>
  <c r="H12" i="2" s="1"/>
  <c r="I20" i="2"/>
  <c r="I12" i="2" s="1"/>
  <c r="J20" i="2"/>
  <c r="J12" i="2" s="1"/>
  <c r="D20" i="2"/>
  <c r="D12" i="2" s="1"/>
  <c r="B18" i="3"/>
  <c r="I61" i="5" l="1"/>
  <c r="I52" i="5"/>
  <c r="D36" i="5"/>
  <c r="D62" i="5" s="1"/>
  <c r="D63" i="5" s="1"/>
  <c r="D70" i="5" s="1"/>
  <c r="O29" i="5"/>
  <c r="O42" i="5" s="1"/>
  <c r="O76" i="5" s="1"/>
  <c r="H27" i="5"/>
  <c r="H29" i="5" s="1"/>
  <c r="H42" i="5" s="1"/>
  <c r="G54" i="5"/>
  <c r="G69" i="5" s="1"/>
  <c r="L36" i="5"/>
  <c r="L62" i="5" s="1"/>
  <c r="L63" i="5" s="1"/>
  <c r="L70" i="5" s="1"/>
  <c r="M61" i="5"/>
  <c r="E61" i="5"/>
  <c r="H36" i="5"/>
  <c r="H62" i="5" s="1"/>
  <c r="H63" i="5" s="1"/>
  <c r="H70" i="5" s="1"/>
  <c r="H61" i="5"/>
  <c r="G61" i="5"/>
  <c r="G36" i="5"/>
  <c r="G62" i="5" s="1"/>
  <c r="G63" i="5" s="1"/>
  <c r="G70" i="5" s="1"/>
  <c r="L52" i="5"/>
  <c r="L27" i="5"/>
  <c r="M52" i="5"/>
  <c r="M27" i="5"/>
  <c r="D52" i="5"/>
  <c r="D27" i="5"/>
  <c r="G29" i="5"/>
  <c r="J36" i="5"/>
  <c r="J62" i="5" s="1"/>
  <c r="J63" i="5" s="1"/>
  <c r="J70" i="5" s="1"/>
  <c r="J61" i="5"/>
  <c r="E27" i="5"/>
  <c r="E52" i="5"/>
  <c r="K27" i="5"/>
  <c r="K52" i="5"/>
  <c r="N61" i="5"/>
  <c r="N36" i="5"/>
  <c r="N62" i="5" s="1"/>
  <c r="N63" i="5" s="1"/>
  <c r="N70" i="5" s="1"/>
  <c r="I53" i="5"/>
  <c r="I54" i="5" s="1"/>
  <c r="I37" i="5"/>
  <c r="N52" i="5"/>
  <c r="N27" i="5"/>
  <c r="K36" i="5"/>
  <c r="K62" i="5" s="1"/>
  <c r="K63" i="5" s="1"/>
  <c r="K70" i="5" s="1"/>
  <c r="K61" i="5"/>
  <c r="F61" i="5"/>
  <c r="F36" i="5"/>
  <c r="F62" i="5" s="1"/>
  <c r="F63" i="5" s="1"/>
  <c r="F70" i="5" s="1"/>
  <c r="F52" i="5"/>
  <c r="F27" i="5"/>
  <c r="J27" i="5"/>
  <c r="J52" i="5"/>
  <c r="I42" i="5"/>
  <c r="I30" i="5"/>
  <c r="O54" i="5"/>
  <c r="O61" i="5"/>
  <c r="O36" i="5"/>
  <c r="N35" i="4"/>
  <c r="N61" i="4" s="1"/>
  <c r="M35" i="4"/>
  <c r="M61" i="4" s="1"/>
  <c r="N57" i="4"/>
  <c r="K35" i="4"/>
  <c r="K61" i="4" s="1"/>
  <c r="M57" i="4"/>
  <c r="N27" i="4"/>
  <c r="N29" i="4" s="1"/>
  <c r="N52" i="4"/>
  <c r="N49" i="4"/>
  <c r="AA23" i="4"/>
  <c r="AB23" i="4" s="1"/>
  <c r="K26" i="4"/>
  <c r="K27" i="4" s="1"/>
  <c r="K29" i="4" s="1"/>
  <c r="M49" i="4"/>
  <c r="G26" i="4"/>
  <c r="G27" i="4" s="1"/>
  <c r="G53" i="4" s="1"/>
  <c r="G54" i="4" s="1"/>
  <c r="O26" i="4"/>
  <c r="O52" i="4" s="1"/>
  <c r="O35" i="4"/>
  <c r="L35" i="4"/>
  <c r="L36" i="4" s="1"/>
  <c r="L62" i="4" s="1"/>
  <c r="L63" i="4" s="1"/>
  <c r="L70" i="4" s="1"/>
  <c r="K58" i="4"/>
  <c r="L52" i="4"/>
  <c r="L27" i="4"/>
  <c r="M27" i="4"/>
  <c r="M52" i="4"/>
  <c r="O50" i="4"/>
  <c r="L49" i="4"/>
  <c r="I60" i="4"/>
  <c r="J32" i="4"/>
  <c r="J57" i="4" s="1"/>
  <c r="G32" i="4"/>
  <c r="E32" i="4"/>
  <c r="E35" i="4" s="1"/>
  <c r="F32" i="4"/>
  <c r="F57" i="4" s="1"/>
  <c r="D32" i="4"/>
  <c r="H32" i="4"/>
  <c r="H57" i="4" s="1"/>
  <c r="I32" i="4"/>
  <c r="I57" i="4" s="1"/>
  <c r="F26" i="4"/>
  <c r="F27" i="4" s="1"/>
  <c r="H26" i="4"/>
  <c r="H27" i="4" s="1"/>
  <c r="E26" i="4"/>
  <c r="E52" i="4" s="1"/>
  <c r="I26" i="4"/>
  <c r="E49" i="4"/>
  <c r="E50" i="4"/>
  <c r="J26" i="4"/>
  <c r="F49" i="4"/>
  <c r="F50" i="4"/>
  <c r="G48" i="4"/>
  <c r="G50" i="4"/>
  <c r="D26" i="4"/>
  <c r="D27" i="4" s="1"/>
  <c r="H49" i="4"/>
  <c r="H50" i="4"/>
  <c r="I50" i="4"/>
  <c r="J50" i="4"/>
  <c r="D28" i="2"/>
  <c r="J51" i="2"/>
  <c r="J23" i="2"/>
  <c r="J48" i="2" s="1"/>
  <c r="J24" i="2"/>
  <c r="J26" i="2" s="1"/>
  <c r="J25" i="2"/>
  <c r="J50" i="2" s="1"/>
  <c r="J28" i="2"/>
  <c r="J32" i="2"/>
  <c r="J33" i="2"/>
  <c r="J58" i="2" s="1"/>
  <c r="J34" i="2"/>
  <c r="J59" i="2" s="1"/>
  <c r="O30" i="5" l="1"/>
  <c r="H37" i="5"/>
  <c r="H44" i="5" s="1"/>
  <c r="AD12" i="5" s="1"/>
  <c r="AD17" i="5" s="1"/>
  <c r="H53" i="5"/>
  <c r="H54" i="5" s="1"/>
  <c r="H69" i="5" s="1"/>
  <c r="H30" i="5"/>
  <c r="G66" i="5"/>
  <c r="G71" i="5" s="1"/>
  <c r="AD10" i="5"/>
  <c r="AD15" i="5" s="1"/>
  <c r="H76" i="5"/>
  <c r="L53" i="5"/>
  <c r="L54" i="5" s="1"/>
  <c r="L29" i="5"/>
  <c r="L37" i="5"/>
  <c r="O62" i="5"/>
  <c r="O63" i="5" s="1"/>
  <c r="O70" i="5" s="1"/>
  <c r="O37" i="5"/>
  <c r="J53" i="5"/>
  <c r="J54" i="5" s="1"/>
  <c r="J29" i="5"/>
  <c r="J37" i="5"/>
  <c r="K53" i="5"/>
  <c r="K54" i="5" s="1"/>
  <c r="K29" i="5"/>
  <c r="K37" i="5"/>
  <c r="F53" i="5"/>
  <c r="F54" i="5" s="1"/>
  <c r="F37" i="5"/>
  <c r="F29" i="5"/>
  <c r="N53" i="5"/>
  <c r="N54" i="5" s="1"/>
  <c r="N37" i="5"/>
  <c r="N29" i="5"/>
  <c r="O69" i="5"/>
  <c r="E53" i="5"/>
  <c r="E54" i="5" s="1"/>
  <c r="E29" i="5"/>
  <c r="E37" i="5"/>
  <c r="G30" i="5"/>
  <c r="G42" i="5"/>
  <c r="I41" i="5"/>
  <c r="I40" i="5"/>
  <c r="I43" i="5" s="1"/>
  <c r="AE11" i="5" s="1"/>
  <c r="AE16" i="5" s="1"/>
  <c r="I44" i="5"/>
  <c r="AE12" i="5" s="1"/>
  <c r="AE17" i="5" s="1"/>
  <c r="G37" i="5"/>
  <c r="D53" i="5"/>
  <c r="D54" i="5" s="1"/>
  <c r="D37" i="5"/>
  <c r="D29" i="5"/>
  <c r="M53" i="5"/>
  <c r="M54" i="5" s="1"/>
  <c r="M37" i="5"/>
  <c r="M29" i="5"/>
  <c r="AE10" i="5"/>
  <c r="AE15" i="5" s="1"/>
  <c r="I76" i="5"/>
  <c r="H66" i="5"/>
  <c r="H71" i="5" s="1"/>
  <c r="I66" i="5"/>
  <c r="I71" i="5" s="1"/>
  <c r="I69" i="5"/>
  <c r="K53" i="4"/>
  <c r="K54" i="4" s="1"/>
  <c r="K69" i="4" s="1"/>
  <c r="M36" i="4"/>
  <c r="M62" i="4" s="1"/>
  <c r="M63" i="4" s="1"/>
  <c r="M70" i="4" s="1"/>
  <c r="K36" i="4"/>
  <c r="K62" i="4" s="1"/>
  <c r="K63" i="4" s="1"/>
  <c r="K70" i="4" s="1"/>
  <c r="N36" i="4"/>
  <c r="N62" i="4" s="1"/>
  <c r="N63" i="4" s="1"/>
  <c r="N70" i="4" s="1"/>
  <c r="L61" i="4"/>
  <c r="F35" i="4"/>
  <c r="F61" i="4" s="1"/>
  <c r="G52" i="4"/>
  <c r="N53" i="4"/>
  <c r="N54" i="4" s="1"/>
  <c r="O27" i="4"/>
  <c r="O53" i="4" s="1"/>
  <c r="O54" i="4" s="1"/>
  <c r="K52" i="4"/>
  <c r="O36" i="4"/>
  <c r="O62" i="4" s="1"/>
  <c r="O63" i="4" s="1"/>
  <c r="O70" i="4" s="1"/>
  <c r="O61" i="4"/>
  <c r="N30" i="4"/>
  <c r="N42" i="4"/>
  <c r="N76" i="4" s="1"/>
  <c r="E57" i="4"/>
  <c r="M29" i="4"/>
  <c r="M53" i="4"/>
  <c r="M54" i="4" s="1"/>
  <c r="L53" i="4"/>
  <c r="L54" i="4" s="1"/>
  <c r="L37" i="4"/>
  <c r="L29" i="4"/>
  <c r="K42" i="4"/>
  <c r="K76" i="4" s="1"/>
  <c r="K30" i="4"/>
  <c r="J35" i="4"/>
  <c r="J36" i="4" s="1"/>
  <c r="J62" i="4" s="1"/>
  <c r="J63" i="4" s="1"/>
  <c r="J70" i="4" s="1"/>
  <c r="D57" i="4"/>
  <c r="D35" i="4"/>
  <c r="D36" i="4" s="1"/>
  <c r="D62" i="4" s="1"/>
  <c r="D63" i="4" s="1"/>
  <c r="D70" i="4" s="1"/>
  <c r="G35" i="4"/>
  <c r="G36" i="4" s="1"/>
  <c r="G62" i="4" s="1"/>
  <c r="G63" i="4" s="1"/>
  <c r="G70" i="4" s="1"/>
  <c r="G57" i="4"/>
  <c r="I35" i="4"/>
  <c r="I36" i="4" s="1"/>
  <c r="I62" i="4" s="1"/>
  <c r="I63" i="4" s="1"/>
  <c r="I70" i="4" s="1"/>
  <c r="H35" i="4"/>
  <c r="H36" i="4" s="1"/>
  <c r="H62" i="4" s="1"/>
  <c r="H63" i="4" s="1"/>
  <c r="H70" i="4" s="1"/>
  <c r="F52" i="4"/>
  <c r="H52" i="4"/>
  <c r="F53" i="4"/>
  <c r="F54" i="4" s="1"/>
  <c r="F29" i="4"/>
  <c r="F42" i="4" s="1"/>
  <c r="H53" i="4"/>
  <c r="H54" i="4" s="1"/>
  <c r="H29" i="4"/>
  <c r="H30" i="4" s="1"/>
  <c r="E27" i="4"/>
  <c r="E53" i="4" s="1"/>
  <c r="E54" i="4" s="1"/>
  <c r="E69" i="4" s="1"/>
  <c r="E61" i="4"/>
  <c r="E36" i="4"/>
  <c r="E62" i="4" s="1"/>
  <c r="E63" i="4" s="1"/>
  <c r="E70" i="4" s="1"/>
  <c r="D52" i="4"/>
  <c r="J52" i="4"/>
  <c r="J27" i="4"/>
  <c r="I27" i="4"/>
  <c r="I52" i="4"/>
  <c r="G29" i="4"/>
  <c r="G69" i="4"/>
  <c r="J52" i="2"/>
  <c r="J35" i="2"/>
  <c r="J61" i="2" s="1"/>
  <c r="J49" i="2"/>
  <c r="J57" i="2"/>
  <c r="H40" i="5" l="1"/>
  <c r="H43" i="5" s="1"/>
  <c r="AD11" i="5" s="1"/>
  <c r="AD16" i="5" s="1"/>
  <c r="H41" i="5"/>
  <c r="O66" i="5"/>
  <c r="O71" i="5" s="1"/>
  <c r="J66" i="5"/>
  <c r="J71" i="5" s="1"/>
  <c r="J69" i="5"/>
  <c r="O41" i="5"/>
  <c r="O44" i="5"/>
  <c r="O40" i="5"/>
  <c r="O43" i="5" s="1"/>
  <c r="M44" i="5"/>
  <c r="M40" i="5"/>
  <c r="M43" i="5" s="1"/>
  <c r="E69" i="5"/>
  <c r="E66" i="5"/>
  <c r="E71" i="5" s="1"/>
  <c r="F66" i="5"/>
  <c r="F71" i="5" s="1"/>
  <c r="F69" i="5"/>
  <c r="F44" i="5"/>
  <c r="AB12" i="5" s="1"/>
  <c r="AB17" i="5" s="1"/>
  <c r="F40" i="5"/>
  <c r="F43" i="5" s="1"/>
  <c r="AB11" i="5" s="1"/>
  <c r="AB16" i="5" s="1"/>
  <c r="M69" i="5"/>
  <c r="M66" i="5"/>
  <c r="M71" i="5" s="1"/>
  <c r="K40" i="5"/>
  <c r="K43" i="5" s="1"/>
  <c r="K44" i="5"/>
  <c r="L44" i="5"/>
  <c r="L40" i="5"/>
  <c r="L43" i="5" s="1"/>
  <c r="E30" i="5"/>
  <c r="E41" i="5" s="1"/>
  <c r="E42" i="5"/>
  <c r="D30" i="5"/>
  <c r="D41" i="5" s="1"/>
  <c r="D42" i="5"/>
  <c r="K30" i="5"/>
  <c r="K41" i="5" s="1"/>
  <c r="K42" i="5"/>
  <c r="K76" i="5" s="1"/>
  <c r="L30" i="5"/>
  <c r="L41" i="5" s="1"/>
  <c r="L42" i="5"/>
  <c r="L76" i="5" s="1"/>
  <c r="D44" i="5"/>
  <c r="Z12" i="5" s="1"/>
  <c r="Z17" i="5" s="1"/>
  <c r="D40" i="5"/>
  <c r="D43" i="5" s="1"/>
  <c r="Z11" i="5" s="1"/>
  <c r="Z16" i="5" s="1"/>
  <c r="N30" i="5"/>
  <c r="N41" i="5" s="1"/>
  <c r="N42" i="5"/>
  <c r="N76" i="5" s="1"/>
  <c r="K69" i="5"/>
  <c r="K66" i="5"/>
  <c r="K71" i="5" s="1"/>
  <c r="L69" i="5"/>
  <c r="L66" i="5"/>
  <c r="L71" i="5" s="1"/>
  <c r="F30" i="5"/>
  <c r="F41" i="5" s="1"/>
  <c r="F42" i="5"/>
  <c r="D69" i="5"/>
  <c r="D66" i="5"/>
  <c r="D71" i="5" s="1"/>
  <c r="G76" i="5"/>
  <c r="AC10" i="5"/>
  <c r="AC15" i="5" s="1"/>
  <c r="N44" i="5"/>
  <c r="N40" i="5"/>
  <c r="N43" i="5" s="1"/>
  <c r="J44" i="5"/>
  <c r="J40" i="5"/>
  <c r="J43" i="5" s="1"/>
  <c r="E40" i="5"/>
  <c r="E43" i="5" s="1"/>
  <c r="AA11" i="5" s="1"/>
  <c r="AA16" i="5" s="1"/>
  <c r="E44" i="5"/>
  <c r="AA12" i="5" s="1"/>
  <c r="AA17" i="5" s="1"/>
  <c r="M30" i="5"/>
  <c r="M41" i="5" s="1"/>
  <c r="M42" i="5"/>
  <c r="M76" i="5" s="1"/>
  <c r="G41" i="5"/>
  <c r="G44" i="5"/>
  <c r="AC12" i="5" s="1"/>
  <c r="AC17" i="5" s="1"/>
  <c r="G40" i="5"/>
  <c r="G43" i="5" s="1"/>
  <c r="AC11" i="5" s="1"/>
  <c r="AC16" i="5" s="1"/>
  <c r="N66" i="5"/>
  <c r="N71" i="5" s="1"/>
  <c r="N69" i="5"/>
  <c r="J42" i="5"/>
  <c r="J76" i="5" s="1"/>
  <c r="J30" i="5"/>
  <c r="J41" i="5" s="1"/>
  <c r="F36" i="4"/>
  <c r="F62" i="4" s="1"/>
  <c r="F63" i="4" s="1"/>
  <c r="F70" i="4" s="1"/>
  <c r="M37" i="4"/>
  <c r="M40" i="4" s="1"/>
  <c r="M43" i="4" s="1"/>
  <c r="K37" i="4"/>
  <c r="K44" i="4" s="1"/>
  <c r="K66" i="4"/>
  <c r="K71" i="4" s="1"/>
  <c r="N37" i="4"/>
  <c r="N44" i="4" s="1"/>
  <c r="D61" i="4"/>
  <c r="G61" i="4"/>
  <c r="J61" i="4"/>
  <c r="O66" i="4"/>
  <c r="O71" i="4" s="1"/>
  <c r="O69" i="4"/>
  <c r="N66" i="4"/>
  <c r="N71" i="4" s="1"/>
  <c r="N69" i="4"/>
  <c r="O29" i="4"/>
  <c r="O42" i="4" s="1"/>
  <c r="O76" i="4" s="1"/>
  <c r="H42" i="4"/>
  <c r="H76" i="4" s="1"/>
  <c r="O37" i="4"/>
  <c r="L42" i="4"/>
  <c r="L76" i="4" s="1"/>
  <c r="L30" i="4"/>
  <c r="L41" i="4" s="1"/>
  <c r="L44" i="4"/>
  <c r="L40" i="4"/>
  <c r="L43" i="4" s="1"/>
  <c r="L66" i="4"/>
  <c r="L71" i="4" s="1"/>
  <c r="L69" i="4"/>
  <c r="M69" i="4"/>
  <c r="M66" i="4"/>
  <c r="M71" i="4" s="1"/>
  <c r="M42" i="4"/>
  <c r="M76" i="4" s="1"/>
  <c r="M30" i="4"/>
  <c r="H61" i="4"/>
  <c r="I61" i="4"/>
  <c r="F30" i="4"/>
  <c r="E29" i="4"/>
  <c r="E42" i="4" s="1"/>
  <c r="H37" i="4"/>
  <c r="H40" i="4" s="1"/>
  <c r="H43" i="4" s="1"/>
  <c r="AD11" i="4" s="1"/>
  <c r="AD16" i="4" s="1"/>
  <c r="I53" i="4"/>
  <c r="I54" i="4" s="1"/>
  <c r="I37" i="4"/>
  <c r="I29" i="4"/>
  <c r="E37" i="4"/>
  <c r="J53" i="4"/>
  <c r="J54" i="4" s="1"/>
  <c r="J29" i="4"/>
  <c r="J37" i="4"/>
  <c r="H66" i="4"/>
  <c r="H71" i="4" s="1"/>
  <c r="H69" i="4"/>
  <c r="E66" i="4"/>
  <c r="E71" i="4" s="1"/>
  <c r="F69" i="4"/>
  <c r="G66" i="4"/>
  <c r="G71" i="4" s="1"/>
  <c r="G37" i="4"/>
  <c r="G42" i="4"/>
  <c r="G30" i="4"/>
  <c r="D53" i="4"/>
  <c r="D54" i="4" s="1"/>
  <c r="D29" i="4"/>
  <c r="D37" i="4"/>
  <c r="AB10" i="4"/>
  <c r="AB15" i="4" s="1"/>
  <c r="F76" i="4"/>
  <c r="Z10" i="5" l="1"/>
  <c r="Z15" i="5" s="1"/>
  <c r="D76" i="5"/>
  <c r="F76" i="5"/>
  <c r="AB10" i="5"/>
  <c r="AB15" i="5" s="1"/>
  <c r="AA10" i="5"/>
  <c r="AA15" i="5" s="1"/>
  <c r="E76" i="5"/>
  <c r="F37" i="4"/>
  <c r="F40" i="4" s="1"/>
  <c r="F43" i="4" s="1"/>
  <c r="AB11" i="4" s="1"/>
  <c r="AB16" i="4" s="1"/>
  <c r="M44" i="4"/>
  <c r="M41" i="4"/>
  <c r="K40" i="4"/>
  <c r="K43" i="4" s="1"/>
  <c r="K41" i="4"/>
  <c r="N40" i="4"/>
  <c r="N43" i="4" s="1"/>
  <c r="N41" i="4"/>
  <c r="O30" i="4"/>
  <c r="O41" i="4" s="1"/>
  <c r="AD10" i="4"/>
  <c r="AD15" i="4" s="1"/>
  <c r="O40" i="4"/>
  <c r="O43" i="4" s="1"/>
  <c r="O44" i="4"/>
  <c r="E30" i="4"/>
  <c r="E41" i="4" s="1"/>
  <c r="H41" i="4"/>
  <c r="H44" i="4"/>
  <c r="AD12" i="4" s="1"/>
  <c r="AD17" i="4" s="1"/>
  <c r="F66" i="4"/>
  <c r="F71" i="4" s="1"/>
  <c r="J69" i="4"/>
  <c r="J66" i="4"/>
  <c r="J71" i="4" s="1"/>
  <c r="G40" i="4"/>
  <c r="G43" i="4" s="1"/>
  <c r="AC11" i="4" s="1"/>
  <c r="AC16" i="4" s="1"/>
  <c r="G44" i="4"/>
  <c r="AC12" i="4" s="1"/>
  <c r="AC17" i="4" s="1"/>
  <c r="G41" i="4"/>
  <c r="AC10" i="4"/>
  <c r="AC15" i="4" s="1"/>
  <c r="G76" i="4"/>
  <c r="AA10" i="4"/>
  <c r="AA15" i="4" s="1"/>
  <c r="E76" i="4"/>
  <c r="D44" i="4"/>
  <c r="Z12" i="4" s="1"/>
  <c r="Z17" i="4" s="1"/>
  <c r="D40" i="4"/>
  <c r="D43" i="4" s="1"/>
  <c r="Z11" i="4" s="1"/>
  <c r="Z16" i="4" s="1"/>
  <c r="E40" i="4"/>
  <c r="E43" i="4" s="1"/>
  <c r="AA11" i="4" s="1"/>
  <c r="AA16" i="4" s="1"/>
  <c r="E44" i="4"/>
  <c r="AA12" i="4" s="1"/>
  <c r="AA17" i="4" s="1"/>
  <c r="D42" i="4"/>
  <c r="D30" i="4"/>
  <c r="D41" i="4" s="1"/>
  <c r="I42" i="4"/>
  <c r="I30" i="4"/>
  <c r="I41" i="4" s="1"/>
  <c r="D69" i="4"/>
  <c r="D66" i="4"/>
  <c r="D71" i="4" s="1"/>
  <c r="J44" i="4"/>
  <c r="J40" i="4"/>
  <c r="J43" i="4" s="1"/>
  <c r="I40" i="4"/>
  <c r="I43" i="4" s="1"/>
  <c r="AE11" i="4" s="1"/>
  <c r="AE16" i="4" s="1"/>
  <c r="I44" i="4"/>
  <c r="AE12" i="4" s="1"/>
  <c r="AE17" i="4" s="1"/>
  <c r="J42" i="4"/>
  <c r="J76" i="4" s="1"/>
  <c r="J30" i="4"/>
  <c r="J41" i="4" s="1"/>
  <c r="I69" i="4"/>
  <c r="I66" i="4"/>
  <c r="I71" i="4" s="1"/>
  <c r="F44" i="4" l="1"/>
  <c r="AB12" i="4" s="1"/>
  <c r="AB17" i="4" s="1"/>
  <c r="F41" i="4"/>
  <c r="AE10" i="4"/>
  <c r="AE15" i="4" s="1"/>
  <c r="I76" i="4"/>
  <c r="Z10" i="4"/>
  <c r="Z15" i="4" s="1"/>
  <c r="D76" i="4"/>
  <c r="C71" i="2" l="1"/>
  <c r="C70" i="2"/>
  <c r="C69" i="2"/>
  <c r="C62" i="2"/>
  <c r="C61" i="2"/>
  <c r="C59" i="2"/>
  <c r="C58" i="2"/>
  <c r="C57" i="2"/>
  <c r="C53" i="2"/>
  <c r="C52" i="2"/>
  <c r="I51" i="2"/>
  <c r="H51" i="2"/>
  <c r="G51" i="2"/>
  <c r="F51" i="2"/>
  <c r="E51" i="2"/>
  <c r="D51" i="2"/>
  <c r="C50" i="2"/>
  <c r="C49" i="2"/>
  <c r="C48" i="2"/>
  <c r="C44" i="2"/>
  <c r="C43" i="2"/>
  <c r="C42" i="2"/>
  <c r="I34" i="2"/>
  <c r="I59" i="2" s="1"/>
  <c r="H34" i="2"/>
  <c r="H59" i="2" s="1"/>
  <c r="G34" i="2"/>
  <c r="G59" i="2" s="1"/>
  <c r="F34" i="2"/>
  <c r="F59" i="2" s="1"/>
  <c r="E34" i="2"/>
  <c r="E59" i="2" s="1"/>
  <c r="D34" i="2"/>
  <c r="D59" i="2" s="1"/>
  <c r="I33" i="2"/>
  <c r="I58" i="2" s="1"/>
  <c r="I32" i="2"/>
  <c r="H32" i="2"/>
  <c r="H57" i="2" s="1"/>
  <c r="G32" i="2"/>
  <c r="G57" i="2" s="1"/>
  <c r="F32" i="2"/>
  <c r="F57" i="2" s="1"/>
  <c r="E32" i="2"/>
  <c r="E57" i="2" s="1"/>
  <c r="D32" i="2"/>
  <c r="D57" i="2" s="1"/>
  <c r="I28" i="2"/>
  <c r="H28" i="2"/>
  <c r="G28" i="2"/>
  <c r="F28" i="2"/>
  <c r="E28" i="2"/>
  <c r="I25" i="2"/>
  <c r="I50" i="2" s="1"/>
  <c r="H25" i="2"/>
  <c r="G25" i="2"/>
  <c r="F25" i="2"/>
  <c r="E25" i="2"/>
  <c r="D25" i="2"/>
  <c r="I24" i="2"/>
  <c r="I49" i="2" s="1"/>
  <c r="H24" i="2"/>
  <c r="H49" i="2" s="1"/>
  <c r="G24" i="2"/>
  <c r="G49" i="2" s="1"/>
  <c r="F24" i="2"/>
  <c r="F49" i="2" s="1"/>
  <c r="E24" i="2"/>
  <c r="E49" i="2" s="1"/>
  <c r="D24" i="2"/>
  <c r="D49" i="2" s="1"/>
  <c r="U23" i="2"/>
  <c r="I23" i="2"/>
  <c r="I48" i="2" s="1"/>
  <c r="H23" i="2"/>
  <c r="H48" i="2" s="1"/>
  <c r="G23" i="2"/>
  <c r="G48" i="2" s="1"/>
  <c r="F23" i="2"/>
  <c r="F48" i="2" s="1"/>
  <c r="E23" i="2"/>
  <c r="E48" i="2" s="1"/>
  <c r="D23" i="2"/>
  <c r="D48" i="2" s="1"/>
  <c r="V22" i="2"/>
  <c r="V21" i="2"/>
  <c r="T17" i="2"/>
  <c r="T16" i="2"/>
  <c r="T15" i="2"/>
  <c r="H33" i="2"/>
  <c r="H58" i="2" s="1"/>
  <c r="G33" i="2"/>
  <c r="G58" i="2" s="1"/>
  <c r="F33" i="2"/>
  <c r="F58" i="2" s="1"/>
  <c r="E33" i="2"/>
  <c r="D33" i="2"/>
  <c r="T12" i="2"/>
  <c r="T11" i="2"/>
  <c r="T10" i="2"/>
  <c r="I3" i="2"/>
  <c r="J36" i="2" s="1"/>
  <c r="J62" i="2" s="1"/>
  <c r="J63" i="2" s="1"/>
  <c r="I2" i="2"/>
  <c r="J27" i="2" s="1"/>
  <c r="J53" i="2" l="1"/>
  <c r="J54" i="2" s="1"/>
  <c r="J69" i="2" s="1"/>
  <c r="J29" i="2"/>
  <c r="J37" i="2"/>
  <c r="V23" i="2"/>
  <c r="W23" i="2" s="1"/>
  <c r="J66" i="2"/>
  <c r="J71" i="2" s="1"/>
  <c r="J70" i="2"/>
  <c r="I35" i="2"/>
  <c r="I61" i="2" s="1"/>
  <c r="I57" i="2"/>
  <c r="D26" i="2"/>
  <c r="D52" i="2" s="1"/>
  <c r="E26" i="2"/>
  <c r="E52" i="2" s="1"/>
  <c r="D35" i="2"/>
  <c r="D58" i="2"/>
  <c r="E35" i="2"/>
  <c r="E58" i="2"/>
  <c r="F26" i="2"/>
  <c r="F35" i="2"/>
  <c r="D50" i="2"/>
  <c r="G26" i="2"/>
  <c r="G35" i="2"/>
  <c r="E50" i="2"/>
  <c r="H26" i="2"/>
  <c r="H35" i="2"/>
  <c r="F50" i="2"/>
  <c r="I26" i="2"/>
  <c r="G50" i="2"/>
  <c r="D27" i="2"/>
  <c r="D53" i="2" s="1"/>
  <c r="D54" i="2" s="1"/>
  <c r="H50" i="2"/>
  <c r="U22" i="1"/>
  <c r="U21" i="1"/>
  <c r="T23" i="1"/>
  <c r="D25" i="1"/>
  <c r="E25" i="1"/>
  <c r="F25" i="1"/>
  <c r="G25" i="1"/>
  <c r="H25" i="1"/>
  <c r="I25" i="1"/>
  <c r="E13" i="1"/>
  <c r="F13" i="1"/>
  <c r="G13" i="1"/>
  <c r="H13" i="1"/>
  <c r="I13" i="1"/>
  <c r="D13" i="1"/>
  <c r="E28" i="1"/>
  <c r="F28" i="1"/>
  <c r="G28" i="1"/>
  <c r="H28" i="1"/>
  <c r="I28" i="1"/>
  <c r="D28" i="1"/>
  <c r="D24" i="1"/>
  <c r="D34" i="1"/>
  <c r="D59" i="1" s="1"/>
  <c r="E34" i="1"/>
  <c r="E59" i="1" s="1"/>
  <c r="F34" i="1"/>
  <c r="F59" i="1" s="1"/>
  <c r="G34" i="1"/>
  <c r="G59" i="1" s="1"/>
  <c r="H34" i="1"/>
  <c r="H59" i="1" s="1"/>
  <c r="I34" i="1"/>
  <c r="I59" i="1" s="1"/>
  <c r="I20" i="1"/>
  <c r="E20" i="1"/>
  <c r="F20" i="1"/>
  <c r="G20" i="1"/>
  <c r="H20" i="1"/>
  <c r="D20" i="1"/>
  <c r="D33" i="1"/>
  <c r="D23" i="1"/>
  <c r="E32" i="1"/>
  <c r="F32" i="1"/>
  <c r="G32" i="1"/>
  <c r="H32" i="1"/>
  <c r="I32" i="1"/>
  <c r="D32" i="1"/>
  <c r="S16" i="1"/>
  <c r="S17" i="1"/>
  <c r="S15" i="1"/>
  <c r="S11" i="1"/>
  <c r="S12" i="1"/>
  <c r="S10" i="1"/>
  <c r="J44" i="2" l="1"/>
  <c r="J40" i="2"/>
  <c r="J43" i="2" s="1"/>
  <c r="J42" i="2"/>
  <c r="J76" i="2" s="1"/>
  <c r="J30" i="2"/>
  <c r="J41" i="2" s="1"/>
  <c r="I36" i="2"/>
  <c r="I62" i="2" s="1"/>
  <c r="I63" i="2" s="1"/>
  <c r="I70" i="2" s="1"/>
  <c r="D29" i="2"/>
  <c r="D30" i="2" s="1"/>
  <c r="E27" i="2"/>
  <c r="E53" i="2" s="1"/>
  <c r="E54" i="2" s="1"/>
  <c r="E69" i="2" s="1"/>
  <c r="F61" i="2"/>
  <c r="F36" i="2"/>
  <c r="F62" i="2" s="1"/>
  <c r="F63" i="2" s="1"/>
  <c r="F70" i="2" s="1"/>
  <c r="H52" i="2"/>
  <c r="H27" i="2"/>
  <c r="F27" i="2"/>
  <c r="F52" i="2"/>
  <c r="G61" i="2"/>
  <c r="G36" i="2"/>
  <c r="G62" i="2" s="1"/>
  <c r="G63" i="2" s="1"/>
  <c r="G70" i="2" s="1"/>
  <c r="E61" i="2"/>
  <c r="E36" i="2"/>
  <c r="E62" i="2" s="1"/>
  <c r="E63" i="2" s="1"/>
  <c r="E70" i="2" s="1"/>
  <c r="H61" i="2"/>
  <c r="H36" i="2"/>
  <c r="H62" i="2" s="1"/>
  <c r="H63" i="2" s="1"/>
  <c r="H70" i="2" s="1"/>
  <c r="D69" i="2"/>
  <c r="I52" i="2"/>
  <c r="I27" i="2"/>
  <c r="G27" i="2"/>
  <c r="G52" i="2"/>
  <c r="D61" i="2"/>
  <c r="D36" i="2"/>
  <c r="D62" i="2" s="1"/>
  <c r="D63" i="2" s="1"/>
  <c r="D70" i="2" s="1"/>
  <c r="U23" i="1"/>
  <c r="V23" i="1" s="1"/>
  <c r="I23" i="1"/>
  <c r="E29" i="2" l="1"/>
  <c r="E30" i="2" s="1"/>
  <c r="D42" i="2"/>
  <c r="D76" i="2" s="1"/>
  <c r="D37" i="2"/>
  <c r="D44" i="2" s="1"/>
  <c r="E66" i="2"/>
  <c r="E71" i="2" s="1"/>
  <c r="D66" i="2"/>
  <c r="D71" i="2" s="1"/>
  <c r="F53" i="2"/>
  <c r="F54" i="2" s="1"/>
  <c r="F29" i="2"/>
  <c r="F37" i="2"/>
  <c r="H53" i="2"/>
  <c r="H54" i="2" s="1"/>
  <c r="H29" i="2"/>
  <c r="H37" i="2"/>
  <c r="G53" i="2"/>
  <c r="G54" i="2" s="1"/>
  <c r="G37" i="2"/>
  <c r="G29" i="2"/>
  <c r="I37" i="2"/>
  <c r="I53" i="2"/>
  <c r="I54" i="2" s="1"/>
  <c r="I29" i="2"/>
  <c r="E37" i="2"/>
  <c r="E24" i="1"/>
  <c r="F24" i="1"/>
  <c r="G24" i="1"/>
  <c r="H24" i="1"/>
  <c r="I24" i="1"/>
  <c r="E60" i="1"/>
  <c r="F60" i="1"/>
  <c r="G60" i="1"/>
  <c r="H60" i="1"/>
  <c r="I60" i="1"/>
  <c r="E42" i="2" l="1"/>
  <c r="E76" i="2" s="1"/>
  <c r="U12" i="2"/>
  <c r="U17" i="2" s="1"/>
  <c r="U10" i="2"/>
  <c r="U15" i="2" s="1"/>
  <c r="D40" i="2"/>
  <c r="D43" i="2" s="1"/>
  <c r="U11" i="2" s="1"/>
  <c r="U16" i="2" s="1"/>
  <c r="D41" i="2"/>
  <c r="I30" i="2"/>
  <c r="I41" i="2" s="1"/>
  <c r="I42" i="2"/>
  <c r="H66" i="2"/>
  <c r="H71" i="2" s="1"/>
  <c r="H69" i="2"/>
  <c r="I66" i="2"/>
  <c r="I71" i="2" s="1"/>
  <c r="I69" i="2"/>
  <c r="H44" i="2"/>
  <c r="Y12" i="2" s="1"/>
  <c r="Y17" i="2" s="1"/>
  <c r="H40" i="2"/>
  <c r="H43" i="2" s="1"/>
  <c r="Y11" i="2" s="1"/>
  <c r="Y16" i="2" s="1"/>
  <c r="E44" i="2"/>
  <c r="V12" i="2" s="1"/>
  <c r="V17" i="2" s="1"/>
  <c r="E41" i="2"/>
  <c r="E40" i="2"/>
  <c r="E43" i="2" s="1"/>
  <c r="V11" i="2" s="1"/>
  <c r="V16" i="2" s="1"/>
  <c r="I40" i="2"/>
  <c r="I43" i="2" s="1"/>
  <c r="Z11" i="2" s="1"/>
  <c r="Z16" i="2" s="1"/>
  <c r="I44" i="2"/>
  <c r="Z12" i="2" s="1"/>
  <c r="Z17" i="2" s="1"/>
  <c r="G30" i="2"/>
  <c r="G41" i="2" s="1"/>
  <c r="G42" i="2"/>
  <c r="G44" i="2"/>
  <c r="X12" i="2" s="1"/>
  <c r="X17" i="2" s="1"/>
  <c r="G40" i="2"/>
  <c r="G43" i="2" s="1"/>
  <c r="X11" i="2" s="1"/>
  <c r="X16" i="2" s="1"/>
  <c r="F30" i="2"/>
  <c r="F41" i="2" s="1"/>
  <c r="F42" i="2"/>
  <c r="H30" i="2"/>
  <c r="H41" i="2" s="1"/>
  <c r="H42" i="2"/>
  <c r="F44" i="2"/>
  <c r="W12" i="2" s="1"/>
  <c r="W17" i="2" s="1"/>
  <c r="F40" i="2"/>
  <c r="F43" i="2" s="1"/>
  <c r="W11" i="2" s="1"/>
  <c r="W16" i="2" s="1"/>
  <c r="G66" i="2"/>
  <c r="G71" i="2" s="1"/>
  <c r="G69" i="2"/>
  <c r="F66" i="2"/>
  <c r="F71" i="2" s="1"/>
  <c r="F69" i="2"/>
  <c r="C71" i="1"/>
  <c r="C70" i="1"/>
  <c r="C69" i="1"/>
  <c r="C58" i="1"/>
  <c r="C59" i="1"/>
  <c r="C61" i="1"/>
  <c r="C62" i="1"/>
  <c r="C57" i="1"/>
  <c r="V10" i="2" l="1"/>
  <c r="V15" i="2" s="1"/>
  <c r="Z10" i="2"/>
  <c r="Z15" i="2" s="1"/>
  <c r="I76" i="2"/>
  <c r="G76" i="2"/>
  <c r="X10" i="2"/>
  <c r="X15" i="2" s="1"/>
  <c r="H76" i="2"/>
  <c r="Y10" i="2"/>
  <c r="Y15" i="2" s="1"/>
  <c r="W10" i="2"/>
  <c r="W15" i="2" s="1"/>
  <c r="F76" i="2"/>
  <c r="C53" i="1"/>
  <c r="C49" i="1"/>
  <c r="C50" i="1"/>
  <c r="C52" i="1"/>
  <c r="C48" i="1"/>
  <c r="C44" i="1"/>
  <c r="C43" i="1"/>
  <c r="C42" i="1"/>
  <c r="E23" i="1"/>
  <c r="E48" i="1" s="1"/>
  <c r="F23" i="1"/>
  <c r="F48" i="1" s="1"/>
  <c r="G23" i="1"/>
  <c r="G48" i="1" s="1"/>
  <c r="H23" i="1"/>
  <c r="H48" i="1" s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7" i="1"/>
  <c r="F57" i="1"/>
  <c r="G57" i="1"/>
  <c r="H57" i="1"/>
  <c r="I57" i="1"/>
  <c r="E33" i="1"/>
  <c r="E58" i="1" s="1"/>
  <c r="F33" i="1"/>
  <c r="F58" i="1" s="1"/>
  <c r="G33" i="1"/>
  <c r="G58" i="1" s="1"/>
  <c r="H33" i="1"/>
  <c r="H58" i="1" s="1"/>
  <c r="I33" i="1"/>
  <c r="I58" i="1" s="1"/>
  <c r="D58" i="1"/>
  <c r="D49" i="1"/>
  <c r="D51" i="1"/>
  <c r="I3" i="1"/>
  <c r="I2" i="1"/>
  <c r="D48" i="1"/>
  <c r="D35" i="1" l="1"/>
  <c r="D61" i="1" s="1"/>
  <c r="D57" i="1"/>
  <c r="D50" i="1"/>
  <c r="G35" i="1"/>
  <c r="G61" i="1" s="1"/>
  <c r="E26" i="1"/>
  <c r="I35" i="1"/>
  <c r="I61" i="1" s="1"/>
  <c r="F35" i="1"/>
  <c r="F61" i="1" s="1"/>
  <c r="G26" i="1"/>
  <c r="E35" i="1"/>
  <c r="E61" i="1" s="1"/>
  <c r="I26" i="1"/>
  <c r="H26" i="1"/>
  <c r="H52" i="1" s="1"/>
  <c r="F26" i="1"/>
  <c r="H35" i="1"/>
  <c r="H61" i="1" s="1"/>
  <c r="D26" i="1"/>
  <c r="D52" i="1" s="1"/>
  <c r="G36" i="1" l="1"/>
  <c r="G62" i="1" s="1"/>
  <c r="G63" i="1" s="1"/>
  <c r="G70" i="1" s="1"/>
  <c r="D36" i="1"/>
  <c r="D62" i="1" s="1"/>
  <c r="D63" i="1" s="1"/>
  <c r="D70" i="1" s="1"/>
  <c r="I36" i="1"/>
  <c r="I62" i="1" s="1"/>
  <c r="I63" i="1" s="1"/>
  <c r="E36" i="1"/>
  <c r="E62" i="1" s="1"/>
  <c r="E63" i="1" s="1"/>
  <c r="F36" i="1"/>
  <c r="F62" i="1" s="1"/>
  <c r="F63" i="1" s="1"/>
  <c r="H36" i="1"/>
  <c r="H62" i="1" s="1"/>
  <c r="H63" i="1" s="1"/>
  <c r="I27" i="1"/>
  <c r="I52" i="1"/>
  <c r="G27" i="1"/>
  <c r="G29" i="1" s="1"/>
  <c r="G30" i="1" s="1"/>
  <c r="G52" i="1"/>
  <c r="E27" i="1"/>
  <c r="E53" i="1" s="1"/>
  <c r="E54" i="1" s="1"/>
  <c r="E69" i="1" s="1"/>
  <c r="E52" i="1"/>
  <c r="F27" i="1"/>
  <c r="F52" i="1"/>
  <c r="H27" i="1"/>
  <c r="D27" i="1"/>
  <c r="D37" i="1" l="1"/>
  <c r="I37" i="1"/>
  <c r="I44" i="1" s="1"/>
  <c r="Y12" i="1" s="1"/>
  <c r="Y17" i="1" s="1"/>
  <c r="H70" i="1"/>
  <c r="F70" i="1"/>
  <c r="E70" i="1"/>
  <c r="E66" i="1"/>
  <c r="I70" i="1"/>
  <c r="G42" i="1"/>
  <c r="E37" i="1"/>
  <c r="E44" i="1" s="1"/>
  <c r="U12" i="1" s="1"/>
  <c r="U17" i="1" s="1"/>
  <c r="I29" i="1"/>
  <c r="I53" i="1"/>
  <c r="I54" i="1" s="1"/>
  <c r="I69" i="1" s="1"/>
  <c r="F29" i="1"/>
  <c r="F30" i="1" s="1"/>
  <c r="F53" i="1"/>
  <c r="F54" i="1" s="1"/>
  <c r="F69" i="1" s="1"/>
  <c r="D53" i="1"/>
  <c r="D54" i="1" s="1"/>
  <c r="D69" i="1" s="1"/>
  <c r="D29" i="1"/>
  <c r="D30" i="1" s="1"/>
  <c r="H37" i="1"/>
  <c r="H44" i="1" s="1"/>
  <c r="X12" i="1" s="1"/>
  <c r="X17" i="1" s="1"/>
  <c r="H53" i="1"/>
  <c r="H54" i="1" s="1"/>
  <c r="H69" i="1" s="1"/>
  <c r="F37" i="1"/>
  <c r="F44" i="1" s="1"/>
  <c r="V12" i="1" s="1"/>
  <c r="V17" i="1" s="1"/>
  <c r="E29" i="1"/>
  <c r="G37" i="1"/>
  <c r="G44" i="1" s="1"/>
  <c r="W12" i="1" s="1"/>
  <c r="W17" i="1" s="1"/>
  <c r="G53" i="1"/>
  <c r="G54" i="1" s="1"/>
  <c r="H29" i="1"/>
  <c r="D44" i="1" l="1"/>
  <c r="T12" i="1" s="1"/>
  <c r="T17" i="1" s="1"/>
  <c r="D40" i="1"/>
  <c r="D43" i="1" s="1"/>
  <c r="T11" i="1" s="1"/>
  <c r="T16" i="1" s="1"/>
  <c r="D41" i="1"/>
  <c r="G76" i="1"/>
  <c r="W10" i="1"/>
  <c r="W15" i="1" s="1"/>
  <c r="D66" i="1"/>
  <c r="D71" i="1" s="1"/>
  <c r="F66" i="1"/>
  <c r="F71" i="1" s="1"/>
  <c r="G69" i="1"/>
  <c r="G66" i="1"/>
  <c r="G71" i="1" s="1"/>
  <c r="I66" i="1"/>
  <c r="I71" i="1" s="1"/>
  <c r="H66" i="1"/>
  <c r="H71" i="1" s="1"/>
  <c r="E30" i="1"/>
  <c r="E41" i="1" s="1"/>
  <c r="I30" i="1"/>
  <c r="I41" i="1" s="1"/>
  <c r="H30" i="1"/>
  <c r="H41" i="1" s="1"/>
  <c r="F41" i="1"/>
  <c r="G41" i="1"/>
  <c r="E71" i="1"/>
  <c r="F42" i="1"/>
  <c r="I42" i="1"/>
  <c r="G40" i="1"/>
  <c r="G43" i="1" s="1"/>
  <c r="W11" i="1" s="1"/>
  <c r="W16" i="1" s="1"/>
  <c r="E40" i="1"/>
  <c r="E43" i="1" s="1"/>
  <c r="U11" i="1" s="1"/>
  <c r="U16" i="1" s="1"/>
  <c r="F40" i="1"/>
  <c r="F43" i="1" s="1"/>
  <c r="V11" i="1" s="1"/>
  <c r="V16" i="1" s="1"/>
  <c r="E42" i="1"/>
  <c r="I40" i="1"/>
  <c r="I43" i="1" s="1"/>
  <c r="Y11" i="1" s="1"/>
  <c r="Y16" i="1" s="1"/>
  <c r="D42" i="1"/>
  <c r="H40" i="1"/>
  <c r="H43" i="1" s="1"/>
  <c r="X11" i="1" s="1"/>
  <c r="X16" i="1" s="1"/>
  <c r="H42" i="1"/>
  <c r="D76" i="1" l="1"/>
  <c r="T10" i="1"/>
  <c r="T15" i="1" s="1"/>
  <c r="F76" i="1"/>
  <c r="V10" i="1"/>
  <c r="V15" i="1" s="1"/>
  <c r="E76" i="1"/>
  <c r="U10" i="1"/>
  <c r="U15" i="1" s="1"/>
  <c r="H76" i="1"/>
  <c r="X10" i="1"/>
  <c r="X15" i="1" s="1"/>
  <c r="I76" i="1"/>
  <c r="Y10" i="1"/>
  <c r="Y15" i="1" s="1"/>
</calcChain>
</file>

<file path=xl/sharedStrings.xml><?xml version="1.0" encoding="utf-8"?>
<sst xmlns="http://schemas.openxmlformats.org/spreadsheetml/2006/main" count="347" uniqueCount="64">
  <si>
    <t>μ</t>
  </si>
  <si>
    <t>D</t>
  </si>
  <si>
    <t>Tamb</t>
  </si>
  <si>
    <t>Pamb</t>
  </si>
  <si>
    <t>Pscav</t>
  </si>
  <si>
    <t>Texh</t>
  </si>
  <si>
    <t>Pexh</t>
  </si>
  <si>
    <t>BackPr</t>
  </si>
  <si>
    <t>Dp-af</t>
  </si>
  <si>
    <t>Dp-ac</t>
  </si>
  <si>
    <t>n (rpm)</t>
  </si>
  <si>
    <t>N (rpm)</t>
  </si>
  <si>
    <t>Tcomp.del</t>
  </si>
  <si>
    <t>t.aft.turb.</t>
  </si>
  <si>
    <t>Philippe</t>
  </si>
  <si>
    <t>MAN</t>
  </si>
  <si>
    <t>Πc</t>
  </si>
  <si>
    <t>p1</t>
  </si>
  <si>
    <t>p2</t>
  </si>
  <si>
    <t>γAIR</t>
  </si>
  <si>
    <t>(γ-1)γAIR</t>
  </si>
  <si>
    <t>(γ-1)γG</t>
  </si>
  <si>
    <t>γG</t>
  </si>
  <si>
    <t>p3</t>
  </si>
  <si>
    <t>T1</t>
  </si>
  <si>
    <t>T2</t>
  </si>
  <si>
    <t>Πt</t>
  </si>
  <si>
    <t>(Πc^γ)-1</t>
  </si>
  <si>
    <t>U</t>
  </si>
  <si>
    <t>Compressor</t>
  </si>
  <si>
    <t>ηISc</t>
  </si>
  <si>
    <t>p4</t>
  </si>
  <si>
    <t>T3</t>
  </si>
  <si>
    <t xml:space="preserve">TC </t>
  </si>
  <si>
    <t>ηIStc</t>
  </si>
  <si>
    <t xml:space="preserve">Turbine </t>
  </si>
  <si>
    <t>ηISt</t>
  </si>
  <si>
    <t>Thermodynamics</t>
  </si>
  <si>
    <t>Τ4</t>
  </si>
  <si>
    <t>1-(Πt^-γ)</t>
  </si>
  <si>
    <t>Load</t>
  </si>
  <si>
    <t>Manufacturer</t>
  </si>
  <si>
    <t xml:space="preserve"> (from Compressor Map)</t>
  </si>
  <si>
    <t>MAN /Manu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</si>
  <si>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</si>
  <si>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Parameters</t>
  </si>
  <si>
    <t>Ta.turb</t>
  </si>
  <si>
    <t>ηISt2</t>
  </si>
  <si>
    <t>Isc factor</t>
  </si>
  <si>
    <t>ηc</t>
  </si>
  <si>
    <t>Isc factor low</t>
  </si>
  <si>
    <t>MAN original</t>
  </si>
  <si>
    <t>Semsitivity analysis</t>
  </si>
  <si>
    <t>Difference</t>
  </si>
  <si>
    <t>psc-pexh</t>
  </si>
  <si>
    <t>Error table</t>
  </si>
  <si>
    <t>Tscav</t>
  </si>
  <si>
    <t>γ</t>
  </si>
  <si>
    <t>TC speed</t>
  </si>
  <si>
    <t>backpressure</t>
  </si>
  <si>
    <t>ηm</t>
  </si>
  <si>
    <t>Psc - Pexh</t>
  </si>
  <si>
    <t>BP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</si>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</sst>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/>
    <xf numFmtId="165" fontId="0" fillId="0" borderId="0" xfId="0" applyNumberFormat="1"/>
    <xf numFmtId="0" fontId="3" fillId="0" borderId="0" xfId="0" applyFont="1"/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164" fontId="4" fillId="2" borderId="2" xfId="1" applyNumberFormat="1" applyFont="1" applyFill="1" applyBorder="1"/>
    <xf numFmtId="164" fontId="4" fillId="2" borderId="3" xfId="1" applyNumberFormat="1" applyFont="1" applyFill="1" applyBorder="1"/>
    <xf numFmtId="164" fontId="4" fillId="2" borderId="4" xfId="1" applyNumberFormat="1" applyFont="1" applyFill="1" applyBorder="1"/>
    <xf numFmtId="164" fontId="4" fillId="2" borderId="5" xfId="1" applyNumberFormat="1" applyFont="1" applyFill="1" applyBorder="1"/>
    <xf numFmtId="164" fontId="4" fillId="2" borderId="1" xfId="1" applyNumberFormat="1" applyFont="1" applyFill="1" applyBorder="1"/>
    <xf numFmtId="164" fontId="4" fillId="2" borderId="6" xfId="1" applyNumberFormat="1" applyFont="1" applyFill="1" applyBorder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2" borderId="9" xfId="1" applyNumberFormat="1" applyFont="1" applyFill="1" applyBorder="1"/>
    <xf numFmtId="0" fontId="0" fillId="4" borderId="1" xfId="0" applyFill="1" applyBorder="1"/>
    <xf numFmtId="0" fontId="0" fillId="3" borderId="1" xfId="0" applyFill="1" applyBorder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0" fillId="5" borderId="0" xfId="0" applyFill="1"/>
    <xf numFmtId="9" fontId="0" fillId="0" borderId="0" xfId="0" applyNumberFormat="1"/>
    <xf numFmtId="164" fontId="4" fillId="6" borderId="8" xfId="1" applyNumberFormat="1" applyFont="1" applyFill="1" applyBorder="1"/>
    <xf numFmtId="10" fontId="7" fillId="7" borderId="0" xfId="1" applyNumberFormat="1" applyFont="1" applyFill="1"/>
    <xf numFmtId="2" fontId="0" fillId="0" borderId="0" xfId="1" applyNumberFormat="1" applyFont="1"/>
    <xf numFmtId="10" fontId="0" fillId="2" borderId="0" xfId="1" applyNumberFormat="1" applyFont="1" applyFill="1"/>
    <xf numFmtId="164" fontId="0" fillId="0" borderId="0" xfId="0" applyNumberFormat="1"/>
    <xf numFmtId="167" fontId="0" fillId="0" borderId="0" xfId="0" applyNumberFormat="1"/>
    <xf numFmtId="164" fontId="4" fillId="2" borderId="10" xfId="1" applyNumberFormat="1" applyFont="1" applyFill="1" applyBorder="1"/>
    <xf numFmtId="164" fontId="4" fillId="2" borderId="11" xfId="1" applyNumberFormat="1" applyFont="1" applyFill="1" applyBorder="1"/>
    <xf numFmtId="164" fontId="4" fillId="2" borderId="12" xfId="1" applyNumberFormat="1" applyFont="1" applyFill="1" applyBorder="1"/>
    <xf numFmtId="0" fontId="0" fillId="8" borderId="0" xfId="0" applyFill="1"/>
    <xf numFmtId="167" fontId="0" fillId="0" borderId="0" xfId="0" applyNumberFormat="1" applyFill="1"/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7" fillId="0" borderId="0" xfId="0" applyFont="1" applyFill="1"/>
  </cellXfs>
  <cellStyles count="3">
    <cellStyle name="Normal" xfId="0" builtinId="0"/>
    <cellStyle name="Normal 2" xfId="2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Shop!$C$21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Shop!$D$42:$I$42</c:f>
              <c:numCache>
                <c:formatCode>0.0%</c:formatCode>
                <c:ptCount val="6"/>
                <c:pt idx="0">
                  <c:v>0.82324419377495617</c:v>
                </c:pt>
                <c:pt idx="1">
                  <c:v>0.7733737043275386</c:v>
                </c:pt>
                <c:pt idx="2">
                  <c:v>0.75839788862565871</c:v>
                </c:pt>
                <c:pt idx="3">
                  <c:v>0.77969919517434116</c:v>
                </c:pt>
                <c:pt idx="4">
                  <c:v>0.76438386855207641</c:v>
                </c:pt>
                <c:pt idx="5">
                  <c:v>0.74810409672059253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Shop!$C$46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Shop!$D$69:$I$69</c:f>
              <c:numCache>
                <c:formatCode>0.0%</c:formatCode>
                <c:ptCount val="6"/>
                <c:pt idx="0">
                  <c:v>1.3724058003675725</c:v>
                </c:pt>
                <c:pt idx="1">
                  <c:v>0.95026276674433952</c:v>
                </c:pt>
                <c:pt idx="2">
                  <c:v>0.88416645061071053</c:v>
                </c:pt>
                <c:pt idx="3">
                  <c:v>0.88283230363653808</c:v>
                </c:pt>
                <c:pt idx="4">
                  <c:v>0.85291580504050357</c:v>
                </c:pt>
                <c:pt idx="5">
                  <c:v>0.82286514452561454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Shop!$C$73</c:f>
              <c:strCache>
                <c:ptCount val="1"/>
                <c:pt idx="0">
                  <c:v>Manufacturer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Shop!$D$74:$I$74</c:f>
              <c:numCache>
                <c:formatCode>0.00%</c:formatCode>
                <c:ptCount val="6"/>
                <c:pt idx="0">
                  <c:v>0.9</c:v>
                </c:pt>
                <c:pt idx="1">
                  <c:v>0.85499999999999998</c:v>
                </c:pt>
                <c:pt idx="2">
                  <c:v>0.86</c:v>
                </c:pt>
                <c:pt idx="3">
                  <c:v>0.86499999999999999</c:v>
                </c:pt>
                <c:pt idx="4">
                  <c:v>0.86</c:v>
                </c:pt>
                <c:pt idx="5">
                  <c:v>0.84499999999999997</c:v>
                </c:pt>
              </c:numCache>
            </c:numRef>
          </c:yVal>
          <c:smooth val="0"/>
        </c:ser>
        <c:ser>
          <c:idx val="3"/>
          <c:order val="3"/>
          <c:tx>
            <c:v>MAN/0.9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Shop!$D$30:$I$30</c:f>
              <c:numCache>
                <c:formatCode>0.00%</c:formatCode>
                <c:ptCount val="6"/>
                <c:pt idx="0">
                  <c:v>0.82324419377495617</c:v>
                </c:pt>
                <c:pt idx="1">
                  <c:v>0.8593041159194873</c:v>
                </c:pt>
                <c:pt idx="2">
                  <c:v>0.84266432069517627</c:v>
                </c:pt>
                <c:pt idx="3">
                  <c:v>0.86633243908260127</c:v>
                </c:pt>
                <c:pt idx="4">
                  <c:v>0.84931540950230711</c:v>
                </c:pt>
                <c:pt idx="5">
                  <c:v>0.83122677413399171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1616"/>
        <c:axId val="565886720"/>
      </c:scatterChart>
      <c:valAx>
        <c:axId val="5658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6720"/>
        <c:crosses val="autoZero"/>
        <c:crossBetween val="midCat"/>
      </c:valAx>
      <c:valAx>
        <c:axId val="56588672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Shop!$C$42</c:f>
              <c:strCache>
                <c:ptCount val="1"/>
                <c:pt idx="0">
                  <c:v>ηc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2007'!$C$21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2007'!$D$6:$I$6</c:f>
              <c:numCache>
                <c:formatCode>0.0%</c:formatCode>
                <c:ptCount val="6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</c:numCache>
            </c:numRef>
          </c:xVal>
          <c:yVal>
            <c:numRef>
              <c:f>'Operation 2007'!$D$43:$I$43</c:f>
              <c:numCache>
                <c:formatCode>0.0%</c:formatCode>
                <c:ptCount val="6"/>
                <c:pt idx="0">
                  <c:v>0.87438872560137726</c:v>
                </c:pt>
                <c:pt idx="1">
                  <c:v>0.88708158758909184</c:v>
                </c:pt>
                <c:pt idx="2">
                  <c:v>0.89490368160222999</c:v>
                </c:pt>
                <c:pt idx="3">
                  <c:v>0.91197666328709781</c:v>
                </c:pt>
                <c:pt idx="4">
                  <c:v>0.8775139746853946</c:v>
                </c:pt>
                <c:pt idx="5">
                  <c:v>0.86481433996890322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2007'!$C$46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2007'!$D$6:$I$6</c:f>
              <c:numCache>
                <c:formatCode>0.0%</c:formatCode>
                <c:ptCount val="6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</c:numCache>
            </c:numRef>
          </c:xVal>
          <c:yVal>
            <c:numRef>
              <c:f>'Operation 2007'!$D$70:$I$70</c:f>
              <c:numCache>
                <c:formatCode>0.0%</c:formatCode>
                <c:ptCount val="6"/>
                <c:pt idx="0">
                  <c:v>0.8677583178568391</c:v>
                </c:pt>
                <c:pt idx="1">
                  <c:v>0.84325550106747382</c:v>
                </c:pt>
                <c:pt idx="2">
                  <c:v>0.85417829615633711</c:v>
                </c:pt>
                <c:pt idx="3">
                  <c:v>0.86225787389840225</c:v>
                </c:pt>
                <c:pt idx="4">
                  <c:v>0.89618183349828451</c:v>
                </c:pt>
                <c:pt idx="5">
                  <c:v>0.88334475058694983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5536"/>
        <c:axId val="561954656"/>
      </c:scatterChart>
      <c:valAx>
        <c:axId val="5619655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4656"/>
        <c:crosses val="autoZero"/>
        <c:crossBetween val="midCat"/>
      </c:valAx>
      <c:valAx>
        <c:axId val="56195465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2007'!$C$43</c:f>
              <c:strCache>
                <c:ptCount val="1"/>
                <c:pt idx="0">
                  <c:v>ηISt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2007'!$C$21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2007'!$D$6:$I$6</c:f>
              <c:numCache>
                <c:formatCode>0.0%</c:formatCode>
                <c:ptCount val="6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</c:numCache>
            </c:numRef>
          </c:xVal>
          <c:yVal>
            <c:numRef>
              <c:f>'Operation 2007'!$D$44:$I$44</c:f>
              <c:numCache>
                <c:formatCode>0.0%</c:formatCode>
                <c:ptCount val="6"/>
                <c:pt idx="0">
                  <c:v>0.68645910002744814</c:v>
                </c:pt>
                <c:pt idx="1">
                  <c:v>0.67478110987267537</c:v>
                </c:pt>
                <c:pt idx="2">
                  <c:v>0.70363969187897268</c:v>
                </c:pt>
                <c:pt idx="3">
                  <c:v>0.74666376783931154</c:v>
                </c:pt>
                <c:pt idx="4">
                  <c:v>0.69275928328781977</c:v>
                </c:pt>
                <c:pt idx="5">
                  <c:v>0.67002530033582952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2007'!$C$46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2007'!$D$6:$I$6</c:f>
              <c:numCache>
                <c:formatCode>0.0%</c:formatCode>
                <c:ptCount val="6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</c:numCache>
            </c:numRef>
          </c:xVal>
          <c:yVal>
            <c:numRef>
              <c:f>'Operation 2007'!$D$71:$I$71</c:f>
              <c:numCache>
                <c:formatCode>0.0%</c:formatCode>
                <c:ptCount val="6"/>
                <c:pt idx="0">
                  <c:v>0.49234142044737317</c:v>
                </c:pt>
                <c:pt idx="1">
                  <c:v>0.460881435077303</c:v>
                </c:pt>
                <c:pt idx="2">
                  <c:v>0.47576202913687338</c:v>
                </c:pt>
                <c:pt idx="3">
                  <c:v>0.39261822860959017</c:v>
                </c:pt>
                <c:pt idx="4">
                  <c:v>0.49072885746062328</c:v>
                </c:pt>
                <c:pt idx="5">
                  <c:v>0.47936529714012566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6288"/>
        <c:axId val="561958464"/>
      </c:scatterChart>
      <c:valAx>
        <c:axId val="5619562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8464"/>
        <c:crosses val="autoZero"/>
        <c:crossBetween val="midCat"/>
      </c:valAx>
      <c:valAx>
        <c:axId val="56195846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2007'!$C$44</c:f>
              <c:strCache>
                <c:ptCount val="1"/>
                <c:pt idx="0">
                  <c:v>ηIStc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2007'!$C$21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2007'!$D$26:$I$26</c:f>
              <c:numCache>
                <c:formatCode>General</c:formatCode>
                <c:ptCount val="6"/>
                <c:pt idx="0">
                  <c:v>3.382598196639913</c:v>
                </c:pt>
                <c:pt idx="1">
                  <c:v>3.3266788854892591</c:v>
                </c:pt>
                <c:pt idx="2">
                  <c:v>3.2776400805802552</c:v>
                </c:pt>
                <c:pt idx="3">
                  <c:v>2.8885331205196514</c:v>
                </c:pt>
                <c:pt idx="4">
                  <c:v>3.1345782471179016</c:v>
                </c:pt>
                <c:pt idx="5">
                  <c:v>3.2738323784575618</c:v>
                </c:pt>
              </c:numCache>
            </c:numRef>
          </c:xVal>
          <c:yVal>
            <c:numRef>
              <c:f>'Operation 2007'!$D$44:$I$44</c:f>
              <c:numCache>
                <c:formatCode>0.0%</c:formatCode>
                <c:ptCount val="6"/>
                <c:pt idx="0">
                  <c:v>0.68645910002744814</c:v>
                </c:pt>
                <c:pt idx="1">
                  <c:v>0.67478110987267537</c:v>
                </c:pt>
                <c:pt idx="2">
                  <c:v>0.70363969187897268</c:v>
                </c:pt>
                <c:pt idx="3">
                  <c:v>0.74666376783931154</c:v>
                </c:pt>
                <c:pt idx="4">
                  <c:v>0.69275928328781977</c:v>
                </c:pt>
                <c:pt idx="5">
                  <c:v>0.67002530033582952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2007'!$C$46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2007'!$D$26:$I$26</c:f>
              <c:numCache>
                <c:formatCode>General</c:formatCode>
                <c:ptCount val="6"/>
                <c:pt idx="0">
                  <c:v>3.382598196639913</c:v>
                </c:pt>
                <c:pt idx="1">
                  <c:v>3.3266788854892591</c:v>
                </c:pt>
                <c:pt idx="2">
                  <c:v>3.2776400805802552</c:v>
                </c:pt>
                <c:pt idx="3">
                  <c:v>2.8885331205196514</c:v>
                </c:pt>
                <c:pt idx="4">
                  <c:v>3.1345782471179016</c:v>
                </c:pt>
                <c:pt idx="5">
                  <c:v>3.2738323784575618</c:v>
                </c:pt>
              </c:numCache>
            </c:numRef>
          </c:xVal>
          <c:yVal>
            <c:numRef>
              <c:f>'Operation 2007'!$D$71:$I$71</c:f>
              <c:numCache>
                <c:formatCode>0.0%</c:formatCode>
                <c:ptCount val="6"/>
                <c:pt idx="0">
                  <c:v>0.49234142044737317</c:v>
                </c:pt>
                <c:pt idx="1">
                  <c:v>0.460881435077303</c:v>
                </c:pt>
                <c:pt idx="2">
                  <c:v>0.47576202913687338</c:v>
                </c:pt>
                <c:pt idx="3">
                  <c:v>0.39261822860959017</c:v>
                </c:pt>
                <c:pt idx="4">
                  <c:v>0.49072885746062328</c:v>
                </c:pt>
                <c:pt idx="5">
                  <c:v>0.47936529714012566</c:v>
                </c:pt>
              </c:numCache>
            </c:numRef>
          </c:yVal>
          <c:smooth val="0"/>
        </c:ser>
        <c:ser>
          <c:idx val="2"/>
          <c:order val="2"/>
          <c:tx>
            <c:v>Diagram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'Operation 2007'!$D$77:$Q$77</c:f>
              <c:numCache>
                <c:formatCode>General</c:formatCode>
                <c:ptCount val="14"/>
                <c:pt idx="0">
                  <c:v>1.75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3.85</c:v>
                </c:pt>
                <c:pt idx="13">
                  <c:v>4.2</c:v>
                </c:pt>
              </c:numCache>
            </c:numRef>
          </c:xVal>
          <c:yVal>
            <c:numRef>
              <c:f>'Operation 2007'!$D$78:$Q$78</c:f>
              <c:numCache>
                <c:formatCode>0%</c:formatCode>
                <c:ptCount val="14"/>
                <c:pt idx="0">
                  <c:v>0.68</c:v>
                </c:pt>
                <c:pt idx="1">
                  <c:v>0.7</c:v>
                </c:pt>
                <c:pt idx="2">
                  <c:v>0.71199999999999997</c:v>
                </c:pt>
                <c:pt idx="3">
                  <c:v>0.71799999999999997</c:v>
                </c:pt>
                <c:pt idx="4">
                  <c:v>0.71299999999999997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0.67</c:v>
                </c:pt>
                <c:pt idx="13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1184"/>
        <c:axId val="561963904"/>
      </c:scatterChart>
      <c:valAx>
        <c:axId val="5619611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2007'!$C$26</c:f>
              <c:strCache>
                <c:ptCount val="1"/>
                <c:pt idx="0">
                  <c:v>Πc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3904"/>
        <c:crosses val="autoZero"/>
        <c:crossBetween val="midCat"/>
      </c:valAx>
      <c:valAx>
        <c:axId val="56196390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2014'!$C$21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2014'!$D$6:$O$6</c:f>
              <c:numCache>
                <c:formatCode>0.0%</c:formatCode>
                <c:ptCount val="12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  <c:pt idx="6">
                  <c:v>0.81399999999999995</c:v>
                </c:pt>
                <c:pt idx="7">
                  <c:v>0.69099999999999995</c:v>
                </c:pt>
                <c:pt idx="8">
                  <c:v>0.75600000000000001</c:v>
                </c:pt>
                <c:pt idx="9">
                  <c:v>0.76600000000000001</c:v>
                </c:pt>
                <c:pt idx="10">
                  <c:v>0.78200000000000003</c:v>
                </c:pt>
                <c:pt idx="11">
                  <c:v>0.78200000000000003</c:v>
                </c:pt>
              </c:numCache>
            </c:numRef>
          </c:xVal>
          <c:yVal>
            <c:numRef>
              <c:f>'Operation 2014'!$D$42:$O$42</c:f>
              <c:numCache>
                <c:formatCode>0.0%</c:formatCode>
                <c:ptCount val="12"/>
                <c:pt idx="0">
                  <c:v>0.81239877736243571</c:v>
                </c:pt>
                <c:pt idx="1">
                  <c:v>0.77158002155475391</c:v>
                </c:pt>
                <c:pt idx="2">
                  <c:v>0.80973329517545622</c:v>
                </c:pt>
                <c:pt idx="3">
                  <c:v>0.81248344646422155</c:v>
                </c:pt>
                <c:pt idx="4">
                  <c:v>0.77798081780562633</c:v>
                </c:pt>
                <c:pt idx="5">
                  <c:v>0.78677947019007255</c:v>
                </c:pt>
                <c:pt idx="6">
                  <c:v>0.79208722133110798</c:v>
                </c:pt>
                <c:pt idx="7">
                  <c:v>0.78330078733985531</c:v>
                </c:pt>
                <c:pt idx="8">
                  <c:v>0.79662306390131143</c:v>
                </c:pt>
                <c:pt idx="9">
                  <c:v>0.77913196768778781</c:v>
                </c:pt>
                <c:pt idx="10">
                  <c:v>0.79753903372606572</c:v>
                </c:pt>
                <c:pt idx="11">
                  <c:v>0.79753903372606572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2014'!$C$46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2014'!$D$6:$O$6</c:f>
              <c:numCache>
                <c:formatCode>0.0%</c:formatCode>
                <c:ptCount val="12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  <c:pt idx="6">
                  <c:v>0.81399999999999995</c:v>
                </c:pt>
                <c:pt idx="7">
                  <c:v>0.69099999999999995</c:v>
                </c:pt>
                <c:pt idx="8">
                  <c:v>0.75600000000000001</c:v>
                </c:pt>
                <c:pt idx="9">
                  <c:v>0.76600000000000001</c:v>
                </c:pt>
                <c:pt idx="10">
                  <c:v>0.78200000000000003</c:v>
                </c:pt>
                <c:pt idx="11">
                  <c:v>0.78200000000000003</c:v>
                </c:pt>
              </c:numCache>
            </c:numRef>
          </c:xVal>
          <c:yVal>
            <c:numRef>
              <c:f>'Operation 2014'!$D$69:$O$69</c:f>
              <c:numCache>
                <c:formatCode>0.0%</c:formatCode>
                <c:ptCount val="12"/>
                <c:pt idx="0">
                  <c:v>0.60467073896325563</c:v>
                </c:pt>
                <c:pt idx="1">
                  <c:v>0.61975644519194384</c:v>
                </c:pt>
                <c:pt idx="2">
                  <c:v>0.58334131029286007</c:v>
                </c:pt>
                <c:pt idx="3">
                  <c:v>0.60797062565493354</c:v>
                </c:pt>
                <c:pt idx="4">
                  <c:v>0.60582769425814154</c:v>
                </c:pt>
                <c:pt idx="5">
                  <c:v>0.57668765244075126</c:v>
                </c:pt>
                <c:pt idx="6">
                  <c:v>0.53149031687935211</c:v>
                </c:pt>
                <c:pt idx="7">
                  <c:v>0.60796557199622792</c:v>
                </c:pt>
                <c:pt idx="8">
                  <c:v>0.66065176906418521</c:v>
                </c:pt>
                <c:pt idx="9">
                  <c:v>0.61330636092713198</c:v>
                </c:pt>
                <c:pt idx="10">
                  <c:v>0.71769428050884154</c:v>
                </c:pt>
                <c:pt idx="11">
                  <c:v>0.71769428050884154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'Operation 2014'!$C$73</c:f>
              <c:strCache>
                <c:ptCount val="1"/>
                <c:pt idx="0">
                  <c:v>Manufacturer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'Operation 2014'!$D$6:$O$6</c:f>
              <c:numCache>
                <c:formatCode>0.0%</c:formatCode>
                <c:ptCount val="12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  <c:pt idx="6">
                  <c:v>0.81399999999999995</c:v>
                </c:pt>
                <c:pt idx="7">
                  <c:v>0.69099999999999995</c:v>
                </c:pt>
                <c:pt idx="8">
                  <c:v>0.75600000000000001</c:v>
                </c:pt>
                <c:pt idx="9">
                  <c:v>0.76600000000000001</c:v>
                </c:pt>
                <c:pt idx="10">
                  <c:v>0.78200000000000003</c:v>
                </c:pt>
                <c:pt idx="11">
                  <c:v>0.78200000000000003</c:v>
                </c:pt>
              </c:numCache>
            </c:numRef>
          </c:xVal>
          <c:yVal>
            <c:numRef>
              <c:f>'Operation 2014'!$D$74:$O$74</c:f>
              <c:numCache>
                <c:formatCode>0.00%</c:formatCode>
                <c:ptCount val="12"/>
              </c:numCache>
            </c:numRef>
          </c:yVal>
          <c:smooth val="0"/>
        </c:ser>
        <c:ser>
          <c:idx val="3"/>
          <c:order val="3"/>
          <c:tx>
            <c:v>MAN/0.9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'Operation 2014'!$D$6:$O$6</c:f>
              <c:numCache>
                <c:formatCode>0.0%</c:formatCode>
                <c:ptCount val="12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  <c:pt idx="6">
                  <c:v>0.81399999999999995</c:v>
                </c:pt>
                <c:pt idx="7">
                  <c:v>0.69099999999999995</c:v>
                </c:pt>
                <c:pt idx="8">
                  <c:v>0.75600000000000001</c:v>
                </c:pt>
                <c:pt idx="9">
                  <c:v>0.76600000000000001</c:v>
                </c:pt>
                <c:pt idx="10">
                  <c:v>0.78200000000000003</c:v>
                </c:pt>
                <c:pt idx="11">
                  <c:v>0.78200000000000003</c:v>
                </c:pt>
              </c:numCache>
            </c:numRef>
          </c:xVal>
          <c:yVal>
            <c:numRef>
              <c:f>'Operation 2014'!$D$30:$O$30</c:f>
              <c:numCache>
                <c:formatCode>0.00%</c:formatCode>
                <c:ptCount val="12"/>
                <c:pt idx="0">
                  <c:v>0.90266530818048407</c:v>
                </c:pt>
                <c:pt idx="1">
                  <c:v>0.85731113506083767</c:v>
                </c:pt>
                <c:pt idx="2">
                  <c:v>0.8997036613060625</c:v>
                </c:pt>
                <c:pt idx="3">
                  <c:v>0.9027593849602461</c:v>
                </c:pt>
                <c:pt idx="4">
                  <c:v>0.86442313089514033</c:v>
                </c:pt>
                <c:pt idx="5">
                  <c:v>0.87419941132230283</c:v>
                </c:pt>
                <c:pt idx="6">
                  <c:v>0.88009691259011991</c:v>
                </c:pt>
                <c:pt idx="7">
                  <c:v>0.87033420815539475</c:v>
                </c:pt>
                <c:pt idx="8">
                  <c:v>0.88513673766812384</c:v>
                </c:pt>
                <c:pt idx="9">
                  <c:v>0.86570218631976426</c:v>
                </c:pt>
                <c:pt idx="10">
                  <c:v>0.88615448191785073</c:v>
                </c:pt>
                <c:pt idx="11">
                  <c:v>0.88615448191785073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7920"/>
        <c:axId val="561964448"/>
      </c:scatterChart>
      <c:valAx>
        <c:axId val="56195792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4448"/>
        <c:crosses val="autoZero"/>
        <c:crossBetween val="midCat"/>
      </c:valAx>
      <c:valAx>
        <c:axId val="56196444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2014'!$C$42</c:f>
              <c:strCache>
                <c:ptCount val="1"/>
                <c:pt idx="0">
                  <c:v>ηc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2014'!$C$21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2014'!$D$6:$I$6</c:f>
              <c:numCache>
                <c:formatCode>0.0%</c:formatCode>
                <c:ptCount val="6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</c:numCache>
            </c:numRef>
          </c:xVal>
          <c:yVal>
            <c:numRef>
              <c:f>'Operation 2014'!$D$43:$I$43</c:f>
              <c:numCache>
                <c:formatCode>0.0%</c:formatCode>
                <c:ptCount val="6"/>
                <c:pt idx="0">
                  <c:v>0.87541979364710321</c:v>
                </c:pt>
                <c:pt idx="1">
                  <c:v>0.86496214921146408</c:v>
                </c:pt>
                <c:pt idx="2">
                  <c:v>0.81120251060092607</c:v>
                </c:pt>
                <c:pt idx="3">
                  <c:v>0.81428139403531263</c:v>
                </c:pt>
                <c:pt idx="4">
                  <c:v>0.90674594923759599</c:v>
                </c:pt>
                <c:pt idx="5">
                  <c:v>0.90386800631593522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2014'!$C$46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2014'!$D$6:$I$6</c:f>
              <c:numCache>
                <c:formatCode>0.0%</c:formatCode>
                <c:ptCount val="6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</c:numCache>
            </c:numRef>
          </c:xVal>
          <c:yVal>
            <c:numRef>
              <c:f>'Operation 2014'!$D$70:$I$70</c:f>
              <c:numCache>
                <c:formatCode>0.0%</c:formatCode>
                <c:ptCount val="6"/>
                <c:pt idx="0">
                  <c:v>0.74554638146912788</c:v>
                </c:pt>
                <c:pt idx="1">
                  <c:v>0.87398026514829619</c:v>
                </c:pt>
                <c:pt idx="2">
                  <c:v>0.8750843816354521</c:v>
                </c:pt>
                <c:pt idx="3">
                  <c:v>0.85199449468679767</c:v>
                </c:pt>
                <c:pt idx="4">
                  <c:v>0.79747524876639408</c:v>
                </c:pt>
                <c:pt idx="5">
                  <c:v>0.72654470114175573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0096"/>
        <c:axId val="561962816"/>
      </c:scatterChart>
      <c:valAx>
        <c:axId val="56196009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2816"/>
        <c:crosses val="autoZero"/>
        <c:crossBetween val="midCat"/>
      </c:valAx>
      <c:valAx>
        <c:axId val="561962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2014'!$C$43</c:f>
              <c:strCache>
                <c:ptCount val="1"/>
                <c:pt idx="0">
                  <c:v>ηISt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2014'!$C$21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2014'!$D$6:$O$6</c:f>
              <c:numCache>
                <c:formatCode>0.0%</c:formatCode>
                <c:ptCount val="12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  <c:pt idx="6">
                  <c:v>0.81399999999999995</c:v>
                </c:pt>
                <c:pt idx="7">
                  <c:v>0.69099999999999995</c:v>
                </c:pt>
                <c:pt idx="8">
                  <c:v>0.75600000000000001</c:v>
                </c:pt>
                <c:pt idx="9">
                  <c:v>0.76600000000000001</c:v>
                </c:pt>
                <c:pt idx="10">
                  <c:v>0.78200000000000003</c:v>
                </c:pt>
                <c:pt idx="11">
                  <c:v>0.78200000000000003</c:v>
                </c:pt>
              </c:numCache>
            </c:numRef>
          </c:xVal>
          <c:yVal>
            <c:numRef>
              <c:f>'Operation 2014'!$D$44:$O$44</c:f>
              <c:numCache>
                <c:formatCode>0.0%</c:formatCode>
                <c:ptCount val="12"/>
                <c:pt idx="0">
                  <c:v>0.71118997003778239</c:v>
                </c:pt>
                <c:pt idx="1">
                  <c:v>0.66738751373262772</c:v>
                </c:pt>
                <c:pt idx="2">
                  <c:v>0.65685768196349081</c:v>
                </c:pt>
                <c:pt idx="3">
                  <c:v>0.6615901534175016</c:v>
                </c:pt>
                <c:pt idx="4">
                  <c:v>0.70543095512980392</c:v>
                </c:pt>
                <c:pt idx="5">
                  <c:v>0.7111447911310087</c:v>
                </c:pt>
                <c:pt idx="6">
                  <c:v>0.6582292229129878</c:v>
                </c:pt>
                <c:pt idx="7">
                  <c:v>0.59849797111553271</c:v>
                </c:pt>
                <c:pt idx="8">
                  <c:v>0.62535873183800172</c:v>
                </c:pt>
                <c:pt idx="9">
                  <c:v>0.63212861893128858</c:v>
                </c:pt>
                <c:pt idx="10">
                  <c:v>0.7391999429553614</c:v>
                </c:pt>
                <c:pt idx="11">
                  <c:v>0.7391999429553614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2014'!$C$46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2014'!$D$6:$I$6</c:f>
              <c:numCache>
                <c:formatCode>0.0%</c:formatCode>
                <c:ptCount val="6"/>
                <c:pt idx="0">
                  <c:v>0.81699999999999995</c:v>
                </c:pt>
                <c:pt idx="1">
                  <c:v>0.83599999999999997</c:v>
                </c:pt>
                <c:pt idx="2">
                  <c:v>0.76700000000000002</c:v>
                </c:pt>
                <c:pt idx="3">
                  <c:v>0.69199999999999995</c:v>
                </c:pt>
                <c:pt idx="4">
                  <c:v>0.69599999999999995</c:v>
                </c:pt>
                <c:pt idx="5">
                  <c:v>0.68799999999999994</c:v>
                </c:pt>
              </c:numCache>
            </c:numRef>
          </c:xVal>
          <c:yVal>
            <c:numRef>
              <c:f>'Operation 2014'!$D$71:$I$71</c:f>
              <c:numCache>
                <c:formatCode>0.0%</c:formatCode>
                <c:ptCount val="6"/>
                <c:pt idx="0">
                  <c:v>0.40685609847642273</c:v>
                </c:pt>
                <c:pt idx="1">
                  <c:v>0.48884354932233909</c:v>
                </c:pt>
                <c:pt idx="2">
                  <c:v>0.46070176499453769</c:v>
                </c:pt>
                <c:pt idx="3">
                  <c:v>0.46748383245533548</c:v>
                </c:pt>
                <c:pt idx="4">
                  <c:v>0.43602716354724436</c:v>
                </c:pt>
                <c:pt idx="5">
                  <c:v>0.37813789568047246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3568"/>
        <c:axId val="561955200"/>
      </c:scatterChart>
      <c:valAx>
        <c:axId val="56195356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5200"/>
        <c:crosses val="autoZero"/>
        <c:crossBetween val="midCat"/>
      </c:valAx>
      <c:valAx>
        <c:axId val="56195520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2014'!$C$21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2014'!$D$26:$I$26</c:f>
              <c:numCache>
                <c:formatCode>General</c:formatCode>
                <c:ptCount val="6"/>
                <c:pt idx="0">
                  <c:v>3.1462484458275357</c:v>
                </c:pt>
                <c:pt idx="1">
                  <c:v>3.1546149292738801</c:v>
                </c:pt>
                <c:pt idx="2">
                  <c:v>3.0779283485325375</c:v>
                </c:pt>
                <c:pt idx="3">
                  <c:v>3.1913727466563149</c:v>
                </c:pt>
                <c:pt idx="4">
                  <c:v>3.0648273534984023</c:v>
                </c:pt>
                <c:pt idx="5">
                  <c:v>3.0208059491538486</c:v>
                </c:pt>
              </c:numCache>
            </c:numRef>
          </c:xVal>
          <c:yVal>
            <c:numRef>
              <c:f>'Operation 2014'!$D$44:$I$44</c:f>
              <c:numCache>
                <c:formatCode>0.0%</c:formatCode>
                <c:ptCount val="6"/>
                <c:pt idx="0">
                  <c:v>0.71118997003778239</c:v>
                </c:pt>
                <c:pt idx="1">
                  <c:v>0.66738751373262772</c:v>
                </c:pt>
                <c:pt idx="2">
                  <c:v>0.65685768196349081</c:v>
                </c:pt>
                <c:pt idx="3">
                  <c:v>0.6615901534175016</c:v>
                </c:pt>
                <c:pt idx="4">
                  <c:v>0.70543095512980392</c:v>
                </c:pt>
                <c:pt idx="5">
                  <c:v>0.7111447911310087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2014'!$C$46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2014'!$D$26:$I$26</c:f>
              <c:numCache>
                <c:formatCode>General</c:formatCode>
                <c:ptCount val="6"/>
                <c:pt idx="0">
                  <c:v>3.1462484458275357</c:v>
                </c:pt>
                <c:pt idx="1">
                  <c:v>3.1546149292738801</c:v>
                </c:pt>
                <c:pt idx="2">
                  <c:v>3.0779283485325375</c:v>
                </c:pt>
                <c:pt idx="3">
                  <c:v>3.1913727466563149</c:v>
                </c:pt>
                <c:pt idx="4">
                  <c:v>3.0648273534984023</c:v>
                </c:pt>
                <c:pt idx="5">
                  <c:v>3.0208059491538486</c:v>
                </c:pt>
              </c:numCache>
            </c:numRef>
          </c:xVal>
          <c:yVal>
            <c:numRef>
              <c:f>'Operation 2014'!$D$71:$I$71</c:f>
              <c:numCache>
                <c:formatCode>0.0%</c:formatCode>
                <c:ptCount val="6"/>
                <c:pt idx="0">
                  <c:v>0.40685609847642273</c:v>
                </c:pt>
                <c:pt idx="1">
                  <c:v>0.48884354932233909</c:v>
                </c:pt>
                <c:pt idx="2">
                  <c:v>0.46070176499453769</c:v>
                </c:pt>
                <c:pt idx="3">
                  <c:v>0.46748383245533548</c:v>
                </c:pt>
                <c:pt idx="4">
                  <c:v>0.43602716354724436</c:v>
                </c:pt>
                <c:pt idx="5">
                  <c:v>0.37813789568047246</c:v>
                </c:pt>
              </c:numCache>
            </c:numRef>
          </c:yVal>
          <c:smooth val="0"/>
        </c:ser>
        <c:ser>
          <c:idx val="2"/>
          <c:order val="2"/>
          <c:tx>
            <c:v>Diagram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'Operation 2014'!$D$77:$Q$77</c:f>
              <c:numCache>
                <c:formatCode>General</c:formatCode>
                <c:ptCount val="14"/>
                <c:pt idx="0">
                  <c:v>1.75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3.85</c:v>
                </c:pt>
                <c:pt idx="13">
                  <c:v>4.2</c:v>
                </c:pt>
              </c:numCache>
            </c:numRef>
          </c:xVal>
          <c:yVal>
            <c:numRef>
              <c:f>'Operation 2014'!$D$78:$Q$78</c:f>
              <c:numCache>
                <c:formatCode>0%</c:formatCode>
                <c:ptCount val="14"/>
                <c:pt idx="0">
                  <c:v>0.68</c:v>
                </c:pt>
                <c:pt idx="1">
                  <c:v>0.7</c:v>
                </c:pt>
                <c:pt idx="2">
                  <c:v>0.71199999999999997</c:v>
                </c:pt>
                <c:pt idx="3">
                  <c:v>0.71799999999999997</c:v>
                </c:pt>
                <c:pt idx="4">
                  <c:v>0.71299999999999997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0.67</c:v>
                </c:pt>
                <c:pt idx="13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5200"/>
        <c:axId val="561186496"/>
      </c:scatterChart>
      <c:valAx>
        <c:axId val="5611952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2014'!$C$26</c:f>
              <c:strCache>
                <c:ptCount val="1"/>
                <c:pt idx="0">
                  <c:v>Πc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6496"/>
        <c:crosses val="autoZero"/>
        <c:crossBetween val="midCat"/>
      </c:valAx>
      <c:valAx>
        <c:axId val="561186496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2014'!$C$44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Pscav -</a:t>
            </a:r>
            <a:r>
              <a:rPr lang="en-US" baseline="0"/>
              <a:t> Pexh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Correlations!$B$2:$G$2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Correlations!$B$16:$G$16</c:f>
              <c:numCache>
                <c:formatCode>General</c:formatCode>
                <c:ptCount val="6"/>
                <c:pt idx="0">
                  <c:v>7.0000000000000062E-2</c:v>
                </c:pt>
                <c:pt idx="1">
                  <c:v>0.15000000000000036</c:v>
                </c:pt>
                <c:pt idx="2">
                  <c:v>0.20000000000000018</c:v>
                </c:pt>
                <c:pt idx="3">
                  <c:v>0.29000000000000004</c:v>
                </c:pt>
                <c:pt idx="4">
                  <c:v>0.2799999999999998</c:v>
                </c:pt>
                <c:pt idx="5">
                  <c:v>0.24000000000000021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Correlations!$A$18</c:f>
              <c:numCache>
                <c:formatCode>General</c:formatCode>
                <c:ptCount val="1"/>
                <c:pt idx="0">
                  <c:v>0.85</c:v>
                </c:pt>
              </c:numCache>
            </c:numRef>
          </c:xVal>
          <c:yVal>
            <c:numRef>
              <c:f>Correlations!$B$18</c:f>
              <c:numCache>
                <c:formatCode>General</c:formatCode>
                <c:ptCount val="1"/>
                <c:pt idx="0">
                  <c:v>0.26000000000000012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Correlations!$G$26:$R$26</c:f>
              <c:numCache>
                <c:formatCode>General</c:formatCode>
                <c:ptCount val="12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  <c:pt idx="6">
                  <c:v>0.72</c:v>
                </c:pt>
                <c:pt idx="7">
                  <c:v>0.753</c:v>
                </c:pt>
                <c:pt idx="8">
                  <c:v>0.749</c:v>
                </c:pt>
                <c:pt idx="9">
                  <c:v>0.745</c:v>
                </c:pt>
                <c:pt idx="10">
                  <c:v>0.75800000000000001</c:v>
                </c:pt>
                <c:pt idx="11">
                  <c:v>0.77300000000000002</c:v>
                </c:pt>
              </c:numCache>
            </c:numRef>
          </c:xVal>
          <c:yVal>
            <c:numRef>
              <c:f>Correlations!$G$27:$R$27</c:f>
              <c:numCache>
                <c:formatCode>General</c:formatCode>
                <c:ptCount val="12"/>
                <c:pt idx="0">
                  <c:v>0.26000000000000068</c:v>
                </c:pt>
                <c:pt idx="1">
                  <c:v>0.19999999999999973</c:v>
                </c:pt>
                <c:pt idx="2">
                  <c:v>0.29999999999999982</c:v>
                </c:pt>
                <c:pt idx="3">
                  <c:v>0.44999999999999973</c:v>
                </c:pt>
                <c:pt idx="4">
                  <c:v>0.25</c:v>
                </c:pt>
                <c:pt idx="5">
                  <c:v>0.21999999999999975</c:v>
                </c:pt>
                <c:pt idx="6">
                  <c:v>0.20000000000000018</c:v>
                </c:pt>
                <c:pt idx="7">
                  <c:v>0.3400000000000003</c:v>
                </c:pt>
                <c:pt idx="8">
                  <c:v>0.33000000000000007</c:v>
                </c:pt>
                <c:pt idx="9">
                  <c:v>0.38999999999999968</c:v>
                </c:pt>
                <c:pt idx="10">
                  <c:v>0.33999999999999986</c:v>
                </c:pt>
                <c:pt idx="11">
                  <c:v>0.29999999999999982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6832"/>
        <c:axId val="561200096"/>
      </c:scatterChart>
      <c:valAx>
        <c:axId val="5611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0096"/>
        <c:crosses val="autoZero"/>
        <c:crossBetween val="midCat"/>
      </c:valAx>
      <c:valAx>
        <c:axId val="5612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Correlations!$B$21:$B$26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Correlations!$D$21:$D$26</c:f>
              <c:numCache>
                <c:formatCode>General</c:formatCode>
                <c:ptCount val="6"/>
                <c:pt idx="0">
                  <c:v>0</c:v>
                </c:pt>
                <c:pt idx="1">
                  <c:v>3.9226599999999997E-3</c:v>
                </c:pt>
                <c:pt idx="2">
                  <c:v>7.8453199999999994E-3</c:v>
                </c:pt>
                <c:pt idx="3">
                  <c:v>1.4709975E-2</c:v>
                </c:pt>
                <c:pt idx="4">
                  <c:v>1.5690639999999999E-2</c:v>
                </c:pt>
                <c:pt idx="5">
                  <c:v>2.2555295E-2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84864"/>
        <c:axId val="561190304"/>
      </c:scatterChart>
      <c:valAx>
        <c:axId val="5611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0304"/>
        <c:crosses val="autoZero"/>
        <c:crossBetween val="midCat"/>
      </c:valAx>
      <c:valAx>
        <c:axId val="561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Shop!$C$21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Shop!$D$43:$I$43</c:f>
              <c:numCache>
                <c:formatCode>0.0%</c:formatCode>
                <c:ptCount val="6"/>
                <c:pt idx="0">
                  <c:v>0.84126619989124407</c:v>
                </c:pt>
                <c:pt idx="1">
                  <c:v>0.84986988535791597</c:v>
                </c:pt>
                <c:pt idx="2">
                  <c:v>0.88699757919468347</c:v>
                </c:pt>
                <c:pt idx="3">
                  <c:v>0.88806468011725426</c:v>
                </c:pt>
                <c:pt idx="4">
                  <c:v>0.88534670705390606</c:v>
                </c:pt>
                <c:pt idx="5">
                  <c:v>0.88911212205919588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Shop!$C$46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Shop!$D$70:$I$70</c:f>
              <c:numCache>
                <c:formatCode>0.0%</c:formatCode>
                <c:ptCount val="6"/>
                <c:pt idx="0">
                  <c:v>1.0809144821092342</c:v>
                </c:pt>
                <c:pt idx="1">
                  <c:v>0.98104720732916006</c:v>
                </c:pt>
                <c:pt idx="2">
                  <c:v>0.98389003723176993</c:v>
                </c:pt>
                <c:pt idx="3">
                  <c:v>0.97068521534997099</c:v>
                </c:pt>
                <c:pt idx="4">
                  <c:v>0.93953496619176302</c:v>
                </c:pt>
                <c:pt idx="5">
                  <c:v>0.92356203337276888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7808"/>
        <c:axId val="565892160"/>
      </c:scatterChart>
      <c:valAx>
        <c:axId val="5658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2160"/>
        <c:crosses val="autoZero"/>
        <c:crossBetween val="midCat"/>
      </c:valAx>
      <c:valAx>
        <c:axId val="5658921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Shop!$C$43</c:f>
              <c:strCache>
                <c:ptCount val="1"/>
                <c:pt idx="0">
                  <c:v>ηISt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Shop!$C$21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Shop!$D$44:$I$44</c:f>
              <c:numCache>
                <c:formatCode>0.0%</c:formatCode>
                <c:ptCount val="6"/>
                <c:pt idx="0">
                  <c:v>0.62331076303162947</c:v>
                </c:pt>
                <c:pt idx="1">
                  <c:v>0.65726702143567206</c:v>
                </c:pt>
                <c:pt idx="2">
                  <c:v>0.67269709127731847</c:v>
                </c:pt>
                <c:pt idx="3">
                  <c:v>0.69242331635018184</c:v>
                </c:pt>
                <c:pt idx="4">
                  <c:v>0.67674474094770665</c:v>
                </c:pt>
                <c:pt idx="5">
                  <c:v>0.6651484209564239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Shop!$C$46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Shop!$D$6:$I$6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Shop!$D$71:$I$71</c:f>
              <c:numCache>
                <c:formatCode>0.0%</c:formatCode>
                <c:ptCount val="6"/>
                <c:pt idx="0">
                  <c:v>1.3388166077155914</c:v>
                </c:pt>
                <c:pt idx="1">
                  <c:v>0.8413580017729323</c:v>
                </c:pt>
                <c:pt idx="2">
                  <c:v>0.78510511221443458</c:v>
                </c:pt>
                <c:pt idx="3">
                  <c:v>0.77339941895794295</c:v>
                </c:pt>
                <c:pt idx="4">
                  <c:v>0.72321316040296768</c:v>
                </c:pt>
                <c:pt idx="5">
                  <c:v>0.68587022297786271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8352"/>
        <c:axId val="565889440"/>
      </c:scatterChart>
      <c:valAx>
        <c:axId val="5658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9440"/>
        <c:crosses val="autoZero"/>
        <c:crossBetween val="midCat"/>
      </c:valAx>
      <c:valAx>
        <c:axId val="56588944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Shop!$C$44</c:f>
              <c:strCache>
                <c:ptCount val="1"/>
                <c:pt idx="0">
                  <c:v>ηIStc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Shop!$C$21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Shop!$D$26:$I$26</c:f>
              <c:numCache>
                <c:formatCode>General</c:formatCode>
                <c:ptCount val="6"/>
                <c:pt idx="0">
                  <c:v>1.3730988253972465</c:v>
                </c:pt>
                <c:pt idx="1">
                  <c:v>2.1226097988224639</c:v>
                </c:pt>
                <c:pt idx="2">
                  <c:v>2.93483209893482</c:v>
                </c:pt>
                <c:pt idx="3">
                  <c:v>3.4368056029155785</c:v>
                </c:pt>
                <c:pt idx="4">
                  <c:v>3.8088296141112528</c:v>
                </c:pt>
                <c:pt idx="5">
                  <c:v>4.0713674469426122</c:v>
                </c:pt>
              </c:numCache>
            </c:numRef>
          </c:xVal>
          <c:yVal>
            <c:numRef>
              <c:f>Shop!$D$44:$I$44</c:f>
              <c:numCache>
                <c:formatCode>0.0%</c:formatCode>
                <c:ptCount val="6"/>
                <c:pt idx="0">
                  <c:v>0.62331076303162947</c:v>
                </c:pt>
                <c:pt idx="1">
                  <c:v>0.65726702143567206</c:v>
                </c:pt>
                <c:pt idx="2">
                  <c:v>0.67269709127731847</c:v>
                </c:pt>
                <c:pt idx="3">
                  <c:v>0.69242331635018184</c:v>
                </c:pt>
                <c:pt idx="4">
                  <c:v>0.67674474094770665</c:v>
                </c:pt>
                <c:pt idx="5">
                  <c:v>0.6651484209564239</c:v>
                </c:pt>
              </c:numCache>
            </c:numRef>
          </c:yVal>
          <c:smooth val="0"/>
        </c:ser>
        <c:ser>
          <c:idx val="2"/>
          <c:order val="1"/>
          <c:tx>
            <c:v>Diagram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Shop!$D$77:$K$77</c:f>
              <c:numCache>
                <c:formatCode>General</c:formatCode>
                <c:ptCount val="8"/>
                <c:pt idx="0">
                  <c:v>1.75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3.25</c:v>
                </c:pt>
                <c:pt idx="6">
                  <c:v>3.85</c:v>
                </c:pt>
                <c:pt idx="7">
                  <c:v>4.2</c:v>
                </c:pt>
              </c:numCache>
            </c:numRef>
          </c:xVal>
          <c:yVal>
            <c:numRef>
              <c:f>Shop!$D$78:$K$78</c:f>
              <c:numCache>
                <c:formatCode>0%</c:formatCode>
                <c:ptCount val="8"/>
                <c:pt idx="0">
                  <c:v>0.68</c:v>
                </c:pt>
                <c:pt idx="1">
                  <c:v>0.7</c:v>
                </c:pt>
                <c:pt idx="2">
                  <c:v>0.71199999999999997</c:v>
                </c:pt>
                <c:pt idx="3">
                  <c:v>0.71799999999999997</c:v>
                </c:pt>
                <c:pt idx="4">
                  <c:v>0.71299999999999997</c:v>
                </c:pt>
                <c:pt idx="5">
                  <c:v>0.7</c:v>
                </c:pt>
                <c:pt idx="6">
                  <c:v>0.67</c:v>
                </c:pt>
                <c:pt idx="7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0320"/>
        <c:axId val="565888896"/>
      </c:scatterChart>
      <c:valAx>
        <c:axId val="565900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Shop!$C$26</c:f>
              <c:strCache>
                <c:ptCount val="1"/>
                <c:pt idx="0">
                  <c:v>Πc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896"/>
        <c:crosses val="autoZero"/>
        <c:crossBetween val="midCat"/>
      </c:valAx>
      <c:valAx>
        <c:axId val="565888896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Shop!$C$44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Sea!$D$42:$I$42</c:f>
              <c:numCache>
                <c:formatCode>0.0%</c:formatCode>
                <c:ptCount val="6"/>
                <c:pt idx="0">
                  <c:v>0.7826063887762521</c:v>
                </c:pt>
                <c:pt idx="1">
                  <c:v>0.78257372795179014</c:v>
                </c:pt>
                <c:pt idx="2">
                  <c:v>0.7847723907312899</c:v>
                </c:pt>
                <c:pt idx="3">
                  <c:v>0.7727692438256587</c:v>
                </c:pt>
                <c:pt idx="4">
                  <c:v>0.76545403751467078</c:v>
                </c:pt>
                <c:pt idx="5">
                  <c:v>0.77347438215216824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Sea!$D$69:$I$69</c:f>
              <c:numCache>
                <c:formatCode>0.0%</c:formatCode>
                <c:ptCount val="6"/>
                <c:pt idx="0">
                  <c:v>0.61339611281001127</c:v>
                </c:pt>
                <c:pt idx="1">
                  <c:v>0.58434635683115899</c:v>
                </c:pt>
                <c:pt idx="2">
                  <c:v>0.71705998134228699</c:v>
                </c:pt>
                <c:pt idx="3">
                  <c:v>0.67686017676093391</c:v>
                </c:pt>
                <c:pt idx="4">
                  <c:v>0.75141897562686555</c:v>
                </c:pt>
                <c:pt idx="5">
                  <c:v>0.74287318590532136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Sea!$C$73</c:f>
              <c:strCache>
                <c:ptCount val="1"/>
                <c:pt idx="0">
                  <c:v>Manufacturer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Sea!$D$74:$I$74</c:f>
              <c:numCache>
                <c:formatCode>0.00%</c:formatCode>
                <c:ptCount val="6"/>
              </c:numCache>
            </c:numRef>
          </c:yVal>
          <c:smooth val="0"/>
        </c:ser>
        <c:ser>
          <c:idx val="3"/>
          <c:order val="3"/>
          <c:tx>
            <c:v>MAN/0.9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Sea!$D$30:$I$30</c:f>
              <c:numCache>
                <c:formatCode>0.00%</c:formatCode>
                <c:ptCount val="6"/>
                <c:pt idx="0">
                  <c:v>0.86000702063324408</c:v>
                </c:pt>
                <c:pt idx="1">
                  <c:v>0.85997112961735178</c:v>
                </c:pt>
                <c:pt idx="2">
                  <c:v>0.86238724256185706</c:v>
                </c:pt>
                <c:pt idx="3">
                  <c:v>0.84919697123698756</c:v>
                </c:pt>
                <c:pt idx="4">
                  <c:v>0.84115828298315465</c:v>
                </c:pt>
                <c:pt idx="5">
                  <c:v>0.8499718485188662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0528"/>
        <c:axId val="565891072"/>
      </c:scatterChart>
      <c:valAx>
        <c:axId val="5658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1072"/>
        <c:crosses val="autoZero"/>
        <c:crossBetween val="midCat"/>
      </c:valAx>
      <c:valAx>
        <c:axId val="56589107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Sea!$C$42</c:f>
              <c:strCache>
                <c:ptCount val="1"/>
                <c:pt idx="0">
                  <c:v>ηc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Sea!$D$43:$I$43</c:f>
              <c:numCache>
                <c:formatCode>0.0%</c:formatCode>
                <c:ptCount val="6"/>
                <c:pt idx="0">
                  <c:v>0.8674402572285892</c:v>
                </c:pt>
                <c:pt idx="1">
                  <c:v>0.87010119152324517</c:v>
                </c:pt>
                <c:pt idx="2">
                  <c:v>0.87936188057295184</c:v>
                </c:pt>
                <c:pt idx="3">
                  <c:v>0.90210991699260656</c:v>
                </c:pt>
                <c:pt idx="4">
                  <c:v>0.89242695172145536</c:v>
                </c:pt>
                <c:pt idx="5">
                  <c:v>0.88791041107177993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Sea!$D$70:$I$70</c:f>
              <c:numCache>
                <c:formatCode>0.0%</c:formatCode>
                <c:ptCount val="6"/>
                <c:pt idx="0">
                  <c:v>0.98880801380858274</c:v>
                </c:pt>
                <c:pt idx="1">
                  <c:v>1.0043069037498895</c:v>
                </c:pt>
                <c:pt idx="2">
                  <c:v>0.98914866729677631</c:v>
                </c:pt>
                <c:pt idx="3">
                  <c:v>0.98576628752707474</c:v>
                </c:pt>
                <c:pt idx="4">
                  <c:v>0.96485527967561513</c:v>
                </c:pt>
                <c:pt idx="5">
                  <c:v>0.95467096960877162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6512"/>
        <c:axId val="565895968"/>
      </c:scatterChart>
      <c:valAx>
        <c:axId val="5658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5968"/>
        <c:crosses val="autoZero"/>
        <c:crossBetween val="midCat"/>
      </c:valAx>
      <c:valAx>
        <c:axId val="56589596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Sea!$C$43</c:f>
              <c:strCache>
                <c:ptCount val="1"/>
                <c:pt idx="0">
                  <c:v>ηISt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Sea!$D$44:$I$44</c:f>
              <c:numCache>
                <c:formatCode>0.0%</c:formatCode>
                <c:ptCount val="6"/>
                <c:pt idx="0">
                  <c:v>0.67886428718880942</c:v>
                </c:pt>
                <c:pt idx="1">
                  <c:v>0.68091833314564054</c:v>
                </c:pt>
                <c:pt idx="2">
                  <c:v>0.69009892533519845</c:v>
                </c:pt>
                <c:pt idx="3">
                  <c:v>0.69712279840200431</c:v>
                </c:pt>
                <c:pt idx="4">
                  <c:v>0.68311181338209814</c:v>
                </c:pt>
                <c:pt idx="5">
                  <c:v>0.68677595661022273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Sea!$D$6:$I$6</c:f>
              <c:numCache>
                <c:formatCode>0.0%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Sea!$D$71:$I$71</c:f>
              <c:numCache>
                <c:formatCode>0.0%</c:formatCode>
                <c:ptCount val="6"/>
                <c:pt idx="0">
                  <c:v>0.54739422026697926</c:v>
                </c:pt>
                <c:pt idx="1">
                  <c:v>0.52964393001283294</c:v>
                </c:pt>
                <c:pt idx="2">
                  <c:v>0.64012422973720839</c:v>
                </c:pt>
                <c:pt idx="3">
                  <c:v>0.60217141411754227</c:v>
                </c:pt>
                <c:pt idx="4">
                  <c:v>0.65432203570852632</c:v>
                </c:pt>
                <c:pt idx="5">
                  <c:v>0.64005251687784281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9232"/>
        <c:axId val="565899776"/>
      </c:scatterChart>
      <c:valAx>
        <c:axId val="5658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Sea!$C$6</c:f>
              <c:strCache>
                <c:ptCount val="1"/>
                <c:pt idx="0">
                  <c:v>Load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9776"/>
        <c:crosses val="autoZero"/>
        <c:crossBetween val="midCat"/>
      </c:valAx>
      <c:valAx>
        <c:axId val="565899776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Sea!$C$21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Sea!$D$26:$I$26</c:f>
              <c:numCache>
                <c:formatCode>General</c:formatCode>
                <c:ptCount val="6"/>
                <c:pt idx="0">
                  <c:v>3.0595413445050461</c:v>
                </c:pt>
                <c:pt idx="1">
                  <c:v>2.9127342900680233</c:v>
                </c:pt>
                <c:pt idx="2">
                  <c:v>3.5511418983788348</c:v>
                </c:pt>
                <c:pt idx="3">
                  <c:v>3.343943455733823</c:v>
                </c:pt>
                <c:pt idx="4">
                  <c:v>3.8459059579171342</c:v>
                </c:pt>
                <c:pt idx="5">
                  <c:v>3.7972235779726478</c:v>
                </c:pt>
              </c:numCache>
            </c:numRef>
          </c:xVal>
          <c:yVal>
            <c:numRef>
              <c:f>Sea!$D$44:$I$44</c:f>
              <c:numCache>
                <c:formatCode>0.0%</c:formatCode>
                <c:ptCount val="6"/>
                <c:pt idx="0">
                  <c:v>0.67886428718880942</c:v>
                </c:pt>
                <c:pt idx="1">
                  <c:v>0.68091833314564054</c:v>
                </c:pt>
                <c:pt idx="2">
                  <c:v>0.69009892533519845</c:v>
                </c:pt>
                <c:pt idx="3">
                  <c:v>0.69712279840200431</c:v>
                </c:pt>
                <c:pt idx="4">
                  <c:v>0.68311181338209814</c:v>
                </c:pt>
                <c:pt idx="5">
                  <c:v>0.68677595661022273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Sea!$D$26:$I$26</c:f>
              <c:numCache>
                <c:formatCode>General</c:formatCode>
                <c:ptCount val="6"/>
                <c:pt idx="0">
                  <c:v>3.0595413445050461</c:v>
                </c:pt>
                <c:pt idx="1">
                  <c:v>2.9127342900680233</c:v>
                </c:pt>
                <c:pt idx="2">
                  <c:v>3.5511418983788348</c:v>
                </c:pt>
                <c:pt idx="3">
                  <c:v>3.343943455733823</c:v>
                </c:pt>
                <c:pt idx="4">
                  <c:v>3.8459059579171342</c:v>
                </c:pt>
                <c:pt idx="5">
                  <c:v>3.7972235779726478</c:v>
                </c:pt>
              </c:numCache>
            </c:numRef>
          </c:xVal>
          <c:yVal>
            <c:numRef>
              <c:f>Sea!$D$71:$I$71</c:f>
              <c:numCache>
                <c:formatCode>0.0%</c:formatCode>
                <c:ptCount val="6"/>
                <c:pt idx="0">
                  <c:v>0.54739422026697926</c:v>
                </c:pt>
                <c:pt idx="1">
                  <c:v>0.52964393001283294</c:v>
                </c:pt>
                <c:pt idx="2">
                  <c:v>0.64012422973720839</c:v>
                </c:pt>
                <c:pt idx="3">
                  <c:v>0.60217141411754227</c:v>
                </c:pt>
                <c:pt idx="4">
                  <c:v>0.65432203570852632</c:v>
                </c:pt>
                <c:pt idx="5">
                  <c:v>0.64005251687784281</c:v>
                </c:pt>
              </c:numCache>
            </c:numRef>
          </c:yVal>
          <c:smooth val="0"/>
        </c:ser>
        <c:ser>
          <c:idx val="2"/>
          <c:order val="2"/>
          <c:tx>
            <c:v>Diagram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Sea!$D$77:$L$77</c:f>
              <c:numCache>
                <c:formatCode>General</c:formatCode>
                <c:ptCount val="9"/>
                <c:pt idx="0">
                  <c:v>1.75</c:v>
                </c:pt>
                <c:pt idx="1">
                  <c:v>2.1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3.25</c:v>
                </c:pt>
                <c:pt idx="6">
                  <c:v>3.25</c:v>
                </c:pt>
                <c:pt idx="7">
                  <c:v>3.85</c:v>
                </c:pt>
                <c:pt idx="8">
                  <c:v>4.2</c:v>
                </c:pt>
              </c:numCache>
            </c:numRef>
          </c:xVal>
          <c:yVal>
            <c:numRef>
              <c:f>Sea!$D$78:$L$78</c:f>
              <c:numCache>
                <c:formatCode>0%</c:formatCode>
                <c:ptCount val="9"/>
                <c:pt idx="0">
                  <c:v>0.68</c:v>
                </c:pt>
                <c:pt idx="1">
                  <c:v>0.7</c:v>
                </c:pt>
                <c:pt idx="2">
                  <c:v>0.71199999999999997</c:v>
                </c:pt>
                <c:pt idx="3">
                  <c:v>0.71799999999999997</c:v>
                </c:pt>
                <c:pt idx="4">
                  <c:v>0.71299999999999997</c:v>
                </c:pt>
                <c:pt idx="5">
                  <c:v>0.7</c:v>
                </c:pt>
                <c:pt idx="6">
                  <c:v>0.7</c:v>
                </c:pt>
                <c:pt idx="7">
                  <c:v>0.67</c:v>
                </c:pt>
                <c:pt idx="8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5632"/>
        <c:axId val="561961728"/>
      </c:scatterChart>
      <c:valAx>
        <c:axId val="565885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Sea!$C$26</c:f>
              <c:strCache>
                <c:ptCount val="1"/>
                <c:pt idx="0">
                  <c:v>Πc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1728"/>
        <c:crosses val="autoZero"/>
        <c:crossBetween val="midCat"/>
      </c:valAx>
      <c:valAx>
        <c:axId val="56196172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Sea!$C$44</c:f>
              <c:strCache>
                <c:ptCount val="1"/>
                <c:pt idx="0">
                  <c:v>ηIStc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'Operation 2007'!$C$21</c:f>
              <c:strCache>
                <c:ptCount val="1"/>
                <c:pt idx="0">
                  <c:v>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 2007'!$D$6:$O$6</c:f>
              <c:numCache>
                <c:formatCode>0.0%</c:formatCode>
                <c:ptCount val="12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  <c:pt idx="6">
                  <c:v>0.72</c:v>
                </c:pt>
                <c:pt idx="7">
                  <c:v>0.753</c:v>
                </c:pt>
                <c:pt idx="8">
                  <c:v>0.749</c:v>
                </c:pt>
                <c:pt idx="9">
                  <c:v>0.745</c:v>
                </c:pt>
                <c:pt idx="10">
                  <c:v>0.75800000000000001</c:v>
                </c:pt>
                <c:pt idx="11">
                  <c:v>0.77300000000000002</c:v>
                </c:pt>
              </c:numCache>
            </c:numRef>
          </c:xVal>
          <c:yVal>
            <c:numRef>
              <c:f>'Operation 2007'!$D$42:$O$42</c:f>
              <c:numCache>
                <c:formatCode>0.0%</c:formatCode>
                <c:ptCount val="12"/>
                <c:pt idx="0">
                  <c:v>0.7850731372998011</c:v>
                </c:pt>
                <c:pt idx="1">
                  <c:v>0.76067536437837002</c:v>
                </c:pt>
                <c:pt idx="2">
                  <c:v>0.78627421737631087</c:v>
                </c:pt>
                <c:pt idx="3">
                  <c:v>0.81873122185831149</c:v>
                </c:pt>
                <c:pt idx="4">
                  <c:v>0.7894566961582431</c:v>
                </c:pt>
                <c:pt idx="5">
                  <c:v>0.77476201465382977</c:v>
                </c:pt>
                <c:pt idx="6">
                  <c:v>0.77313736639067443</c:v>
                </c:pt>
                <c:pt idx="7">
                  <c:v>0.75999503252889788</c:v>
                </c:pt>
                <c:pt idx="8">
                  <c:v>0.78782769109822137</c:v>
                </c:pt>
                <c:pt idx="9">
                  <c:v>0.79208853919655109</c:v>
                </c:pt>
                <c:pt idx="10">
                  <c:v>0.78300841183194958</c:v>
                </c:pt>
                <c:pt idx="11">
                  <c:v>0.78956492348788399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'Operation 2007'!$C$46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 2007'!$D$6:$O$6</c:f>
              <c:numCache>
                <c:formatCode>0.0%</c:formatCode>
                <c:ptCount val="12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  <c:pt idx="6">
                  <c:v>0.72</c:v>
                </c:pt>
                <c:pt idx="7">
                  <c:v>0.753</c:v>
                </c:pt>
                <c:pt idx="8">
                  <c:v>0.749</c:v>
                </c:pt>
                <c:pt idx="9">
                  <c:v>0.745</c:v>
                </c:pt>
                <c:pt idx="10">
                  <c:v>0.75800000000000001</c:v>
                </c:pt>
                <c:pt idx="11">
                  <c:v>0.77300000000000002</c:v>
                </c:pt>
              </c:numCache>
            </c:numRef>
          </c:xVal>
          <c:yVal>
            <c:numRef>
              <c:f>'Operation 2007'!$D$69:$O$69</c:f>
              <c:numCache>
                <c:formatCode>0.0%</c:formatCode>
                <c:ptCount val="12"/>
                <c:pt idx="0">
                  <c:v>0.62866658670909248</c:v>
                </c:pt>
                <c:pt idx="1">
                  <c:v>0.60559575309938785</c:v>
                </c:pt>
                <c:pt idx="2">
                  <c:v>0.61715469177814863</c:v>
                </c:pt>
                <c:pt idx="3">
                  <c:v>0.50452893674837529</c:v>
                </c:pt>
                <c:pt idx="4">
                  <c:v>0.60673388597985112</c:v>
                </c:pt>
                <c:pt idx="5">
                  <c:v>0.60129715318831334</c:v>
                </c:pt>
                <c:pt idx="6">
                  <c:v>0.56457368826635046</c:v>
                </c:pt>
                <c:pt idx="7">
                  <c:v>0.55614427554229762</c:v>
                </c:pt>
                <c:pt idx="8">
                  <c:v>0.61213682990945961</c:v>
                </c:pt>
                <c:pt idx="9">
                  <c:v>0.59179685036528895</c:v>
                </c:pt>
                <c:pt idx="10">
                  <c:v>0.59730667126988002</c:v>
                </c:pt>
                <c:pt idx="11">
                  <c:v>0.62408178770453182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'Operation 2007'!$C$73</c:f>
              <c:strCache>
                <c:ptCount val="1"/>
                <c:pt idx="0">
                  <c:v>Manufacturer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'Operation 2007'!$D$6:$O$6</c:f>
              <c:numCache>
                <c:formatCode>0.0%</c:formatCode>
                <c:ptCount val="12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  <c:pt idx="6">
                  <c:v>0.72</c:v>
                </c:pt>
                <c:pt idx="7">
                  <c:v>0.753</c:v>
                </c:pt>
                <c:pt idx="8">
                  <c:v>0.749</c:v>
                </c:pt>
                <c:pt idx="9">
                  <c:v>0.745</c:v>
                </c:pt>
                <c:pt idx="10">
                  <c:v>0.75800000000000001</c:v>
                </c:pt>
                <c:pt idx="11">
                  <c:v>0.77300000000000002</c:v>
                </c:pt>
              </c:numCache>
            </c:numRef>
          </c:xVal>
          <c:yVal>
            <c:numRef>
              <c:f>'Operation 2007'!$D$74:$O$74</c:f>
              <c:numCache>
                <c:formatCode>0.00%</c:formatCode>
                <c:ptCount val="12"/>
              </c:numCache>
            </c:numRef>
          </c:yVal>
          <c:smooth val="0"/>
        </c:ser>
        <c:ser>
          <c:idx val="3"/>
          <c:order val="3"/>
          <c:tx>
            <c:v>MAN/0.9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'Operation 2007'!$D$6:$O$6</c:f>
              <c:numCache>
                <c:formatCode>0.0%</c:formatCode>
                <c:ptCount val="12"/>
                <c:pt idx="0">
                  <c:v>0.75900000000000001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0.57099999999999995</c:v>
                </c:pt>
                <c:pt idx="4">
                  <c:v>0.71099999999999997</c:v>
                </c:pt>
                <c:pt idx="5">
                  <c:v>0.75</c:v>
                </c:pt>
                <c:pt idx="6">
                  <c:v>0.72</c:v>
                </c:pt>
                <c:pt idx="7">
                  <c:v>0.753</c:v>
                </c:pt>
                <c:pt idx="8">
                  <c:v>0.749</c:v>
                </c:pt>
                <c:pt idx="9">
                  <c:v>0.745</c:v>
                </c:pt>
                <c:pt idx="10">
                  <c:v>0.75800000000000001</c:v>
                </c:pt>
                <c:pt idx="11">
                  <c:v>0.77300000000000002</c:v>
                </c:pt>
              </c:numCache>
            </c:numRef>
          </c:xVal>
          <c:yVal>
            <c:numRef>
              <c:f>'Operation 2007'!$D$30:$O$30</c:f>
              <c:numCache>
                <c:formatCode>0.00%</c:formatCode>
                <c:ptCount val="12"/>
                <c:pt idx="0">
                  <c:v>0.87230348588866791</c:v>
                </c:pt>
                <c:pt idx="1">
                  <c:v>0.8451948493093</c:v>
                </c:pt>
                <c:pt idx="2">
                  <c:v>0.87363801930701201</c:v>
                </c:pt>
                <c:pt idx="3">
                  <c:v>0.9097013576203461</c:v>
                </c:pt>
                <c:pt idx="4">
                  <c:v>0.87717410684249231</c:v>
                </c:pt>
                <c:pt idx="5">
                  <c:v>0.8608466829486997</c:v>
                </c:pt>
                <c:pt idx="6">
                  <c:v>0.85904151821186048</c:v>
                </c:pt>
                <c:pt idx="7">
                  <c:v>0.84443892503210871</c:v>
                </c:pt>
                <c:pt idx="8">
                  <c:v>0.87536410122024599</c:v>
                </c:pt>
                <c:pt idx="9">
                  <c:v>0.88009837688505677</c:v>
                </c:pt>
                <c:pt idx="10">
                  <c:v>0.87000934647994399</c:v>
                </c:pt>
                <c:pt idx="11">
                  <c:v>0.87729435943098222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2272"/>
        <c:axId val="561966624"/>
      </c:scatterChart>
      <c:valAx>
        <c:axId val="5619622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2007'!$C$6</c:f>
              <c:strCache>
                <c:ptCount val="1"/>
                <c:pt idx="0">
                  <c:v>Load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6624"/>
        <c:crosses val="autoZero"/>
        <c:crossBetween val="midCat"/>
      </c:valAx>
      <c:valAx>
        <c:axId val="5619666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'Operation 2007'!$C$42</c:f>
              <c:strCache>
                <c:ptCount val="1"/>
                <c:pt idx="0">
                  <c:v>ηc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52387</xdr:rowOff>
    </xdr:from>
    <xdr:to>
      <xdr:col>16</xdr:col>
      <xdr:colOff>495300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19</xdr:row>
      <xdr:rowOff>95250</xdr:rowOff>
    </xdr:from>
    <xdr:to>
      <xdr:col>16</xdr:col>
      <xdr:colOff>504825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33</xdr:row>
      <xdr:rowOff>38100</xdr:rowOff>
    </xdr:from>
    <xdr:to>
      <xdr:col>16</xdr:col>
      <xdr:colOff>504825</xdr:colOff>
      <xdr:row>46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123825</xdr:rowOff>
    </xdr:from>
    <xdr:to>
      <xdr:col>15</xdr:col>
      <xdr:colOff>228600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123825</xdr:colOff>
      <xdr:row>80</xdr:row>
      <xdr:rowOff>123826</xdr:rowOff>
    </xdr:from>
    <xdr:to>
      <xdr:col>8</xdr:col>
      <xdr:colOff>527585</xdr:colOff>
      <xdr:row>98</xdr:row>
      <xdr:rowOff>123826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15973426"/>
          <a:ext cx="680456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52387</xdr:rowOff>
    </xdr:from>
    <xdr:to>
      <xdr:col>17</xdr:col>
      <xdr:colOff>495300</xdr:colOff>
      <xdr:row>19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19</xdr:row>
      <xdr:rowOff>95250</xdr:rowOff>
    </xdr:from>
    <xdr:to>
      <xdr:col>17</xdr:col>
      <xdr:colOff>504825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33</xdr:row>
      <xdr:rowOff>38100</xdr:rowOff>
    </xdr:from>
    <xdr:to>
      <xdr:col>17</xdr:col>
      <xdr:colOff>504825</xdr:colOff>
      <xdr:row>46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123825</xdr:rowOff>
    </xdr:from>
    <xdr:to>
      <xdr:col>16</xdr:col>
      <xdr:colOff>228600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123825</xdr:colOff>
      <xdr:row>80</xdr:row>
      <xdr:rowOff>123826</xdr:rowOff>
    </xdr:from>
    <xdr:to>
      <xdr:col>8</xdr:col>
      <xdr:colOff>527585</xdr:colOff>
      <xdr:row>98</xdr:row>
      <xdr:rowOff>123826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15973426"/>
          <a:ext cx="6804560" cy="342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5</xdr:row>
      <xdr:rowOff>52387</xdr:rowOff>
    </xdr:from>
    <xdr:to>
      <xdr:col>22</xdr:col>
      <xdr:colOff>495300</xdr:colOff>
      <xdr:row>19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19</xdr:row>
      <xdr:rowOff>95250</xdr:rowOff>
    </xdr:from>
    <xdr:to>
      <xdr:col>22</xdr:col>
      <xdr:colOff>504825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33</xdr:row>
      <xdr:rowOff>38100</xdr:rowOff>
    </xdr:from>
    <xdr:to>
      <xdr:col>22</xdr:col>
      <xdr:colOff>504825</xdr:colOff>
      <xdr:row>46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123825</xdr:rowOff>
    </xdr:from>
    <xdr:to>
      <xdr:col>21</xdr:col>
      <xdr:colOff>228600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123825</xdr:colOff>
      <xdr:row>80</xdr:row>
      <xdr:rowOff>123826</xdr:rowOff>
    </xdr:from>
    <xdr:to>
      <xdr:col>8</xdr:col>
      <xdr:colOff>527585</xdr:colOff>
      <xdr:row>98</xdr:row>
      <xdr:rowOff>123826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15973426"/>
          <a:ext cx="6804560" cy="3429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5</xdr:row>
      <xdr:rowOff>52387</xdr:rowOff>
    </xdr:from>
    <xdr:to>
      <xdr:col>22</xdr:col>
      <xdr:colOff>495300</xdr:colOff>
      <xdr:row>19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19</xdr:row>
      <xdr:rowOff>95250</xdr:rowOff>
    </xdr:from>
    <xdr:to>
      <xdr:col>22</xdr:col>
      <xdr:colOff>504825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33</xdr:row>
      <xdr:rowOff>38100</xdr:rowOff>
    </xdr:from>
    <xdr:to>
      <xdr:col>22</xdr:col>
      <xdr:colOff>504825</xdr:colOff>
      <xdr:row>46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123825</xdr:rowOff>
    </xdr:from>
    <xdr:to>
      <xdr:col>21</xdr:col>
      <xdr:colOff>228600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123825</xdr:colOff>
      <xdr:row>80</xdr:row>
      <xdr:rowOff>123826</xdr:rowOff>
    </xdr:from>
    <xdr:to>
      <xdr:col>8</xdr:col>
      <xdr:colOff>527585</xdr:colOff>
      <xdr:row>98</xdr:row>
      <xdr:rowOff>123826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15973426"/>
          <a:ext cx="6804560" cy="3429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119062</xdr:rowOff>
    </xdr:from>
    <xdr:to>
      <xdr:col>15</xdr:col>
      <xdr:colOff>476250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4</xdr:row>
      <xdr:rowOff>119062</xdr:rowOff>
    </xdr:from>
    <xdr:to>
      <xdr:col>23</xdr:col>
      <xdr:colOff>423862</xdr:colOff>
      <xdr:row>19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tabSelected="1" topLeftCell="B1" workbookViewId="0">
      <selection activeCell="D15" sqref="D15:I15"/>
    </sheetView>
  </sheetViews>
  <sheetFormatPr defaultRowHeight="15" x14ac:dyDescent="0.25"/>
  <cols>
    <col min="3" max="3" width="10.28515625" bestFit="1" customWidth="1"/>
    <col min="4" max="4" width="12" customWidth="1"/>
    <col min="5" max="9" width="18.42578125" bestFit="1" customWidth="1"/>
    <col min="19" max="19" width="18.5703125" bestFit="1" customWidth="1"/>
    <col min="27" max="27" width="10.28515625" bestFit="1" customWidth="1"/>
    <col min="28" max="28" width="10.28515625" style="17" customWidth="1"/>
  </cols>
  <sheetData>
    <row r="1" spans="3:33" x14ac:dyDescent="0.25">
      <c r="D1" s="17">
        <v>4.9033249999999996E-4</v>
      </c>
      <c r="E1" s="17">
        <v>1.372931E-3</v>
      </c>
      <c r="F1" s="17">
        <v>2.745862E-3</v>
      </c>
      <c r="G1" s="17">
        <v>3.28522775E-3</v>
      </c>
      <c r="H1" s="17">
        <v>3.9226599999999997E-3</v>
      </c>
      <c r="I1" s="17">
        <v>4.5110590000000004E-3</v>
      </c>
      <c r="J1" t="s">
        <v>45</v>
      </c>
    </row>
    <row r="2" spans="3:33" x14ac:dyDescent="0.25">
      <c r="C2" s="33" t="s">
        <v>0</v>
      </c>
      <c r="D2" s="33">
        <v>0.72</v>
      </c>
      <c r="F2" s="32" t="s">
        <v>19</v>
      </c>
      <c r="G2" s="32">
        <v>1.4</v>
      </c>
      <c r="H2" t="s">
        <v>20</v>
      </c>
      <c r="I2" s="13">
        <f>(G2-1)/G2</f>
        <v>0.28571428571428564</v>
      </c>
      <c r="J2" t="s">
        <v>4</v>
      </c>
      <c r="K2" s="37">
        <v>0</v>
      </c>
      <c r="L2" t="s">
        <v>6</v>
      </c>
      <c r="M2" s="37">
        <v>0</v>
      </c>
      <c r="N2" t="s">
        <v>48</v>
      </c>
      <c r="O2" s="36">
        <v>0.9</v>
      </c>
      <c r="P2" t="s">
        <v>58</v>
      </c>
      <c r="Q2" s="37">
        <v>0</v>
      </c>
    </row>
    <row r="3" spans="3:33" x14ac:dyDescent="0.25">
      <c r="C3" s="33" t="s">
        <v>1</v>
      </c>
      <c r="D3" s="33">
        <v>0.73</v>
      </c>
      <c r="F3" s="32" t="s">
        <v>22</v>
      </c>
      <c r="G3" s="32">
        <v>1.36</v>
      </c>
      <c r="H3" s="11" t="s">
        <v>21</v>
      </c>
      <c r="I3" s="13">
        <f>(G3-1)/G3</f>
        <v>0.26470588235294124</v>
      </c>
      <c r="J3" t="s">
        <v>5</v>
      </c>
      <c r="K3" s="37">
        <v>0</v>
      </c>
      <c r="L3" t="s">
        <v>46</v>
      </c>
      <c r="M3" s="37">
        <v>0</v>
      </c>
      <c r="N3" t="s">
        <v>50</v>
      </c>
      <c r="O3" s="36">
        <v>1</v>
      </c>
      <c r="P3" t="s">
        <v>2</v>
      </c>
      <c r="Q3" s="37">
        <v>0</v>
      </c>
      <c r="S3" t="s">
        <v>52</v>
      </c>
    </row>
    <row r="4" spans="3:33" x14ac:dyDescent="0.25">
      <c r="C4" t="s">
        <v>59</v>
      </c>
      <c r="D4" s="17">
        <v>0</v>
      </c>
      <c r="E4" s="17">
        <v>3.9226599999999997E-3</v>
      </c>
      <c r="F4" s="17">
        <v>7.8453199999999994E-3</v>
      </c>
      <c r="G4" s="17">
        <v>1.4709975E-2</v>
      </c>
      <c r="H4" s="17">
        <v>1.5690639999999999E-2</v>
      </c>
      <c r="I4" s="17">
        <v>2.2555295E-2</v>
      </c>
      <c r="L4" s="17"/>
      <c r="M4" s="17"/>
      <c r="N4" s="17"/>
      <c r="O4" s="17"/>
      <c r="P4" s="17"/>
      <c r="AE4" t="s">
        <v>5</v>
      </c>
    </row>
    <row r="5" spans="3:33" ht="18.75" x14ac:dyDescent="0.3">
      <c r="C5" s="35" t="s">
        <v>14</v>
      </c>
      <c r="S5" t="s">
        <v>51</v>
      </c>
      <c r="AA5" s="14" t="s">
        <v>55</v>
      </c>
      <c r="AF5" t="s">
        <v>56</v>
      </c>
      <c r="AG5" t="s">
        <v>57</v>
      </c>
    </row>
    <row r="6" spans="3:33" x14ac:dyDescent="0.25">
      <c r="C6" s="34" t="s">
        <v>40</v>
      </c>
      <c r="D6" s="1">
        <v>0.25</v>
      </c>
      <c r="E6" s="1">
        <v>0.5</v>
      </c>
      <c r="F6" s="1">
        <v>0.75</v>
      </c>
      <c r="G6" s="1">
        <v>0.9</v>
      </c>
      <c r="H6" s="1">
        <v>1</v>
      </c>
      <c r="I6" s="1">
        <v>1.1000000000000001</v>
      </c>
      <c r="S6" t="s">
        <v>49</v>
      </c>
      <c r="T6" s="18">
        <v>0.82324419377495617</v>
      </c>
      <c r="U6" s="18">
        <v>0.7733737043275386</v>
      </c>
      <c r="V6" s="18">
        <v>0.75839788862565871</v>
      </c>
      <c r="W6" s="18">
        <v>0.77969919517434116</v>
      </c>
      <c r="X6" s="18">
        <v>0.76438386855207641</v>
      </c>
      <c r="Y6" s="18">
        <v>0.74810409672059253</v>
      </c>
      <c r="AA6" t="s">
        <v>6</v>
      </c>
      <c r="AB6" s="17" t="s">
        <v>49</v>
      </c>
      <c r="AC6" s="19" t="s">
        <v>36</v>
      </c>
      <c r="AD6" s="19" t="s">
        <v>34</v>
      </c>
      <c r="AE6" s="19"/>
      <c r="AF6" s="19"/>
      <c r="AG6" s="19"/>
    </row>
    <row r="7" spans="3:33" x14ac:dyDescent="0.25">
      <c r="C7" s="34" t="s">
        <v>11</v>
      </c>
      <c r="D7" s="2">
        <v>57.4</v>
      </c>
      <c r="E7" s="2">
        <v>72.3</v>
      </c>
      <c r="F7" s="2">
        <v>82.6</v>
      </c>
      <c r="G7" s="2">
        <v>87.9</v>
      </c>
      <c r="H7" s="2">
        <v>91</v>
      </c>
      <c r="I7" s="2">
        <v>93.9</v>
      </c>
      <c r="S7" t="s">
        <v>36</v>
      </c>
      <c r="T7" s="18">
        <v>0.84126619989124407</v>
      </c>
      <c r="U7" s="18">
        <v>0.84986988535791597</v>
      </c>
      <c r="V7" s="18">
        <v>0.88699757919468347</v>
      </c>
      <c r="W7" s="18">
        <v>0.88806468011725426</v>
      </c>
      <c r="X7" s="18">
        <v>0.88534670705390606</v>
      </c>
      <c r="Y7" s="18">
        <v>0.88911212205919588</v>
      </c>
      <c r="AA7" s="41">
        <v>-0.2</v>
      </c>
      <c r="AC7" s="19"/>
      <c r="AD7" s="19"/>
      <c r="AE7" s="19"/>
      <c r="AF7" s="19"/>
      <c r="AG7" s="19"/>
    </row>
    <row r="8" spans="3:33" x14ac:dyDescent="0.25">
      <c r="C8" s="34" t="s">
        <v>2</v>
      </c>
      <c r="D8" s="17">
        <v>14.149999999999999</v>
      </c>
      <c r="E8" s="17">
        <v>15.2</v>
      </c>
      <c r="F8" s="17">
        <v>16.149999999999999</v>
      </c>
      <c r="G8" s="17">
        <v>18.350000000000001</v>
      </c>
      <c r="H8" s="17">
        <v>17.45</v>
      </c>
      <c r="I8" s="17">
        <v>18.55</v>
      </c>
      <c r="S8" t="s">
        <v>34</v>
      </c>
      <c r="T8" s="18">
        <v>0.62331076303162947</v>
      </c>
      <c r="U8" s="18">
        <v>0.65726702143567206</v>
      </c>
      <c r="V8" s="18">
        <v>0.67269709127731847</v>
      </c>
      <c r="W8" s="18">
        <v>0.69242331635018184</v>
      </c>
      <c r="X8" s="18">
        <v>0.67674474094770665</v>
      </c>
      <c r="Y8" s="18">
        <v>0.6651484209564239</v>
      </c>
      <c r="AA8" s="19">
        <v>0.1</v>
      </c>
      <c r="AC8" s="19"/>
      <c r="AD8" s="19"/>
      <c r="AE8" s="19"/>
      <c r="AF8" s="19"/>
      <c r="AG8" s="19"/>
    </row>
    <row r="9" spans="3:33" x14ac:dyDescent="0.25">
      <c r="C9" s="34" t="s">
        <v>3</v>
      </c>
      <c r="D9" s="3">
        <v>1010.5837162</v>
      </c>
      <c r="E9" s="3">
        <v>1010.31707142</v>
      </c>
      <c r="F9" s="3">
        <v>1009.65045947</v>
      </c>
      <c r="G9" s="3">
        <v>1008.98384752</v>
      </c>
      <c r="H9" s="3">
        <v>1008.98384752</v>
      </c>
      <c r="I9" s="3">
        <v>1008.98384752</v>
      </c>
      <c r="AA9" s="19">
        <v>0</v>
      </c>
      <c r="AC9" s="19"/>
      <c r="AD9" s="19"/>
      <c r="AE9" s="19"/>
      <c r="AF9" s="19"/>
      <c r="AG9" s="19"/>
    </row>
    <row r="10" spans="3:33" x14ac:dyDescent="0.25">
      <c r="C10" s="34" t="s">
        <v>4</v>
      </c>
      <c r="D10" s="7">
        <v>1.3805837162000001</v>
      </c>
      <c r="E10" s="7">
        <v>2.1303170714200004</v>
      </c>
      <c r="F10" s="7">
        <v>2.9396504594700001</v>
      </c>
      <c r="G10" s="7">
        <v>3.4389838475200003</v>
      </c>
      <c r="H10" s="7">
        <v>3.80898384752</v>
      </c>
      <c r="I10" s="7">
        <v>4.0689838475200002</v>
      </c>
      <c r="S10" t="str">
        <f>S6</f>
        <v>ηc</v>
      </c>
      <c r="T10" s="22">
        <f>D42</f>
        <v>0.82324419377495617</v>
      </c>
      <c r="U10" s="22">
        <f t="shared" ref="U10:Y12" si="0">E42</f>
        <v>0.7733737043275386</v>
      </c>
      <c r="V10" s="22">
        <f t="shared" si="0"/>
        <v>0.75839788862565871</v>
      </c>
      <c r="W10" s="22">
        <f t="shared" si="0"/>
        <v>0.77969919517434116</v>
      </c>
      <c r="X10" s="22">
        <f t="shared" si="0"/>
        <v>0.76438386855207641</v>
      </c>
      <c r="Y10" s="22">
        <f t="shared" si="0"/>
        <v>0.74810409672059253</v>
      </c>
      <c r="AA10" s="19">
        <v>0.1</v>
      </c>
      <c r="AC10" s="19"/>
      <c r="AD10" s="19"/>
      <c r="AE10" s="19"/>
      <c r="AF10" s="19"/>
      <c r="AG10" s="19"/>
    </row>
    <row r="11" spans="3:33" x14ac:dyDescent="0.25">
      <c r="C11" s="34" t="s">
        <v>5</v>
      </c>
      <c r="D11" s="11">
        <v>262.5</v>
      </c>
      <c r="E11" s="11">
        <v>314</v>
      </c>
      <c r="F11" s="11">
        <v>335</v>
      </c>
      <c r="G11" s="11">
        <v>353.5</v>
      </c>
      <c r="H11" s="11">
        <v>375</v>
      </c>
      <c r="I11" s="11">
        <v>395</v>
      </c>
      <c r="S11" s="17" t="str">
        <f t="shared" ref="S11:S12" si="1">S7</f>
        <v>ηISt</v>
      </c>
      <c r="T11" s="22">
        <f t="shared" ref="T11:T12" si="2">D43</f>
        <v>0.84126619989124407</v>
      </c>
      <c r="U11" s="22">
        <f t="shared" si="0"/>
        <v>0.84986988535791597</v>
      </c>
      <c r="V11" s="22">
        <f t="shared" si="0"/>
        <v>0.88699757919468347</v>
      </c>
      <c r="W11" s="22">
        <f t="shared" si="0"/>
        <v>0.88806468011725426</v>
      </c>
      <c r="X11" s="22">
        <f t="shared" si="0"/>
        <v>0.88534670705390606</v>
      </c>
      <c r="Y11" s="22">
        <f t="shared" si="0"/>
        <v>0.88911212205919588</v>
      </c>
      <c r="AA11" s="19">
        <v>0.2</v>
      </c>
      <c r="AB11" s="19"/>
      <c r="AC11" s="19"/>
      <c r="AD11" s="19"/>
      <c r="AE11" s="19"/>
      <c r="AF11" s="19"/>
      <c r="AG11" s="19"/>
    </row>
    <row r="12" spans="3:33" x14ac:dyDescent="0.25">
      <c r="C12" s="34" t="s">
        <v>6</v>
      </c>
      <c r="D12" s="8">
        <v>1.3105837162</v>
      </c>
      <c r="E12" s="8">
        <v>1.98031707142</v>
      </c>
      <c r="F12" s="8">
        <v>2.73965045947</v>
      </c>
      <c r="G12" s="8">
        <v>3.1489838475200003</v>
      </c>
      <c r="H12" s="8">
        <v>3.5289838475200002</v>
      </c>
      <c r="I12" s="8">
        <v>3.82898384752</v>
      </c>
      <c r="S12" s="17" t="str">
        <f t="shared" si="1"/>
        <v>ηIStc</v>
      </c>
      <c r="T12" s="22">
        <f t="shared" si="2"/>
        <v>0.62331076303162947</v>
      </c>
      <c r="U12" s="22">
        <f t="shared" si="0"/>
        <v>0.65726702143567206</v>
      </c>
      <c r="V12" s="22">
        <f t="shared" si="0"/>
        <v>0.67269709127731847</v>
      </c>
      <c r="W12" s="22">
        <f t="shared" si="0"/>
        <v>0.69242331635018184</v>
      </c>
      <c r="X12" s="22">
        <f t="shared" si="0"/>
        <v>0.67674474094770665</v>
      </c>
      <c r="Y12" s="22">
        <f t="shared" si="0"/>
        <v>0.6651484209564239</v>
      </c>
      <c r="AB12" s="19"/>
      <c r="AC12" s="19"/>
      <c r="AD12" s="19"/>
      <c r="AE12" s="19"/>
      <c r="AF12" s="19"/>
      <c r="AG12" s="19"/>
    </row>
    <row r="13" spans="3:33" x14ac:dyDescent="0.25">
      <c r="C13" s="34" t="s">
        <v>7</v>
      </c>
      <c r="D13" s="4">
        <f>D4</f>
        <v>0</v>
      </c>
      <c r="E13" s="17">
        <f t="shared" ref="E13:I13" si="3">E4</f>
        <v>3.9226599999999997E-3</v>
      </c>
      <c r="F13" s="17">
        <f t="shared" si="3"/>
        <v>7.8453199999999994E-3</v>
      </c>
      <c r="G13" s="17">
        <f t="shared" si="3"/>
        <v>1.4709975E-2</v>
      </c>
      <c r="H13" s="17">
        <f t="shared" si="3"/>
        <v>1.5690639999999999E-2</v>
      </c>
      <c r="I13" s="17">
        <f t="shared" si="3"/>
        <v>2.2555295E-2</v>
      </c>
      <c r="AA13" s="11" t="s">
        <v>4</v>
      </c>
      <c r="AB13" s="19"/>
      <c r="AC13" s="19"/>
      <c r="AD13" s="19"/>
      <c r="AE13" s="19"/>
      <c r="AF13" s="19"/>
      <c r="AG13" s="19"/>
    </row>
    <row r="14" spans="3:33" x14ac:dyDescent="0.25">
      <c r="C14" s="34" t="s">
        <v>9</v>
      </c>
      <c r="D14" s="6">
        <v>6.3743224999999997E-3</v>
      </c>
      <c r="E14" s="6">
        <v>1.12776475E-2</v>
      </c>
      <c r="F14" s="6">
        <v>1.5445473750000001E-2</v>
      </c>
      <c r="G14" s="6">
        <v>1.7406803750000002E-2</v>
      </c>
      <c r="H14" s="6">
        <v>1.9122967500000001E-2</v>
      </c>
      <c r="I14" s="6">
        <v>2.0593964999999999E-2</v>
      </c>
      <c r="S14" t="s">
        <v>53</v>
      </c>
      <c r="AB14" s="19"/>
      <c r="AC14" s="19"/>
      <c r="AD14" s="19"/>
      <c r="AE14" s="19"/>
      <c r="AF14" s="19"/>
      <c r="AG14" s="19"/>
    </row>
    <row r="15" spans="3:33" x14ac:dyDescent="0.25">
      <c r="C15" s="34" t="s">
        <v>8</v>
      </c>
      <c r="D15" s="17">
        <v>4.9033249999999996E-4</v>
      </c>
      <c r="E15" s="17">
        <v>1.372931E-3</v>
      </c>
      <c r="F15" s="17">
        <v>2.745862E-3</v>
      </c>
      <c r="G15" s="17">
        <v>3.28522775E-3</v>
      </c>
      <c r="H15" s="17">
        <v>3.9226599999999997E-3</v>
      </c>
      <c r="I15" s="17">
        <v>4.5110590000000004E-3</v>
      </c>
      <c r="S15" t="str">
        <f>S6</f>
        <v>ηc</v>
      </c>
      <c r="T15" s="40">
        <f>T10-T6</f>
        <v>0</v>
      </c>
      <c r="U15" s="40">
        <f t="shared" ref="U15:Y15" si="4">U10-U6</f>
        <v>0</v>
      </c>
      <c r="V15" s="40">
        <f t="shared" si="4"/>
        <v>0</v>
      </c>
      <c r="W15" s="40">
        <f t="shared" si="4"/>
        <v>0</v>
      </c>
      <c r="X15" s="40">
        <f t="shared" si="4"/>
        <v>0</v>
      </c>
      <c r="Y15" s="40">
        <f t="shared" si="4"/>
        <v>0</v>
      </c>
      <c r="AB15" s="19"/>
      <c r="AC15" s="19"/>
      <c r="AD15" s="19"/>
      <c r="AE15" s="19"/>
      <c r="AF15" s="19"/>
      <c r="AG15" s="19"/>
    </row>
    <row r="16" spans="3:33" x14ac:dyDescent="0.25">
      <c r="C16" s="34" t="s">
        <v>10</v>
      </c>
      <c r="D16" s="5">
        <v>5620</v>
      </c>
      <c r="E16" s="5">
        <v>9240</v>
      </c>
      <c r="F16" s="5">
        <v>11451.5</v>
      </c>
      <c r="G16" s="5">
        <v>12285</v>
      </c>
      <c r="H16" s="5">
        <v>12994.5</v>
      </c>
      <c r="I16" s="5">
        <v>13552.5</v>
      </c>
      <c r="S16" s="17" t="str">
        <f t="shared" ref="S16:S17" si="5">S7</f>
        <v>ηISt</v>
      </c>
      <c r="T16" s="40">
        <f t="shared" ref="T16:Y17" si="6">T11-T7</f>
        <v>0</v>
      </c>
      <c r="U16" s="40">
        <f t="shared" si="6"/>
        <v>0</v>
      </c>
      <c r="V16" s="40">
        <f t="shared" si="6"/>
        <v>0</v>
      </c>
      <c r="W16" s="40">
        <f t="shared" si="6"/>
        <v>0</v>
      </c>
      <c r="X16" s="40">
        <f t="shared" si="6"/>
        <v>0</v>
      </c>
      <c r="Y16" s="40">
        <f t="shared" si="6"/>
        <v>0</v>
      </c>
      <c r="AB16" s="19"/>
      <c r="AC16" s="19"/>
      <c r="AD16" s="19"/>
      <c r="AE16" s="19"/>
      <c r="AF16" s="19"/>
      <c r="AG16" s="19"/>
    </row>
    <row r="17" spans="1:33" x14ac:dyDescent="0.25">
      <c r="C17" s="34" t="s">
        <v>12</v>
      </c>
      <c r="D17" s="9">
        <v>34</v>
      </c>
      <c r="E17" s="9">
        <v>88</v>
      </c>
      <c r="F17" s="9">
        <v>134</v>
      </c>
      <c r="G17" s="9">
        <v>158</v>
      </c>
      <c r="H17" s="9">
        <v>176</v>
      </c>
      <c r="I17" s="9">
        <v>193.5</v>
      </c>
      <c r="S17" s="17" t="str">
        <f t="shared" si="5"/>
        <v>ηIStc</v>
      </c>
      <c r="T17" s="40">
        <f t="shared" si="6"/>
        <v>0</v>
      </c>
      <c r="U17" s="40">
        <f t="shared" si="6"/>
        <v>0</v>
      </c>
      <c r="V17" s="40">
        <f t="shared" si="6"/>
        <v>0</v>
      </c>
      <c r="W17" s="40">
        <f t="shared" si="6"/>
        <v>0</v>
      </c>
      <c r="X17" s="40">
        <f t="shared" si="6"/>
        <v>0</v>
      </c>
      <c r="Y17" s="40">
        <f t="shared" si="6"/>
        <v>0</v>
      </c>
      <c r="AB17" s="19"/>
      <c r="AC17" s="19"/>
      <c r="AD17" s="19"/>
      <c r="AE17" s="19"/>
      <c r="AF17" s="19"/>
      <c r="AG17" s="19"/>
    </row>
    <row r="18" spans="1:33" x14ac:dyDescent="0.25">
      <c r="C18" s="34" t="s">
        <v>13</v>
      </c>
      <c r="D18" s="10">
        <v>224</v>
      </c>
      <c r="E18" s="10">
        <v>220.5</v>
      </c>
      <c r="F18" s="10">
        <v>197</v>
      </c>
      <c r="G18" s="10">
        <v>197</v>
      </c>
      <c r="H18" s="10">
        <v>205</v>
      </c>
      <c r="I18" s="10">
        <v>214</v>
      </c>
    </row>
    <row r="19" spans="1:33" ht="18" x14ac:dyDescent="0.35">
      <c r="C19" s="34" t="s">
        <v>44</v>
      </c>
      <c r="D19">
        <v>0.95</v>
      </c>
      <c r="E19" s="10">
        <v>0.95</v>
      </c>
      <c r="F19" s="10">
        <v>0.95</v>
      </c>
      <c r="G19" s="10">
        <v>0.95</v>
      </c>
      <c r="H19" s="10">
        <v>0.95</v>
      </c>
      <c r="I19" s="10">
        <v>0.95</v>
      </c>
    </row>
    <row r="20" spans="1:33" s="17" customFormat="1" x14ac:dyDescent="0.25">
      <c r="C20" s="34" t="s">
        <v>54</v>
      </c>
      <c r="D20" s="17">
        <f>D10-D12</f>
        <v>7.0000000000000062E-2</v>
      </c>
      <c r="E20" s="17">
        <f t="shared" ref="E20:H20" si="7">E10-E12</f>
        <v>0.15000000000000036</v>
      </c>
      <c r="F20" s="17">
        <f t="shared" si="7"/>
        <v>0.20000000000000018</v>
      </c>
      <c r="G20" s="17">
        <f t="shared" si="7"/>
        <v>0.29000000000000004</v>
      </c>
      <c r="H20" s="17">
        <f t="shared" si="7"/>
        <v>0.2799999999999998</v>
      </c>
      <c r="I20" s="17">
        <f>I10-I12</f>
        <v>0.24000000000000021</v>
      </c>
    </row>
    <row r="21" spans="1:33" s="11" customFormat="1" ht="18.75" x14ac:dyDescent="0.3">
      <c r="B21" s="21">
        <v>1</v>
      </c>
      <c r="C21" s="21" t="s">
        <v>15</v>
      </c>
      <c r="T21" s="11">
        <v>5000</v>
      </c>
      <c r="U21" s="11">
        <f>T21+Q2</f>
        <v>5000</v>
      </c>
      <c r="AB21" s="17"/>
    </row>
    <row r="22" spans="1:33" s="14" customFormat="1" ht="18.75" x14ac:dyDescent="0.3">
      <c r="B22" s="16"/>
      <c r="C22" s="16" t="s">
        <v>29</v>
      </c>
      <c r="T22" s="14">
        <v>2.5</v>
      </c>
      <c r="U22" s="14">
        <f>T22+K2</f>
        <v>2.5</v>
      </c>
      <c r="AB22" s="17"/>
    </row>
    <row r="23" spans="1:33" x14ac:dyDescent="0.25">
      <c r="C23" t="s">
        <v>17</v>
      </c>
      <c r="D23" s="12">
        <f>D9/1000-D15</f>
        <v>1.0100933836999999</v>
      </c>
      <c r="E23" s="19">
        <f t="shared" ref="E23:H23" si="8">E9/1000-E15</f>
        <v>1.0089441404200001</v>
      </c>
      <c r="F23" s="19">
        <f t="shared" si="8"/>
        <v>1.0069045974699999</v>
      </c>
      <c r="G23" s="19">
        <f t="shared" si="8"/>
        <v>1.0056986197700002</v>
      </c>
      <c r="H23" s="19">
        <f t="shared" si="8"/>
        <v>1.0050611875200002</v>
      </c>
      <c r="I23" s="19">
        <f>I9/1000-I15</f>
        <v>1.0044727885200002</v>
      </c>
      <c r="T23">
        <f>T21/T22</f>
        <v>2000</v>
      </c>
      <c r="U23" s="17">
        <f>U21/U22</f>
        <v>2000</v>
      </c>
      <c r="V23" s="42">
        <f>(U23-T23)/T23</f>
        <v>0</v>
      </c>
    </row>
    <row r="24" spans="1:33" x14ac:dyDescent="0.25">
      <c r="C24" t="s">
        <v>18</v>
      </c>
      <c r="D24">
        <f>D10+D14+$K$2</f>
        <v>1.3869580387</v>
      </c>
      <c r="E24" s="17">
        <f t="shared" ref="E24:I24" si="9">E10+E14+$K$2</f>
        <v>2.1415947189200004</v>
      </c>
      <c r="F24" s="17">
        <f t="shared" si="9"/>
        <v>2.95509593322</v>
      </c>
      <c r="G24" s="17">
        <f t="shared" si="9"/>
        <v>3.4563906512700004</v>
      </c>
      <c r="H24" s="17">
        <f t="shared" si="9"/>
        <v>3.8281068150199999</v>
      </c>
      <c r="I24" s="17">
        <f t="shared" si="9"/>
        <v>4.08957781252</v>
      </c>
    </row>
    <row r="25" spans="1:33" s="11" customFormat="1" x14ac:dyDescent="0.25">
      <c r="C25" t="s">
        <v>24</v>
      </c>
      <c r="D25" s="12">
        <f>D8+273.15+$Q$3</f>
        <v>287.29999999999995</v>
      </c>
      <c r="E25" s="19">
        <f t="shared" ref="E25:I25" si="10">E8+273.15+$Q$3</f>
        <v>288.34999999999997</v>
      </c>
      <c r="F25" s="19">
        <f t="shared" si="10"/>
        <v>289.29999999999995</v>
      </c>
      <c r="G25" s="19">
        <f t="shared" si="10"/>
        <v>291.5</v>
      </c>
      <c r="H25" s="19">
        <f t="shared" si="10"/>
        <v>290.59999999999997</v>
      </c>
      <c r="I25" s="19">
        <f t="shared" si="10"/>
        <v>291.7</v>
      </c>
      <c r="AB25" s="17"/>
    </row>
    <row r="26" spans="1:33" x14ac:dyDescent="0.25">
      <c r="C26" t="s">
        <v>16</v>
      </c>
      <c r="D26">
        <f t="shared" ref="D26:I26" si="11">D24/D23</f>
        <v>1.3730988253972465</v>
      </c>
      <c r="E26" s="17">
        <f t="shared" si="11"/>
        <v>2.1226097988224639</v>
      </c>
      <c r="F26" s="17">
        <f t="shared" si="11"/>
        <v>2.93483209893482</v>
      </c>
      <c r="G26" s="17">
        <f t="shared" si="11"/>
        <v>3.4368056029155785</v>
      </c>
      <c r="H26" s="17">
        <f t="shared" si="11"/>
        <v>3.8088296141112528</v>
      </c>
      <c r="I26" s="17">
        <f t="shared" si="11"/>
        <v>4.0713674469426122</v>
      </c>
    </row>
    <row r="27" spans="1:33" x14ac:dyDescent="0.25">
      <c r="C27" s="14" t="s">
        <v>27</v>
      </c>
      <c r="D27" s="15">
        <f t="shared" ref="D27:I27" si="12">D26^$I$2-1</f>
        <v>9.4821632917843068E-2</v>
      </c>
      <c r="E27" s="20">
        <f t="shared" si="12"/>
        <v>0.23991374863529713</v>
      </c>
      <c r="F27" s="20">
        <f t="shared" si="12"/>
        <v>0.36017634360342998</v>
      </c>
      <c r="G27" s="20">
        <f t="shared" si="12"/>
        <v>0.42294178800289028</v>
      </c>
      <c r="H27" s="20">
        <f t="shared" si="12"/>
        <v>0.46534687160761146</v>
      </c>
      <c r="I27" s="20">
        <f t="shared" si="12"/>
        <v>0.49352162164811886</v>
      </c>
    </row>
    <row r="28" spans="1:33" x14ac:dyDescent="0.25">
      <c r="C28" t="s">
        <v>28</v>
      </c>
      <c r="D28">
        <f>(PI()*$D$3*(D16+$Q$2))^2</f>
        <v>166118536.66666907</v>
      </c>
      <c r="E28" s="17">
        <f t="shared" ref="E28:I28" si="13">(PI()*$D$3*(E16+$Q$2))^2</f>
        <v>449044527.55512869</v>
      </c>
      <c r="F28" s="17">
        <f t="shared" si="13"/>
        <v>689715872.35607409</v>
      </c>
      <c r="G28" s="17">
        <f t="shared" si="13"/>
        <v>793772021.91401815</v>
      </c>
      <c r="H28" s="17">
        <f t="shared" si="13"/>
        <v>888105608.1802876</v>
      </c>
      <c r="I28" s="17">
        <f t="shared" si="13"/>
        <v>966015950.83149052</v>
      </c>
    </row>
    <row r="29" spans="1:33" x14ac:dyDescent="0.25">
      <c r="C29" t="s">
        <v>49</v>
      </c>
      <c r="D29" s="18">
        <f t="shared" ref="D29:I29" si="14">(3614400*D25*D27)/($D$2*D28)</f>
        <v>0.82324419377495617</v>
      </c>
      <c r="E29" s="18">
        <f t="shared" si="14"/>
        <v>0.7733737043275386</v>
      </c>
      <c r="F29" s="18">
        <f t="shared" si="14"/>
        <v>0.75839788862565871</v>
      </c>
      <c r="G29" s="18">
        <f t="shared" si="14"/>
        <v>0.77969919517434116</v>
      </c>
      <c r="H29" s="18">
        <f t="shared" si="14"/>
        <v>0.76438386855207641</v>
      </c>
      <c r="I29" s="18">
        <f t="shared" si="14"/>
        <v>0.74810409672059253</v>
      </c>
    </row>
    <row r="30" spans="1:33" x14ac:dyDescent="0.25">
      <c r="C30" s="17" t="s">
        <v>30</v>
      </c>
      <c r="D30" s="18">
        <f>D29/$O$3</f>
        <v>0.82324419377495617</v>
      </c>
      <c r="E30" s="18">
        <f t="shared" ref="E30:I30" si="15">E29/$O$2</f>
        <v>0.8593041159194873</v>
      </c>
      <c r="F30" s="18">
        <f t="shared" si="15"/>
        <v>0.84266432069517627</v>
      </c>
      <c r="G30" s="18">
        <f t="shared" si="15"/>
        <v>0.86633243908260127</v>
      </c>
      <c r="H30" s="18">
        <f t="shared" si="15"/>
        <v>0.84931540950230711</v>
      </c>
      <c r="I30" s="18">
        <f t="shared" si="15"/>
        <v>0.83122677413399171</v>
      </c>
    </row>
    <row r="31" spans="1:33" ht="18.75" x14ac:dyDescent="0.3">
      <c r="C31" s="16" t="s">
        <v>33</v>
      </c>
      <c r="E31" s="17"/>
      <c r="F31" s="17"/>
      <c r="G31" s="17"/>
      <c r="H31" s="17"/>
      <c r="I31" s="17"/>
    </row>
    <row r="32" spans="1:33" x14ac:dyDescent="0.25">
      <c r="A32" s="17" t="s">
        <v>30</v>
      </c>
      <c r="C32" t="s">
        <v>23</v>
      </c>
      <c r="D32">
        <f>D12+$M$2</f>
        <v>1.3105837162</v>
      </c>
      <c r="E32" s="17">
        <f t="shared" ref="E32:I32" si="16">E12+$M$2</f>
        <v>1.98031707142</v>
      </c>
      <c r="F32" s="17">
        <f t="shared" si="16"/>
        <v>2.73965045947</v>
      </c>
      <c r="G32" s="17">
        <f t="shared" si="16"/>
        <v>3.1489838475200003</v>
      </c>
      <c r="H32" s="17">
        <f t="shared" si="16"/>
        <v>3.5289838475200002</v>
      </c>
      <c r="I32" s="17">
        <f t="shared" si="16"/>
        <v>3.82898384752</v>
      </c>
    </row>
    <row r="33" spans="2:9" x14ac:dyDescent="0.25">
      <c r="C33" t="s">
        <v>31</v>
      </c>
      <c r="D33">
        <f>D9/1000+D13</f>
        <v>1.0105837162</v>
      </c>
      <c r="E33" s="17">
        <f t="shared" ref="E33:I33" si="17">E9/1000+E13</f>
        <v>1.01423973142</v>
      </c>
      <c r="F33" s="17">
        <f t="shared" si="17"/>
        <v>1.0174957794699999</v>
      </c>
      <c r="G33" s="17">
        <f t="shared" si="17"/>
        <v>1.0236938225200001</v>
      </c>
      <c r="H33" s="17">
        <f t="shared" si="17"/>
        <v>1.0246744875200002</v>
      </c>
      <c r="I33" s="17">
        <f t="shared" si="17"/>
        <v>1.0315391425200002</v>
      </c>
    </row>
    <row r="34" spans="2:9" x14ac:dyDescent="0.25">
      <c r="C34" t="s">
        <v>32</v>
      </c>
      <c r="D34">
        <f>D11+273.15+$K$3</f>
        <v>535.65</v>
      </c>
      <c r="E34" s="17">
        <f t="shared" ref="E34:I34" si="18">E11+273.15+$K$3</f>
        <v>587.15</v>
      </c>
      <c r="F34" s="17">
        <f t="shared" si="18"/>
        <v>608.15</v>
      </c>
      <c r="G34" s="17">
        <f t="shared" si="18"/>
        <v>626.65</v>
      </c>
      <c r="H34" s="17">
        <f t="shared" si="18"/>
        <v>648.15</v>
      </c>
      <c r="I34" s="17">
        <f t="shared" si="18"/>
        <v>668.15</v>
      </c>
    </row>
    <row r="35" spans="2:9" x14ac:dyDescent="0.25">
      <c r="C35" s="17" t="s">
        <v>26</v>
      </c>
      <c r="D35">
        <f t="shared" ref="D35:I35" si="19">D32/D33</f>
        <v>1.2968581377187245</v>
      </c>
      <c r="E35" s="17">
        <f t="shared" si="19"/>
        <v>1.9525137993237855</v>
      </c>
      <c r="F35" s="17">
        <f t="shared" si="19"/>
        <v>2.6925423326051021</v>
      </c>
      <c r="G35" s="17">
        <f t="shared" si="19"/>
        <v>3.0760992967293967</v>
      </c>
      <c r="H35" s="17">
        <f t="shared" si="19"/>
        <v>3.4440047942065304</v>
      </c>
      <c r="I35" s="17">
        <f t="shared" si="19"/>
        <v>3.7119132853901964</v>
      </c>
    </row>
    <row r="36" spans="2:9" x14ac:dyDescent="0.25">
      <c r="C36" s="17" t="s">
        <v>39</v>
      </c>
      <c r="D36" s="20">
        <f t="shared" ref="D36:I36" si="20">1-(D35)^-$I$3</f>
        <v>6.6494891956131008E-2</v>
      </c>
      <c r="E36" s="20">
        <f t="shared" si="20"/>
        <v>0.1623202264174668</v>
      </c>
      <c r="F36" s="20">
        <f t="shared" si="20"/>
        <v>0.23063319338355381</v>
      </c>
      <c r="G36" s="20">
        <f t="shared" si="20"/>
        <v>0.25728287671779759</v>
      </c>
      <c r="H36" s="20">
        <f t="shared" si="20"/>
        <v>0.27916466585935118</v>
      </c>
      <c r="I36" s="20">
        <f t="shared" si="20"/>
        <v>0.29331787559675093</v>
      </c>
    </row>
    <row r="37" spans="2:9" x14ac:dyDescent="0.25">
      <c r="C37" s="17" t="s">
        <v>34</v>
      </c>
      <c r="D37" s="18">
        <f t="shared" ref="D37:I37" si="21" xml:space="preserve"> (0.9055*D25*D27)/(D34*D36)</f>
        <v>0.69256751447958831</v>
      </c>
      <c r="E37" s="18">
        <f t="shared" si="21"/>
        <v>0.65726702143567206</v>
      </c>
      <c r="F37" s="18">
        <f t="shared" si="21"/>
        <v>0.67269709127731847</v>
      </c>
      <c r="G37" s="18">
        <f t="shared" si="21"/>
        <v>0.69242331635018184</v>
      </c>
      <c r="H37" s="18">
        <f t="shared" si="21"/>
        <v>0.67674474094770665</v>
      </c>
      <c r="I37" s="18">
        <f t="shared" si="21"/>
        <v>0.6651484209564239</v>
      </c>
    </row>
    <row r="38" spans="2:9" x14ac:dyDescent="0.25">
      <c r="E38" s="17"/>
      <c r="F38" s="17"/>
      <c r="G38" s="17"/>
      <c r="H38" s="17"/>
      <c r="I38" s="17"/>
    </row>
    <row r="39" spans="2:9" ht="18.75" x14ac:dyDescent="0.3">
      <c r="C39" s="21" t="s">
        <v>35</v>
      </c>
      <c r="E39" s="17"/>
      <c r="F39" s="17"/>
      <c r="G39" s="17"/>
      <c r="H39" s="17"/>
      <c r="I39" s="17"/>
    </row>
    <row r="40" spans="2:9" x14ac:dyDescent="0.25">
      <c r="C40" s="17" t="s">
        <v>36</v>
      </c>
      <c r="D40" s="22">
        <f>D37/D29</f>
        <v>0.84126619989124407</v>
      </c>
      <c r="E40" s="22">
        <f t="shared" ref="E40:I40" si="22">E37/E29</f>
        <v>0.84986988535791597</v>
      </c>
      <c r="F40" s="22">
        <f t="shared" si="22"/>
        <v>0.88699757919468347</v>
      </c>
      <c r="G40" s="22">
        <f t="shared" si="22"/>
        <v>0.88806468011725426</v>
      </c>
      <c r="H40" s="22">
        <f t="shared" si="22"/>
        <v>0.88534670705390606</v>
      </c>
      <c r="I40" s="22">
        <f t="shared" si="22"/>
        <v>0.88911212205919588</v>
      </c>
    </row>
    <row r="41" spans="2:9" ht="15.75" thickBot="1" x14ac:dyDescent="0.3">
      <c r="C41" s="17" t="s">
        <v>47</v>
      </c>
      <c r="D41" s="22">
        <f>D37/D30</f>
        <v>0.84126619989124407</v>
      </c>
      <c r="E41" s="17">
        <f t="shared" ref="E41:I41" si="23">E37/E30</f>
        <v>0.7648828968221244</v>
      </c>
      <c r="F41" s="17">
        <f t="shared" si="23"/>
        <v>0.7982978212752152</v>
      </c>
      <c r="G41" s="17">
        <f t="shared" si="23"/>
        <v>0.79925821210552883</v>
      </c>
      <c r="H41" s="17">
        <f t="shared" si="23"/>
        <v>0.7968120363485155</v>
      </c>
      <c r="I41" s="17">
        <f t="shared" si="23"/>
        <v>0.80020090985327619</v>
      </c>
    </row>
    <row r="42" spans="2:9" ht="15.75" x14ac:dyDescent="0.25">
      <c r="C42" s="23" t="str">
        <f t="shared" ref="C42:I42" si="24">C29</f>
        <v>ηc</v>
      </c>
      <c r="D42" s="24">
        <f t="shared" si="24"/>
        <v>0.82324419377495617</v>
      </c>
      <c r="E42" s="24">
        <f t="shared" si="24"/>
        <v>0.7733737043275386</v>
      </c>
      <c r="F42" s="24">
        <f t="shared" si="24"/>
        <v>0.75839788862565871</v>
      </c>
      <c r="G42" s="24">
        <f t="shared" si="24"/>
        <v>0.77969919517434116</v>
      </c>
      <c r="H42" s="24">
        <f t="shared" si="24"/>
        <v>0.76438386855207641</v>
      </c>
      <c r="I42" s="25">
        <f t="shared" si="24"/>
        <v>0.74810409672059253</v>
      </c>
    </row>
    <row r="43" spans="2:9" ht="15.75" x14ac:dyDescent="0.25">
      <c r="C43" s="26" t="str">
        <f>C40</f>
        <v>ηISt</v>
      </c>
      <c r="D43" s="27">
        <f t="shared" ref="D43:I43" si="25">D40</f>
        <v>0.84126619989124407</v>
      </c>
      <c r="E43" s="27">
        <f t="shared" si="25"/>
        <v>0.84986988535791597</v>
      </c>
      <c r="F43" s="27">
        <f t="shared" si="25"/>
        <v>0.88699757919468347</v>
      </c>
      <c r="G43" s="27">
        <f t="shared" si="25"/>
        <v>0.88806468011725426</v>
      </c>
      <c r="H43" s="27">
        <f t="shared" si="25"/>
        <v>0.88534670705390606</v>
      </c>
      <c r="I43" s="28">
        <f t="shared" si="25"/>
        <v>0.88911212205919588</v>
      </c>
    </row>
    <row r="44" spans="2:9" ht="16.5" thickBot="1" x14ac:dyDescent="0.3">
      <c r="C44" s="29" t="str">
        <f>C37</f>
        <v>ηIStc</v>
      </c>
      <c r="D44" s="39">
        <f>D37*O2/O3</f>
        <v>0.62331076303162947</v>
      </c>
      <c r="E44" s="30">
        <f t="shared" ref="E44:I44" si="26">E37</f>
        <v>0.65726702143567206</v>
      </c>
      <c r="F44" s="30">
        <f t="shared" si="26"/>
        <v>0.67269709127731847</v>
      </c>
      <c r="G44" s="30">
        <f t="shared" si="26"/>
        <v>0.69242331635018184</v>
      </c>
      <c r="H44" s="30">
        <f t="shared" si="26"/>
        <v>0.67674474094770665</v>
      </c>
      <c r="I44" s="31">
        <f t="shared" si="26"/>
        <v>0.6651484209564239</v>
      </c>
    </row>
    <row r="46" spans="2:9" ht="18.75" x14ac:dyDescent="0.3">
      <c r="B46" s="21">
        <v>2</v>
      </c>
      <c r="C46" s="21" t="s">
        <v>37</v>
      </c>
    </row>
    <row r="47" spans="2:9" ht="18.75" x14ac:dyDescent="0.3">
      <c r="C47" s="21" t="s">
        <v>29</v>
      </c>
    </row>
    <row r="48" spans="2:9" x14ac:dyDescent="0.25">
      <c r="C48" t="str">
        <f t="shared" ref="C48:I50" si="27">C23</f>
        <v>p1</v>
      </c>
      <c r="D48" s="17">
        <f t="shared" si="27"/>
        <v>1.0100933836999999</v>
      </c>
      <c r="E48" s="17">
        <f t="shared" si="27"/>
        <v>1.0089441404200001</v>
      </c>
      <c r="F48" s="17">
        <f t="shared" si="27"/>
        <v>1.0069045974699999</v>
      </c>
      <c r="G48" s="17">
        <f t="shared" si="27"/>
        <v>1.0056986197700002</v>
      </c>
      <c r="H48" s="17">
        <f t="shared" si="27"/>
        <v>1.0050611875200002</v>
      </c>
      <c r="I48" s="17">
        <f t="shared" si="27"/>
        <v>1.0044727885200002</v>
      </c>
    </row>
    <row r="49" spans="3:9" x14ac:dyDescent="0.25">
      <c r="C49" s="17" t="str">
        <f t="shared" si="27"/>
        <v>p2</v>
      </c>
      <c r="D49" s="17">
        <f t="shared" si="27"/>
        <v>1.3869580387</v>
      </c>
      <c r="E49" s="17">
        <f t="shared" si="27"/>
        <v>2.1415947189200004</v>
      </c>
      <c r="F49" s="17">
        <f t="shared" si="27"/>
        <v>2.95509593322</v>
      </c>
      <c r="G49" s="17">
        <f t="shared" si="27"/>
        <v>3.4563906512700004</v>
      </c>
      <c r="H49" s="17">
        <f t="shared" si="27"/>
        <v>3.8281068150199999</v>
      </c>
      <c r="I49" s="17">
        <f t="shared" si="27"/>
        <v>4.08957781252</v>
      </c>
    </row>
    <row r="50" spans="3:9" x14ac:dyDescent="0.25">
      <c r="C50" s="17" t="str">
        <f t="shared" si="27"/>
        <v>T1</v>
      </c>
      <c r="D50" s="17">
        <f t="shared" si="27"/>
        <v>287.29999999999995</v>
      </c>
      <c r="E50" s="17">
        <f t="shared" si="27"/>
        <v>288.34999999999997</v>
      </c>
      <c r="F50" s="17">
        <f t="shared" si="27"/>
        <v>289.29999999999995</v>
      </c>
      <c r="G50" s="17">
        <f t="shared" si="27"/>
        <v>291.5</v>
      </c>
      <c r="H50" s="17">
        <f t="shared" si="27"/>
        <v>290.59999999999997</v>
      </c>
      <c r="I50" s="17">
        <f t="shared" si="27"/>
        <v>291.7</v>
      </c>
    </row>
    <row r="51" spans="3:9" s="17" customFormat="1" x14ac:dyDescent="0.25">
      <c r="C51" s="11" t="s">
        <v>25</v>
      </c>
      <c r="D51" s="11">
        <f t="shared" ref="D51:I51" si="28">D17+273.15</f>
        <v>307.14999999999998</v>
      </c>
      <c r="E51" s="17">
        <f t="shared" si="28"/>
        <v>361.15</v>
      </c>
      <c r="F51" s="17">
        <f t="shared" si="28"/>
        <v>407.15</v>
      </c>
      <c r="G51" s="17">
        <f t="shared" si="28"/>
        <v>431.15</v>
      </c>
      <c r="H51" s="17">
        <f t="shared" si="28"/>
        <v>449.15</v>
      </c>
      <c r="I51" s="17">
        <f t="shared" si="28"/>
        <v>466.65</v>
      </c>
    </row>
    <row r="52" spans="3:9" x14ac:dyDescent="0.25">
      <c r="C52" s="17" t="str">
        <f t="shared" ref="C52:I53" si="29">C26</f>
        <v>Πc</v>
      </c>
      <c r="D52" s="17">
        <f t="shared" si="29"/>
        <v>1.3730988253972465</v>
      </c>
      <c r="E52" s="17">
        <f t="shared" si="29"/>
        <v>2.1226097988224639</v>
      </c>
      <c r="F52" s="17">
        <f t="shared" si="29"/>
        <v>2.93483209893482</v>
      </c>
      <c r="G52" s="17">
        <f t="shared" si="29"/>
        <v>3.4368056029155785</v>
      </c>
      <c r="H52" s="17">
        <f t="shared" si="29"/>
        <v>3.8088296141112528</v>
      </c>
      <c r="I52" s="17">
        <f t="shared" si="29"/>
        <v>4.0713674469426122</v>
      </c>
    </row>
    <row r="53" spans="3:9" x14ac:dyDescent="0.25">
      <c r="C53" s="17" t="str">
        <f t="shared" si="29"/>
        <v>(Πc^γ)-1</v>
      </c>
      <c r="D53" s="17">
        <f t="shared" si="29"/>
        <v>9.4821632917843068E-2</v>
      </c>
      <c r="E53" s="17">
        <f t="shared" si="29"/>
        <v>0.23991374863529713</v>
      </c>
      <c r="F53" s="17">
        <f t="shared" si="29"/>
        <v>0.36017634360342998</v>
      </c>
      <c r="G53" s="17">
        <f t="shared" si="29"/>
        <v>0.42294178800289028</v>
      </c>
      <c r="H53" s="17">
        <f t="shared" si="29"/>
        <v>0.46534687160761146</v>
      </c>
      <c r="I53" s="17">
        <f t="shared" si="29"/>
        <v>0.49352162164811886</v>
      </c>
    </row>
    <row r="54" spans="3:9" x14ac:dyDescent="0.25">
      <c r="C54" s="17" t="s">
        <v>30</v>
      </c>
      <c r="D54" s="18">
        <f t="shared" ref="D54:I54" si="30">D53/(D51/D50-1)</f>
        <v>1.3724058003675725</v>
      </c>
      <c r="E54" s="18">
        <f t="shared" si="30"/>
        <v>0.95026276674433952</v>
      </c>
      <c r="F54" s="18">
        <f t="shared" si="30"/>
        <v>0.88416645061071053</v>
      </c>
      <c r="G54" s="18">
        <f t="shared" si="30"/>
        <v>0.88283230363653808</v>
      </c>
      <c r="H54" s="18">
        <f t="shared" si="30"/>
        <v>0.85291580504050357</v>
      </c>
      <c r="I54" s="18">
        <f t="shared" si="30"/>
        <v>0.82286514452561454</v>
      </c>
    </row>
    <row r="56" spans="3:9" ht="18.75" x14ac:dyDescent="0.3">
      <c r="C56" s="21" t="s">
        <v>35</v>
      </c>
    </row>
    <row r="57" spans="3:9" x14ac:dyDescent="0.25">
      <c r="C57" t="str">
        <f>C32</f>
        <v>p3</v>
      </c>
      <c r="D57" s="17">
        <f t="shared" ref="D57:I57" si="31">D32</f>
        <v>1.3105837162</v>
      </c>
      <c r="E57" s="17">
        <f t="shared" si="31"/>
        <v>1.98031707142</v>
      </c>
      <c r="F57" s="17">
        <f t="shared" si="31"/>
        <v>2.73965045947</v>
      </c>
      <c r="G57" s="17">
        <f t="shared" si="31"/>
        <v>3.1489838475200003</v>
      </c>
      <c r="H57" s="17">
        <f t="shared" si="31"/>
        <v>3.5289838475200002</v>
      </c>
      <c r="I57" s="17">
        <f t="shared" si="31"/>
        <v>3.82898384752</v>
      </c>
    </row>
    <row r="58" spans="3:9" x14ac:dyDescent="0.25">
      <c r="C58" s="17" t="str">
        <f t="shared" ref="C58:I59" si="32">C33</f>
        <v>p4</v>
      </c>
      <c r="D58" s="17">
        <f t="shared" si="32"/>
        <v>1.0105837162</v>
      </c>
      <c r="E58" s="17">
        <f t="shared" si="32"/>
        <v>1.01423973142</v>
      </c>
      <c r="F58" s="17">
        <f t="shared" si="32"/>
        <v>1.0174957794699999</v>
      </c>
      <c r="G58" s="17">
        <f t="shared" si="32"/>
        <v>1.0236938225200001</v>
      </c>
      <c r="H58" s="17">
        <f t="shared" si="32"/>
        <v>1.0246744875200002</v>
      </c>
      <c r="I58" s="17">
        <f t="shared" si="32"/>
        <v>1.0315391425200002</v>
      </c>
    </row>
    <row r="59" spans="3:9" x14ac:dyDescent="0.25">
      <c r="C59" s="17" t="str">
        <f t="shared" si="32"/>
        <v>T3</v>
      </c>
      <c r="D59" s="17">
        <f>D34</f>
        <v>535.65</v>
      </c>
      <c r="E59" s="17">
        <f t="shared" ref="E59:I59" si="33">E34</f>
        <v>587.15</v>
      </c>
      <c r="F59" s="17">
        <f t="shared" si="33"/>
        <v>608.15</v>
      </c>
      <c r="G59" s="17">
        <f t="shared" si="33"/>
        <v>626.65</v>
      </c>
      <c r="H59" s="17">
        <f t="shared" si="33"/>
        <v>648.15</v>
      </c>
      <c r="I59" s="17">
        <f t="shared" si="33"/>
        <v>668.15</v>
      </c>
    </row>
    <row r="60" spans="3:9" s="17" customFormat="1" x14ac:dyDescent="0.25">
      <c r="C60" s="17" t="s">
        <v>38</v>
      </c>
      <c r="D60" s="17">
        <f>D18+273.15-$M$3</f>
        <v>497.15</v>
      </c>
      <c r="E60" s="17">
        <f t="shared" ref="E60:I60" si="34">E18+273.15-$M$3</f>
        <v>493.65</v>
      </c>
      <c r="F60" s="17">
        <f t="shared" si="34"/>
        <v>470.15</v>
      </c>
      <c r="G60" s="17">
        <f t="shared" si="34"/>
        <v>470.15</v>
      </c>
      <c r="H60" s="17">
        <f t="shared" si="34"/>
        <v>478.15</v>
      </c>
      <c r="I60" s="17">
        <f t="shared" si="34"/>
        <v>487.15</v>
      </c>
    </row>
    <row r="61" spans="3:9" x14ac:dyDescent="0.25">
      <c r="C61" s="17" t="str">
        <f t="shared" ref="C61:I62" si="35">C35</f>
        <v>Πt</v>
      </c>
      <c r="D61" s="17">
        <f t="shared" si="35"/>
        <v>1.2968581377187245</v>
      </c>
      <c r="E61" s="17">
        <f t="shared" si="35"/>
        <v>1.9525137993237855</v>
      </c>
      <c r="F61" s="17">
        <f t="shared" si="35"/>
        <v>2.6925423326051021</v>
      </c>
      <c r="G61" s="17">
        <f t="shared" si="35"/>
        <v>3.0760992967293967</v>
      </c>
      <c r="H61" s="17">
        <f t="shared" si="35"/>
        <v>3.4440047942065304</v>
      </c>
      <c r="I61" s="17">
        <f t="shared" si="35"/>
        <v>3.7119132853901964</v>
      </c>
    </row>
    <row r="62" spans="3:9" x14ac:dyDescent="0.25">
      <c r="C62" s="17" t="str">
        <f t="shared" si="35"/>
        <v>1-(Πt^-γ)</v>
      </c>
      <c r="D62" s="17">
        <f t="shared" si="35"/>
        <v>6.6494891956131008E-2</v>
      </c>
      <c r="E62" s="17">
        <f t="shared" si="35"/>
        <v>0.1623202264174668</v>
      </c>
      <c r="F62" s="17">
        <f t="shared" si="35"/>
        <v>0.23063319338355381</v>
      </c>
      <c r="G62" s="17">
        <f t="shared" si="35"/>
        <v>0.25728287671779759</v>
      </c>
      <c r="H62" s="17">
        <f t="shared" si="35"/>
        <v>0.27916466585935118</v>
      </c>
      <c r="I62" s="17">
        <f t="shared" si="35"/>
        <v>0.29331787559675093</v>
      </c>
    </row>
    <row r="63" spans="3:9" x14ac:dyDescent="0.25">
      <c r="C63" s="17" t="s">
        <v>36</v>
      </c>
      <c r="D63" s="18">
        <f>(1-D60/D59)/D62</f>
        <v>1.0809144821092342</v>
      </c>
      <c r="E63" s="18">
        <f t="shared" ref="E63:I63" si="36">(1-E60/E59)/E62</f>
        <v>0.98104720732916006</v>
      </c>
      <c r="F63" s="18">
        <f>(1-F60/F59)/F62</f>
        <v>0.98389003723176993</v>
      </c>
      <c r="G63" s="18">
        <f t="shared" si="36"/>
        <v>0.97068521534997099</v>
      </c>
      <c r="H63" s="18">
        <f t="shared" si="36"/>
        <v>0.93953496619176302</v>
      </c>
      <c r="I63" s="18">
        <f t="shared" si="36"/>
        <v>0.92356203337276888</v>
      </c>
    </row>
    <row r="65" spans="2:11" ht="18.75" x14ac:dyDescent="0.3">
      <c r="C65" s="21" t="s">
        <v>33</v>
      </c>
    </row>
    <row r="66" spans="2:11" x14ac:dyDescent="0.25">
      <c r="C66" s="17" t="s">
        <v>34</v>
      </c>
      <c r="D66" s="22">
        <f t="shared" ref="D66:I66" si="37">D54*D63*D19^2</f>
        <v>1.3388166077155914</v>
      </c>
      <c r="E66" s="22">
        <f t="shared" si="37"/>
        <v>0.8413580017729323</v>
      </c>
      <c r="F66" s="22">
        <f t="shared" si="37"/>
        <v>0.78510511221443458</v>
      </c>
      <c r="G66" s="22">
        <f t="shared" si="37"/>
        <v>0.77339941895794295</v>
      </c>
      <c r="H66" s="22">
        <f t="shared" si="37"/>
        <v>0.72321316040296768</v>
      </c>
      <c r="I66" s="22">
        <f t="shared" si="37"/>
        <v>0.68587022297786271</v>
      </c>
    </row>
    <row r="68" spans="2:11" ht="15.75" thickBot="1" x14ac:dyDescent="0.3"/>
    <row r="69" spans="2:11" ht="15.75" x14ac:dyDescent="0.25">
      <c r="C69" s="23" t="str">
        <f>C54</f>
        <v>ηISc</v>
      </c>
      <c r="D69" s="23">
        <f t="shared" ref="D69:I69" si="38">D54</f>
        <v>1.3724058003675725</v>
      </c>
      <c r="E69" s="23">
        <f t="shared" si="38"/>
        <v>0.95026276674433952</v>
      </c>
      <c r="F69" s="23">
        <f t="shared" si="38"/>
        <v>0.88416645061071053</v>
      </c>
      <c r="G69" s="23">
        <f t="shared" si="38"/>
        <v>0.88283230363653808</v>
      </c>
      <c r="H69" s="23">
        <f t="shared" si="38"/>
        <v>0.85291580504050357</v>
      </c>
      <c r="I69" s="23">
        <f t="shared" si="38"/>
        <v>0.82286514452561454</v>
      </c>
    </row>
    <row r="70" spans="2:11" ht="15.75" x14ac:dyDescent="0.25">
      <c r="C70" s="26" t="str">
        <f>C63</f>
        <v>ηISt</v>
      </c>
      <c r="D70" s="26">
        <f>D63</f>
        <v>1.0809144821092342</v>
      </c>
      <c r="E70" s="26">
        <f t="shared" ref="E70:I70" si="39">E63</f>
        <v>0.98104720732916006</v>
      </c>
      <c r="F70" s="26">
        <f t="shared" si="39"/>
        <v>0.98389003723176993</v>
      </c>
      <c r="G70" s="26">
        <f t="shared" si="39"/>
        <v>0.97068521534997099</v>
      </c>
      <c r="H70" s="26">
        <f t="shared" si="39"/>
        <v>0.93953496619176302</v>
      </c>
      <c r="I70" s="26">
        <f t="shared" si="39"/>
        <v>0.92356203337276888</v>
      </c>
    </row>
    <row r="71" spans="2:11" ht="16.5" thickBot="1" x14ac:dyDescent="0.3">
      <c r="C71" s="29" t="str">
        <f>C66</f>
        <v>ηIStc</v>
      </c>
      <c r="D71" s="29">
        <f t="shared" ref="D71:I71" si="40">D66</f>
        <v>1.3388166077155914</v>
      </c>
      <c r="E71" s="29">
        <f t="shared" si="40"/>
        <v>0.8413580017729323</v>
      </c>
      <c r="F71" s="29">
        <f t="shared" si="40"/>
        <v>0.78510511221443458</v>
      </c>
      <c r="G71" s="29">
        <f t="shared" si="40"/>
        <v>0.77339941895794295</v>
      </c>
      <c r="H71" s="29">
        <f t="shared" si="40"/>
        <v>0.72321316040296768</v>
      </c>
      <c r="I71" s="29">
        <f t="shared" si="40"/>
        <v>0.68587022297786271</v>
      </c>
    </row>
    <row r="73" spans="2:11" ht="18.75" x14ac:dyDescent="0.3">
      <c r="B73" s="21">
        <v>3</v>
      </c>
      <c r="C73" s="21" t="s">
        <v>41</v>
      </c>
      <c r="E73" s="21" t="s">
        <v>42</v>
      </c>
    </row>
    <row r="74" spans="2:11" x14ac:dyDescent="0.25">
      <c r="C74" s="17" t="s">
        <v>30</v>
      </c>
      <c r="D74" s="18">
        <v>0.9</v>
      </c>
      <c r="E74" s="18">
        <v>0.85499999999999998</v>
      </c>
      <c r="F74" s="18">
        <v>0.86</v>
      </c>
      <c r="G74" s="18">
        <v>0.86499999999999999</v>
      </c>
      <c r="H74" s="18">
        <v>0.86</v>
      </c>
      <c r="I74" s="18">
        <v>0.84499999999999997</v>
      </c>
    </row>
    <row r="76" spans="2:11" x14ac:dyDescent="0.25">
      <c r="C76" t="s">
        <v>43</v>
      </c>
      <c r="D76" s="20">
        <f t="shared" ref="D76:I76" si="41">D42/D74</f>
        <v>0.91471577086106237</v>
      </c>
      <c r="E76" s="20">
        <f t="shared" si="41"/>
        <v>0.90453064833630248</v>
      </c>
      <c r="F76" s="20">
        <f t="shared" si="41"/>
        <v>0.88185801002983577</v>
      </c>
      <c r="G76" s="20">
        <f t="shared" si="41"/>
        <v>0.90138635280270651</v>
      </c>
      <c r="H76" s="20">
        <f t="shared" si="41"/>
        <v>0.88881845180474006</v>
      </c>
      <c r="I76" s="20">
        <f t="shared" si="41"/>
        <v>0.88533029197703261</v>
      </c>
    </row>
    <row r="77" spans="2:11" x14ac:dyDescent="0.25">
      <c r="D77">
        <v>1.75</v>
      </c>
      <c r="E77">
        <v>2.1</v>
      </c>
      <c r="F77">
        <v>2.5</v>
      </c>
      <c r="G77">
        <v>2.7</v>
      </c>
      <c r="H77">
        <v>3</v>
      </c>
      <c r="I77">
        <v>3.25</v>
      </c>
      <c r="J77">
        <v>3.85</v>
      </c>
      <c r="K77">
        <v>4.2</v>
      </c>
    </row>
    <row r="78" spans="2:11" x14ac:dyDescent="0.25">
      <c r="C78" s="17" t="s">
        <v>34</v>
      </c>
      <c r="D78" s="38">
        <v>0.68</v>
      </c>
      <c r="E78" s="38">
        <v>0.7</v>
      </c>
      <c r="F78" s="38">
        <v>0.71199999999999997</v>
      </c>
      <c r="G78" s="38">
        <v>0.71799999999999997</v>
      </c>
      <c r="H78" s="38">
        <v>0.71299999999999997</v>
      </c>
      <c r="I78" s="38">
        <v>0.7</v>
      </c>
      <c r="J78" s="38">
        <v>0.67</v>
      </c>
      <c r="K78" s="38">
        <v>0.65</v>
      </c>
    </row>
  </sheetData>
  <pageMargins left="0.7" right="0.7" top="0.75" bottom="0.75" header="0.3" footer="0.3"/>
  <ignoredErrors>
    <ignoredError sqref="D51:I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D20" sqref="D20"/>
    </sheetView>
  </sheetViews>
  <sheetFormatPr defaultRowHeight="15" x14ac:dyDescent="0.25"/>
  <cols>
    <col min="1" max="2" width="9.140625" style="17"/>
    <col min="3" max="3" width="10.28515625" style="17" bestFit="1" customWidth="1"/>
    <col min="4" max="4" width="12" style="17" customWidth="1"/>
    <col min="5" max="9" width="18.42578125" style="17" bestFit="1" customWidth="1"/>
    <col min="10" max="10" width="18.42578125" style="17" customWidth="1"/>
    <col min="11" max="19" width="9.140625" style="17"/>
    <col min="20" max="20" width="18.5703125" style="17" bestFit="1" customWidth="1"/>
    <col min="21" max="27" width="9.140625" style="17"/>
    <col min="28" max="28" width="10.28515625" style="17" bestFit="1" customWidth="1"/>
    <col min="29" max="29" width="10.28515625" style="17" customWidth="1"/>
    <col min="30" max="16384" width="9.140625" style="17"/>
  </cols>
  <sheetData>
    <row r="1" spans="3:34" x14ac:dyDescent="0.25">
      <c r="K1" s="17" t="s">
        <v>45</v>
      </c>
    </row>
    <row r="2" spans="3:34" x14ac:dyDescent="0.25">
      <c r="C2" s="33" t="s">
        <v>0</v>
      </c>
      <c r="D2" s="33">
        <v>0.72</v>
      </c>
      <c r="F2" s="32" t="s">
        <v>19</v>
      </c>
      <c r="G2" s="32">
        <v>1.4</v>
      </c>
      <c r="H2" s="17" t="s">
        <v>20</v>
      </c>
      <c r="I2" s="13">
        <f>(G2-1)/G2</f>
        <v>0.28571428571428564</v>
      </c>
      <c r="J2" s="13"/>
      <c r="K2" s="17" t="s">
        <v>4</v>
      </c>
      <c r="L2" s="37">
        <v>0</v>
      </c>
      <c r="M2" s="17" t="s">
        <v>6</v>
      </c>
      <c r="N2" s="37">
        <v>0</v>
      </c>
      <c r="O2" s="17" t="s">
        <v>48</v>
      </c>
      <c r="P2" s="36">
        <v>0.91</v>
      </c>
      <c r="Q2" s="17" t="s">
        <v>58</v>
      </c>
      <c r="R2" s="37">
        <v>0</v>
      </c>
    </row>
    <row r="3" spans="3:34" x14ac:dyDescent="0.25">
      <c r="C3" s="33" t="s">
        <v>1</v>
      </c>
      <c r="D3" s="33">
        <v>0.73</v>
      </c>
      <c r="F3" s="32" t="s">
        <v>22</v>
      </c>
      <c r="G3" s="32">
        <v>1.36</v>
      </c>
      <c r="H3" s="17" t="s">
        <v>21</v>
      </c>
      <c r="I3" s="13">
        <f>(G3-1)/G3</f>
        <v>0.26470588235294124</v>
      </c>
      <c r="J3" s="13"/>
      <c r="K3" s="17" t="s">
        <v>5</v>
      </c>
      <c r="L3" s="37">
        <v>0</v>
      </c>
      <c r="M3" s="17" t="s">
        <v>46</v>
      </c>
      <c r="N3" s="37">
        <v>0</v>
      </c>
      <c r="O3" s="17" t="s">
        <v>50</v>
      </c>
      <c r="P3" s="36">
        <v>1</v>
      </c>
      <c r="Q3" s="17" t="s">
        <v>2</v>
      </c>
      <c r="R3" s="37">
        <v>0</v>
      </c>
      <c r="T3" s="17" t="s">
        <v>52</v>
      </c>
    </row>
    <row r="4" spans="3:34" x14ac:dyDescent="0.25">
      <c r="C4" s="17" t="s">
        <v>59</v>
      </c>
      <c r="D4" s="17">
        <v>0</v>
      </c>
      <c r="E4" s="17">
        <v>3.9226599999999997E-3</v>
      </c>
      <c r="F4" s="17">
        <v>7.8453199999999994E-3</v>
      </c>
      <c r="G4" s="17">
        <v>1.4709975E-2</v>
      </c>
      <c r="H4" s="17">
        <v>1.5690639999999999E-2</v>
      </c>
      <c r="I4" s="17">
        <v>2.2555295E-2</v>
      </c>
      <c r="AF4" s="17" t="s">
        <v>5</v>
      </c>
    </row>
    <row r="5" spans="3:34" ht="18.75" x14ac:dyDescent="0.3">
      <c r="C5" s="35" t="s">
        <v>14</v>
      </c>
      <c r="T5" s="17" t="s">
        <v>51</v>
      </c>
      <c r="AB5" s="17" t="s">
        <v>55</v>
      </c>
      <c r="AG5" s="17" t="s">
        <v>56</v>
      </c>
      <c r="AH5" s="17" t="s">
        <v>57</v>
      </c>
    </row>
    <row r="6" spans="3:34" x14ac:dyDescent="0.25">
      <c r="C6" s="34" t="s">
        <v>40</v>
      </c>
      <c r="D6" s="43">
        <v>0.75</v>
      </c>
      <c r="E6" s="43">
        <v>0.75</v>
      </c>
      <c r="F6" s="43">
        <v>0.9</v>
      </c>
      <c r="G6" s="43">
        <v>0.9</v>
      </c>
      <c r="H6" s="43">
        <v>1</v>
      </c>
      <c r="I6" s="43">
        <v>1</v>
      </c>
      <c r="J6" s="43">
        <v>0.9</v>
      </c>
      <c r="T6" s="17" t="s">
        <v>49</v>
      </c>
      <c r="U6" s="18">
        <v>0.82324419377495617</v>
      </c>
      <c r="V6" s="18">
        <v>0.7733737043275386</v>
      </c>
      <c r="W6" s="18">
        <v>0.75839788862565871</v>
      </c>
      <c r="X6" s="18">
        <v>0.77969919517434116</v>
      </c>
      <c r="Y6" s="18">
        <v>0.76438386855207641</v>
      </c>
      <c r="Z6" s="18">
        <v>0.74810409672059253</v>
      </c>
      <c r="AB6" s="17" t="s">
        <v>6</v>
      </c>
      <c r="AC6" s="17" t="s">
        <v>49</v>
      </c>
      <c r="AD6" s="19" t="s">
        <v>36</v>
      </c>
      <c r="AE6" s="19" t="s">
        <v>34</v>
      </c>
      <c r="AF6" s="19"/>
      <c r="AG6" s="19"/>
      <c r="AH6" s="19"/>
    </row>
    <row r="7" spans="3:34" x14ac:dyDescent="0.25">
      <c r="C7" s="34" t="s">
        <v>11</v>
      </c>
      <c r="D7" s="17">
        <v>85.9</v>
      </c>
      <c r="E7" s="17">
        <v>85.9</v>
      </c>
      <c r="F7" s="17">
        <v>90.9</v>
      </c>
      <c r="G7" s="17">
        <v>90.69</v>
      </c>
      <c r="H7" s="17">
        <v>94.09</v>
      </c>
      <c r="I7" s="17">
        <v>94.42</v>
      </c>
      <c r="J7" s="17">
        <v>90.5</v>
      </c>
      <c r="T7" s="17" t="s">
        <v>36</v>
      </c>
      <c r="U7" s="18">
        <v>0.84126619989124407</v>
      </c>
      <c r="V7" s="18">
        <v>0.84986988535791597</v>
      </c>
      <c r="W7" s="18">
        <v>0.88699757919468347</v>
      </c>
      <c r="X7" s="18">
        <v>0.88806468011725426</v>
      </c>
      <c r="Y7" s="18">
        <v>0.88534670705390606</v>
      </c>
      <c r="Z7" s="18">
        <v>0.88911212205919588</v>
      </c>
      <c r="AB7" s="41">
        <v>-0.2</v>
      </c>
      <c r="AD7" s="19"/>
      <c r="AE7" s="19"/>
      <c r="AF7" s="19"/>
      <c r="AG7" s="19"/>
      <c r="AH7" s="19"/>
    </row>
    <row r="8" spans="3:34" x14ac:dyDescent="0.25">
      <c r="C8" s="34" t="s">
        <v>2</v>
      </c>
      <c r="D8" s="44">
        <v>34</v>
      </c>
      <c r="E8" s="44">
        <v>36</v>
      </c>
      <c r="F8" s="44">
        <v>35</v>
      </c>
      <c r="G8" s="44">
        <v>35</v>
      </c>
      <c r="H8" s="44">
        <v>35</v>
      </c>
      <c r="I8" s="44">
        <v>35</v>
      </c>
      <c r="J8" s="44">
        <v>36</v>
      </c>
      <c r="T8" s="17" t="s">
        <v>34</v>
      </c>
      <c r="U8" s="18">
        <v>0.62331076303162947</v>
      </c>
      <c r="V8" s="18">
        <v>0.65726702143567206</v>
      </c>
      <c r="W8" s="18">
        <v>0.67269709127731847</v>
      </c>
      <c r="X8" s="18">
        <v>0.69242331635018184</v>
      </c>
      <c r="Y8" s="18">
        <v>0.67674474094770665</v>
      </c>
      <c r="Z8" s="18">
        <v>0.6651484209564239</v>
      </c>
      <c r="AB8" s="19">
        <v>0.1</v>
      </c>
      <c r="AD8" s="19"/>
      <c r="AE8" s="19"/>
      <c r="AF8" s="19"/>
      <c r="AG8" s="19"/>
      <c r="AH8" s="19"/>
    </row>
    <row r="9" spans="3:34" x14ac:dyDescent="0.25">
      <c r="C9" s="34" t="s">
        <v>3</v>
      </c>
      <c r="D9" s="3">
        <v>1014.98335507</v>
      </c>
      <c r="E9" s="3">
        <v>1014.98335507</v>
      </c>
      <c r="F9" s="3">
        <v>1014.98335507</v>
      </c>
      <c r="G9" s="3">
        <v>1014.98335507</v>
      </c>
      <c r="H9" s="3">
        <v>1014.98335507</v>
      </c>
      <c r="I9" s="3">
        <v>1014.98335507</v>
      </c>
      <c r="J9" s="3">
        <v>1014.98335507</v>
      </c>
      <c r="AB9" s="19">
        <v>0</v>
      </c>
      <c r="AD9" s="19"/>
      <c r="AE9" s="19"/>
      <c r="AF9" s="19"/>
      <c r="AG9" s="19"/>
      <c r="AH9" s="19"/>
    </row>
    <row r="10" spans="3:34" x14ac:dyDescent="0.25">
      <c r="C10" s="34" t="s">
        <v>4</v>
      </c>
      <c r="D10" s="17">
        <v>3.0743798550700001</v>
      </c>
      <c r="E10" s="17">
        <v>2.9272801050699999</v>
      </c>
      <c r="F10" s="17">
        <v>3.5647123550700002</v>
      </c>
      <c r="G10" s="17">
        <v>3.3587727050700003</v>
      </c>
      <c r="H10" s="17">
        <v>3.8589118550700001</v>
      </c>
      <c r="I10" s="17">
        <v>3.8098786050700002</v>
      </c>
      <c r="J10" s="17">
        <v>3.3391594050700002</v>
      </c>
      <c r="T10" s="17" t="str">
        <f>T6</f>
        <v>ηc</v>
      </c>
      <c r="U10" s="22">
        <f t="shared" ref="U10:Z10" si="0">D42</f>
        <v>0.7826063887762521</v>
      </c>
      <c r="V10" s="22">
        <f t="shared" si="0"/>
        <v>0.78257372795179014</v>
      </c>
      <c r="W10" s="22">
        <f t="shared" si="0"/>
        <v>0.7847723907312899</v>
      </c>
      <c r="X10" s="22">
        <f t="shared" si="0"/>
        <v>0.7727692438256587</v>
      </c>
      <c r="Y10" s="22">
        <f t="shared" si="0"/>
        <v>0.76545403751467078</v>
      </c>
      <c r="Z10" s="22">
        <f t="shared" si="0"/>
        <v>0.77347438215216824</v>
      </c>
      <c r="AB10" s="19">
        <v>0.1</v>
      </c>
      <c r="AD10" s="19"/>
      <c r="AE10" s="19"/>
      <c r="AF10" s="19"/>
      <c r="AG10" s="19"/>
      <c r="AH10" s="19"/>
    </row>
    <row r="11" spans="3:34" x14ac:dyDescent="0.25">
      <c r="C11" s="34" t="s">
        <v>5</v>
      </c>
      <c r="D11" s="17">
        <v>375</v>
      </c>
      <c r="E11" s="17">
        <v>372.5</v>
      </c>
      <c r="F11" s="17">
        <v>397</v>
      </c>
      <c r="G11" s="17">
        <v>385</v>
      </c>
      <c r="H11" s="17">
        <v>412.5</v>
      </c>
      <c r="I11" s="17">
        <v>407.5</v>
      </c>
      <c r="J11" s="17">
        <v>387.5</v>
      </c>
      <c r="T11" s="17" t="str">
        <f t="shared" ref="T11:T12" si="1">T7</f>
        <v>ηISt</v>
      </c>
      <c r="U11" s="22">
        <f t="shared" ref="U11:U12" ca="1" si="2">D43</f>
        <v>0.8674402572285892</v>
      </c>
      <c r="V11" s="22">
        <f t="shared" ref="V11:Z12" ca="1" si="3">E43</f>
        <v>0.87010119152324517</v>
      </c>
      <c r="W11" s="22">
        <f t="shared" ca="1" si="3"/>
        <v>0.87936188057295184</v>
      </c>
      <c r="X11" s="22">
        <f t="shared" ca="1" si="3"/>
        <v>0.90210991699260656</v>
      </c>
      <c r="Y11" s="22">
        <f t="shared" ca="1" si="3"/>
        <v>0.89242695172145536</v>
      </c>
      <c r="Z11" s="22">
        <f t="shared" ca="1" si="3"/>
        <v>0.88791041107177993</v>
      </c>
      <c r="AB11" s="19">
        <v>0.2</v>
      </c>
      <c r="AC11" s="19"/>
      <c r="AD11" s="19"/>
      <c r="AE11" s="19"/>
      <c r="AF11" s="19"/>
      <c r="AG11" s="19"/>
      <c r="AH11" s="19"/>
    </row>
    <row r="12" spans="3:34" x14ac:dyDescent="0.25">
      <c r="C12" s="34" t="s">
        <v>6</v>
      </c>
      <c r="D12" s="17">
        <f ca="1">D10-D20</f>
        <v>2.8743798550699999</v>
      </c>
      <c r="E12" s="17">
        <f t="shared" ref="E12:J12" ca="1" si="4">E10-E20</f>
        <v>2.7272801050699997</v>
      </c>
      <c r="F12" s="17">
        <f t="shared" ca="1" si="4"/>
        <v>3.2747123550700001</v>
      </c>
      <c r="G12" s="17">
        <f t="shared" ca="1" si="4"/>
        <v>3.0687727050700002</v>
      </c>
      <c r="H12" s="17">
        <f t="shared" ca="1" si="4"/>
        <v>3.5789118550700003</v>
      </c>
      <c r="I12" s="17">
        <f t="shared" ca="1" si="4"/>
        <v>3.5298786050700004</v>
      </c>
      <c r="J12" s="17">
        <f t="shared" ca="1" si="4"/>
        <v>3.0491594050700002</v>
      </c>
      <c r="T12" s="17" t="str">
        <f t="shared" si="1"/>
        <v>ηIStc</v>
      </c>
      <c r="U12" s="22">
        <f t="shared" ca="1" si="2"/>
        <v>0.67886428718880942</v>
      </c>
      <c r="V12" s="22">
        <f t="shared" ca="1" si="3"/>
        <v>0.68091833314564054</v>
      </c>
      <c r="W12" s="22">
        <f t="shared" ca="1" si="3"/>
        <v>0.69009892533519845</v>
      </c>
      <c r="X12" s="22">
        <f t="shared" ca="1" si="3"/>
        <v>0.69712279840200431</v>
      </c>
      <c r="Y12" s="22">
        <f t="shared" ca="1" si="3"/>
        <v>0.68311181338209814</v>
      </c>
      <c r="Z12" s="22">
        <f t="shared" ca="1" si="3"/>
        <v>0.68677595661022273</v>
      </c>
      <c r="AC12" s="19"/>
      <c r="AD12" s="19"/>
      <c r="AE12" s="19"/>
      <c r="AF12" s="19"/>
      <c r="AG12" s="19"/>
      <c r="AH12" s="19"/>
    </row>
    <row r="13" spans="3:34" x14ac:dyDescent="0.25">
      <c r="C13" s="34" t="s">
        <v>7</v>
      </c>
      <c r="D13" s="17">
        <v>1.4709975E-2</v>
      </c>
      <c r="E13" s="17">
        <v>1.372931E-2</v>
      </c>
      <c r="F13" s="17">
        <v>1.7651969999999999E-2</v>
      </c>
      <c r="G13" s="17">
        <v>1.7651969999999999E-2</v>
      </c>
      <c r="H13" s="17">
        <v>2.1574630000000001E-2</v>
      </c>
      <c r="I13" s="17">
        <v>2.1574630000000001E-2</v>
      </c>
      <c r="J13" s="17">
        <v>1.8142302499999999E-2</v>
      </c>
      <c r="AB13" s="17" t="s">
        <v>4</v>
      </c>
      <c r="AC13" s="19"/>
      <c r="AD13" s="19"/>
      <c r="AE13" s="19"/>
      <c r="AF13" s="19"/>
      <c r="AG13" s="19"/>
      <c r="AH13" s="19"/>
    </row>
    <row r="14" spans="3:34" x14ac:dyDescent="0.25">
      <c r="C14" s="34" t="s">
        <v>9</v>
      </c>
      <c r="D14" s="17">
        <v>1.7651969999999999E-2</v>
      </c>
      <c r="E14" s="17">
        <v>1.6671305000000001E-2</v>
      </c>
      <c r="F14" s="17">
        <v>1.96133E-2</v>
      </c>
      <c r="G14" s="17">
        <v>1.8877801249999999E-2</v>
      </c>
      <c r="H14" s="17">
        <v>2.0103632499999999E-2</v>
      </c>
      <c r="I14" s="17">
        <v>2.0593964999999999E-2</v>
      </c>
      <c r="J14" s="17">
        <v>1.9122967500000001E-2</v>
      </c>
      <c r="T14" s="17" t="s">
        <v>53</v>
      </c>
      <c r="AC14" s="19"/>
      <c r="AD14" s="19"/>
      <c r="AE14" s="19"/>
      <c r="AF14" s="19"/>
      <c r="AG14" s="19"/>
      <c r="AH14" s="19"/>
    </row>
    <row r="15" spans="3:34" x14ac:dyDescent="0.25">
      <c r="C15" s="34" t="s">
        <v>8</v>
      </c>
      <c r="D15" s="17">
        <v>4.3639592499999996E-3</v>
      </c>
      <c r="E15" s="17">
        <v>4.2658927499999999E-3</v>
      </c>
      <c r="F15" s="17">
        <v>5.6388237499999999E-3</v>
      </c>
      <c r="G15" s="17">
        <v>4.903325E-3</v>
      </c>
      <c r="H15" s="17">
        <v>6.3743224999999997E-3</v>
      </c>
      <c r="I15" s="17">
        <v>6.2272227499999997E-3</v>
      </c>
      <c r="J15" s="17">
        <v>5.1484912499999997E-3</v>
      </c>
      <c r="T15" s="17" t="str">
        <f>T6</f>
        <v>ηc</v>
      </c>
      <c r="U15" s="40">
        <f>U10-U6</f>
        <v>-4.0637804998704063E-2</v>
      </c>
      <c r="V15" s="40">
        <f t="shared" ref="V15:Z15" si="5">V10-V6</f>
        <v>9.200023624251541E-3</v>
      </c>
      <c r="W15" s="40">
        <f t="shared" si="5"/>
        <v>2.6374502105631192E-2</v>
      </c>
      <c r="X15" s="40">
        <f t="shared" si="5"/>
        <v>-6.9299513486824615E-3</v>
      </c>
      <c r="Y15" s="40">
        <f t="shared" si="5"/>
        <v>1.0701689625943756E-3</v>
      </c>
      <c r="Z15" s="40">
        <f t="shared" si="5"/>
        <v>2.5370285431575712E-2</v>
      </c>
      <c r="AC15" s="19"/>
      <c r="AD15" s="19"/>
      <c r="AE15" s="19"/>
      <c r="AF15" s="19"/>
      <c r="AG15" s="19"/>
      <c r="AH15" s="19"/>
    </row>
    <row r="16" spans="3:34" x14ac:dyDescent="0.25">
      <c r="C16" s="34" t="s">
        <v>10</v>
      </c>
      <c r="D16" s="17">
        <v>11875</v>
      </c>
      <c r="E16" s="17">
        <v>11606</v>
      </c>
      <c r="F16" s="17">
        <v>12787.5</v>
      </c>
      <c r="G16" s="17">
        <v>12520</v>
      </c>
      <c r="H16" s="17">
        <v>13430</v>
      </c>
      <c r="I16" s="17">
        <v>13284</v>
      </c>
      <c r="J16" s="17">
        <v>12680</v>
      </c>
      <c r="T16" s="17" t="str">
        <f t="shared" ref="T16:T17" si="6">T7</f>
        <v>ηISt</v>
      </c>
      <c r="U16" s="40">
        <f t="shared" ref="U16:Z17" ca="1" si="7">U11-U7</f>
        <v>2.6174057337345125E-2</v>
      </c>
      <c r="V16" s="40">
        <f t="shared" ca="1" si="7"/>
        <v>2.0231306165329199E-2</v>
      </c>
      <c r="W16" s="40">
        <f t="shared" ca="1" si="7"/>
        <v>-7.6356986217316347E-3</v>
      </c>
      <c r="X16" s="40">
        <f t="shared" ca="1" si="7"/>
        <v>1.4045236875352307E-2</v>
      </c>
      <c r="Y16" s="40">
        <f t="shared" ca="1" si="7"/>
        <v>7.0802446675493069E-3</v>
      </c>
      <c r="Z16" s="40">
        <f t="shared" ca="1" si="7"/>
        <v>-1.2017109874159493E-3</v>
      </c>
      <c r="AC16" s="19"/>
      <c r="AD16" s="19"/>
      <c r="AE16" s="19"/>
      <c r="AF16" s="19"/>
      <c r="AG16" s="19"/>
      <c r="AH16" s="19"/>
    </row>
    <row r="17" spans="1:34" x14ac:dyDescent="0.25">
      <c r="C17" s="34" t="s">
        <v>12</v>
      </c>
      <c r="D17" s="17">
        <v>175</v>
      </c>
      <c r="E17" s="17">
        <v>167</v>
      </c>
      <c r="F17" s="17">
        <v>197</v>
      </c>
      <c r="G17" s="17">
        <v>189</v>
      </c>
      <c r="H17" s="17">
        <v>210</v>
      </c>
      <c r="I17" s="17">
        <v>208.5</v>
      </c>
      <c r="J17" s="17">
        <v>190</v>
      </c>
      <c r="T17" s="17" t="str">
        <f t="shared" si="6"/>
        <v>ηIStc</v>
      </c>
      <c r="U17" s="40">
        <f t="shared" ca="1" si="7"/>
        <v>5.5553524157179957E-2</v>
      </c>
      <c r="V17" s="40">
        <f t="shared" ca="1" si="7"/>
        <v>2.3651311709968481E-2</v>
      </c>
      <c r="W17" s="40">
        <f t="shared" ca="1" si="7"/>
        <v>1.7401834057879983E-2</v>
      </c>
      <c r="X17" s="40">
        <f t="shared" ca="1" si="7"/>
        <v>4.6994820518224678E-3</v>
      </c>
      <c r="Y17" s="40">
        <f t="shared" ca="1" si="7"/>
        <v>6.3670724343914964E-3</v>
      </c>
      <c r="Z17" s="40">
        <f t="shared" ca="1" si="7"/>
        <v>2.1627535653798824E-2</v>
      </c>
      <c r="AC17" s="19"/>
      <c r="AD17" s="19"/>
      <c r="AE17" s="19"/>
      <c r="AF17" s="19"/>
      <c r="AG17" s="19"/>
      <c r="AH17" s="19"/>
    </row>
    <row r="18" spans="1:34" x14ac:dyDescent="0.25">
      <c r="C18" s="34" t="s">
        <v>13</v>
      </c>
      <c r="D18" s="17">
        <v>222.5</v>
      </c>
      <c r="E18" s="17">
        <v>225</v>
      </c>
      <c r="F18" s="17">
        <v>222.5</v>
      </c>
      <c r="G18" s="17">
        <v>222.5</v>
      </c>
      <c r="H18" s="17">
        <v>227.5</v>
      </c>
      <c r="I18" s="17">
        <v>227.5</v>
      </c>
      <c r="J18" s="17">
        <v>222.5</v>
      </c>
    </row>
    <row r="19" spans="1:34" ht="18" x14ac:dyDescent="0.35">
      <c r="C19" s="34" t="s">
        <v>44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</row>
    <row r="20" spans="1:34" x14ac:dyDescent="0.25">
      <c r="C20" s="34" t="s">
        <v>54</v>
      </c>
      <c r="D20" s="17">
        <f t="shared" ref="D20:J20" ca="1" si="8">FORECAST(D6,OFFSET(pscexh,MATCH(D6,load,1)-1,0,2),OFFSET(load,MATCH(D6,load,1)-1,0,2))</f>
        <v>0.20000000000000023</v>
      </c>
      <c r="E20" s="17">
        <f t="shared" ca="1" si="8"/>
        <v>0.20000000000000023</v>
      </c>
      <c r="F20" s="17">
        <f t="shared" ca="1" si="8"/>
        <v>0.29000000000000004</v>
      </c>
      <c r="G20" s="17">
        <f t="shared" ca="1" si="8"/>
        <v>0.29000000000000004</v>
      </c>
      <c r="H20" s="17">
        <f t="shared" ca="1" si="8"/>
        <v>0.2799999999999998</v>
      </c>
      <c r="I20" s="17">
        <f t="shared" ca="1" si="8"/>
        <v>0.2799999999999998</v>
      </c>
      <c r="J20" s="17">
        <f t="shared" ca="1" si="8"/>
        <v>0.29000000000000004</v>
      </c>
    </row>
    <row r="21" spans="1:34" ht="18.75" x14ac:dyDescent="0.3">
      <c r="B21" s="21">
        <v>1</v>
      </c>
      <c r="C21" s="21" t="s">
        <v>15</v>
      </c>
      <c r="U21" s="17">
        <v>5000</v>
      </c>
      <c r="V21" s="17">
        <f>U21+R2</f>
        <v>5000</v>
      </c>
    </row>
    <row r="22" spans="1:34" ht="18.75" x14ac:dyDescent="0.3">
      <c r="B22" s="21"/>
      <c r="C22" s="21" t="s">
        <v>29</v>
      </c>
      <c r="U22" s="17">
        <v>2.5</v>
      </c>
      <c r="V22" s="17">
        <f>U22+L2</f>
        <v>2.5</v>
      </c>
    </row>
    <row r="23" spans="1:34" x14ac:dyDescent="0.25">
      <c r="C23" s="17" t="s">
        <v>17</v>
      </c>
      <c r="D23" s="19">
        <f>D9/1000-D15</f>
        <v>1.01061939582</v>
      </c>
      <c r="E23" s="19">
        <f t="shared" ref="E23:H23" si="9">E9/1000-E15</f>
        <v>1.0107174623200001</v>
      </c>
      <c r="F23" s="19">
        <f t="shared" si="9"/>
        <v>1.00934453132</v>
      </c>
      <c r="G23" s="19">
        <f t="shared" si="9"/>
        <v>1.0100800300700001</v>
      </c>
      <c r="H23" s="19">
        <f t="shared" si="9"/>
        <v>1.0086090325700001</v>
      </c>
      <c r="I23" s="19">
        <f>I9/1000-I15</f>
        <v>1.0087561323200001</v>
      </c>
      <c r="J23" s="19">
        <f>J9/1000-J15</f>
        <v>1.0098348638200001</v>
      </c>
      <c r="U23" s="17">
        <f>U21/U22</f>
        <v>2000</v>
      </c>
      <c r="V23" s="17">
        <f>V21/V22</f>
        <v>2000</v>
      </c>
      <c r="W23" s="42">
        <f>(V23-U23)/U23</f>
        <v>0</v>
      </c>
    </row>
    <row r="24" spans="1:34" x14ac:dyDescent="0.25">
      <c r="C24" s="17" t="s">
        <v>18</v>
      </c>
      <c r="D24" s="17">
        <f>D10+D14+$L$2</f>
        <v>3.0920318250700003</v>
      </c>
      <c r="E24" s="17">
        <f t="shared" ref="E24:I24" si="10">E10+E14+$L$2</f>
        <v>2.9439514100699999</v>
      </c>
      <c r="F24" s="17">
        <f t="shared" si="10"/>
        <v>3.5843256550700002</v>
      </c>
      <c r="G24" s="17">
        <f t="shared" si="10"/>
        <v>3.3776505063200002</v>
      </c>
      <c r="H24" s="17">
        <f t="shared" si="10"/>
        <v>3.8790154875700003</v>
      </c>
      <c r="I24" s="17">
        <f t="shared" si="10"/>
        <v>3.8304725700700004</v>
      </c>
      <c r="J24" s="17">
        <f t="shared" ref="J24" si="11">J10+J14+$L$2</f>
        <v>3.3582823725700002</v>
      </c>
    </row>
    <row r="25" spans="1:34" x14ac:dyDescent="0.25">
      <c r="C25" s="17" t="s">
        <v>24</v>
      </c>
      <c r="D25" s="19">
        <f>D8+273.15+$R$3</f>
        <v>307.14999999999998</v>
      </c>
      <c r="E25" s="19">
        <f t="shared" ref="E25:I25" si="12">E8+273.15+$R$3</f>
        <v>309.14999999999998</v>
      </c>
      <c r="F25" s="19">
        <f t="shared" si="12"/>
        <v>308.14999999999998</v>
      </c>
      <c r="G25" s="19">
        <f t="shared" si="12"/>
        <v>308.14999999999998</v>
      </c>
      <c r="H25" s="19">
        <f t="shared" si="12"/>
        <v>308.14999999999998</v>
      </c>
      <c r="I25" s="19">
        <f t="shared" si="12"/>
        <v>308.14999999999998</v>
      </c>
      <c r="J25" s="19">
        <f t="shared" ref="J25" si="13">J8+273.15+$R$3</f>
        <v>309.14999999999998</v>
      </c>
    </row>
    <row r="26" spans="1:34" x14ac:dyDescent="0.25">
      <c r="C26" s="17" t="s">
        <v>16</v>
      </c>
      <c r="D26" s="17">
        <f t="shared" ref="D26:I26" si="14">D24/D23</f>
        <v>3.0595413445050461</v>
      </c>
      <c r="E26" s="17">
        <f t="shared" si="14"/>
        <v>2.9127342900680233</v>
      </c>
      <c r="F26" s="17">
        <f t="shared" si="14"/>
        <v>3.5511418983788348</v>
      </c>
      <c r="G26" s="17">
        <f t="shared" si="14"/>
        <v>3.343943455733823</v>
      </c>
      <c r="H26" s="17">
        <f t="shared" si="14"/>
        <v>3.8459059579171342</v>
      </c>
      <c r="I26" s="17">
        <f t="shared" si="14"/>
        <v>3.7972235779726478</v>
      </c>
      <c r="J26" s="17">
        <f t="shared" ref="J26" si="15">J24/J23</f>
        <v>3.3255757875760996</v>
      </c>
    </row>
    <row r="27" spans="1:34" x14ac:dyDescent="0.25">
      <c r="C27" s="17" t="s">
        <v>27</v>
      </c>
      <c r="D27" s="20">
        <f t="shared" ref="D27:I27" si="16">D26^$I$2-1</f>
        <v>0.37644527841343689</v>
      </c>
      <c r="E27" s="20">
        <f t="shared" si="16"/>
        <v>0.35724231421992259</v>
      </c>
      <c r="F27" s="20">
        <f t="shared" si="16"/>
        <v>0.43630941587434302</v>
      </c>
      <c r="G27" s="20">
        <f t="shared" si="16"/>
        <v>0.41184904475961415</v>
      </c>
      <c r="H27" s="20">
        <f t="shared" si="16"/>
        <v>0.46940825185192803</v>
      </c>
      <c r="I27" s="20">
        <f t="shared" si="16"/>
        <v>0.4640697332038759</v>
      </c>
      <c r="J27" s="20">
        <f t="shared" ref="J27" si="17">J26^$I$2-1</f>
        <v>0.4096289621857534</v>
      </c>
    </row>
    <row r="28" spans="1:34" x14ac:dyDescent="0.25">
      <c r="C28" s="17" t="s">
        <v>28</v>
      </c>
      <c r="D28" s="17">
        <f>(PI()*$D$3*(D16+$R$2))^2</f>
        <v>741673398.01090908</v>
      </c>
      <c r="E28" s="17">
        <f t="shared" ref="E28:I28" si="18">(PI()*$D$3*(E16+$R$2))^2</f>
        <v>708452273.09805822</v>
      </c>
      <c r="F28" s="17">
        <f t="shared" si="18"/>
        <v>860036254.34566045</v>
      </c>
      <c r="G28" s="17">
        <f t="shared" si="18"/>
        <v>824430638.85700047</v>
      </c>
      <c r="H28" s="17">
        <f t="shared" si="18"/>
        <v>948631389.35772395</v>
      </c>
      <c r="I28" s="17">
        <f t="shared" si="18"/>
        <v>928118008.51392281</v>
      </c>
      <c r="J28" s="17">
        <f t="shared" ref="J28" si="19">(PI()*$D$3*(J16+$R$2))^2</f>
        <v>845636991.98829341</v>
      </c>
    </row>
    <row r="29" spans="1:34" x14ac:dyDescent="0.25">
      <c r="C29" s="17" t="s">
        <v>49</v>
      </c>
      <c r="D29" s="18">
        <f t="shared" ref="D29:I29" si="20">(3614400*D25*D27)/($D$2*D28)</f>
        <v>0.7826063887762521</v>
      </c>
      <c r="E29" s="18">
        <f t="shared" si="20"/>
        <v>0.78257372795179014</v>
      </c>
      <c r="F29" s="18">
        <f t="shared" si="20"/>
        <v>0.7847723907312899</v>
      </c>
      <c r="G29" s="18">
        <f t="shared" si="20"/>
        <v>0.7727692438256587</v>
      </c>
      <c r="H29" s="18">
        <f t="shared" si="20"/>
        <v>0.76545403751467078</v>
      </c>
      <c r="I29" s="18">
        <f t="shared" si="20"/>
        <v>0.77347438215216824</v>
      </c>
      <c r="J29" s="18">
        <f t="shared" ref="J29" si="21">(3614400*J25*J27)/($D$2*J28)</f>
        <v>0.75176075573172585</v>
      </c>
    </row>
    <row r="30" spans="1:34" x14ac:dyDescent="0.25">
      <c r="C30" s="17" t="s">
        <v>30</v>
      </c>
      <c r="D30" s="18">
        <f>D29/$P$2</f>
        <v>0.86000702063324408</v>
      </c>
      <c r="E30" s="18">
        <f t="shared" ref="E30:I30" si="22">E29/$P$2</f>
        <v>0.85997112961735178</v>
      </c>
      <c r="F30" s="18">
        <f t="shared" si="22"/>
        <v>0.86238724256185706</v>
      </c>
      <c r="G30" s="18">
        <f t="shared" si="22"/>
        <v>0.84919697123698756</v>
      </c>
      <c r="H30" s="18">
        <f t="shared" si="22"/>
        <v>0.84115828298315465</v>
      </c>
      <c r="I30" s="18">
        <f t="shared" si="22"/>
        <v>0.8499718485188662</v>
      </c>
      <c r="J30" s="18">
        <f t="shared" ref="J30" si="23">J29/$P$2</f>
        <v>0.82611072058431412</v>
      </c>
    </row>
    <row r="31" spans="1:34" ht="18.75" x14ac:dyDescent="0.3">
      <c r="C31" s="21" t="s">
        <v>33</v>
      </c>
    </row>
    <row r="32" spans="1:34" x14ac:dyDescent="0.25">
      <c r="A32" s="17" t="s">
        <v>30</v>
      </c>
      <c r="C32" s="17" t="s">
        <v>23</v>
      </c>
      <c r="D32" s="17">
        <f t="shared" ref="D32:J32" ca="1" si="24">D12+$N$2</f>
        <v>2.8743798550699999</v>
      </c>
      <c r="E32" s="17">
        <f t="shared" ca="1" si="24"/>
        <v>2.7272801050699997</v>
      </c>
      <c r="F32" s="17">
        <f t="shared" ca="1" si="24"/>
        <v>3.2747123550700001</v>
      </c>
      <c r="G32" s="17">
        <f t="shared" ca="1" si="24"/>
        <v>3.0687727050700002</v>
      </c>
      <c r="H32" s="17">
        <f t="shared" ca="1" si="24"/>
        <v>3.5789118550700003</v>
      </c>
      <c r="I32" s="17">
        <f t="shared" ca="1" si="24"/>
        <v>3.5298786050700004</v>
      </c>
      <c r="J32" s="17">
        <f t="shared" ca="1" si="24"/>
        <v>3.0491594050700002</v>
      </c>
    </row>
    <row r="33" spans="2:10" x14ac:dyDescent="0.25">
      <c r="C33" s="17" t="s">
        <v>31</v>
      </c>
      <c r="D33" s="17">
        <f>D9/1000+D13</f>
        <v>1.02969333007</v>
      </c>
      <c r="E33" s="17">
        <f t="shared" ref="E33:I33" si="25">E9/1000+E13</f>
        <v>1.02871266507</v>
      </c>
      <c r="F33" s="17">
        <f t="shared" si="25"/>
        <v>1.03263532507</v>
      </c>
      <c r="G33" s="17">
        <f t="shared" si="25"/>
        <v>1.03263532507</v>
      </c>
      <c r="H33" s="17">
        <f t="shared" si="25"/>
        <v>1.03655798507</v>
      </c>
      <c r="I33" s="17">
        <f t="shared" si="25"/>
        <v>1.03655798507</v>
      </c>
      <c r="J33" s="17">
        <f t="shared" ref="J33" si="26">J9/1000+J13</f>
        <v>1.0331256575700001</v>
      </c>
    </row>
    <row r="34" spans="2:10" x14ac:dyDescent="0.25">
      <c r="C34" s="17" t="s">
        <v>32</v>
      </c>
      <c r="D34" s="17">
        <f>D11+273.15+$L$3</f>
        <v>648.15</v>
      </c>
      <c r="E34" s="17">
        <f t="shared" ref="E34:I34" si="27">E11+273.15+$L$3</f>
        <v>645.65</v>
      </c>
      <c r="F34" s="17">
        <f t="shared" si="27"/>
        <v>670.15</v>
      </c>
      <c r="G34" s="17">
        <f t="shared" si="27"/>
        <v>658.15</v>
      </c>
      <c r="H34" s="17">
        <f t="shared" si="27"/>
        <v>685.65</v>
      </c>
      <c r="I34" s="17">
        <f t="shared" si="27"/>
        <v>680.65</v>
      </c>
      <c r="J34" s="17">
        <f t="shared" ref="J34" si="28">J11+273.15+$L$3</f>
        <v>660.65</v>
      </c>
    </row>
    <row r="35" spans="2:10" x14ac:dyDescent="0.25">
      <c r="C35" s="17" t="s">
        <v>26</v>
      </c>
      <c r="D35" s="17">
        <f t="shared" ref="D35:I35" ca="1" si="29">D32/D33</f>
        <v>2.7914911858995879</v>
      </c>
      <c r="E35" s="17">
        <f t="shared" ca="1" si="29"/>
        <v>2.6511582851800686</v>
      </c>
      <c r="F35" s="17">
        <f t="shared" ca="1" si="29"/>
        <v>3.1712186050269149</v>
      </c>
      <c r="G35" s="17">
        <f t="shared" ca="1" si="29"/>
        <v>2.9717874554233124</v>
      </c>
      <c r="H35" s="17">
        <f t="shared" ca="1" si="29"/>
        <v>3.4526885197149024</v>
      </c>
      <c r="I35" s="17">
        <f t="shared" ca="1" si="29"/>
        <v>3.4053846055043642</v>
      </c>
      <c r="J35" s="17">
        <f t="shared" ref="J35" ca="1" si="30">J32/J33</f>
        <v>2.9513925849464275</v>
      </c>
    </row>
    <row r="36" spans="2:10" x14ac:dyDescent="0.25">
      <c r="C36" s="17" t="s">
        <v>39</v>
      </c>
      <c r="D36" s="20">
        <f t="shared" ref="D36:I36" ca="1" si="31">1-(D35)^-$I$3</f>
        <v>0.23794815450219886</v>
      </c>
      <c r="E36" s="20">
        <f t="shared" ca="1" si="31"/>
        <v>0.22747224657787335</v>
      </c>
      <c r="F36" s="20">
        <f t="shared" ca="1" si="31"/>
        <v>0.26324603535760915</v>
      </c>
      <c r="G36" s="20">
        <f t="shared" ca="1" si="31"/>
        <v>0.25046930930184064</v>
      </c>
      <c r="H36" s="20">
        <f t="shared" ca="1" si="31"/>
        <v>0.27964500758866906</v>
      </c>
      <c r="I36" s="20">
        <f t="shared" ca="1" si="31"/>
        <v>0.27700967634260065</v>
      </c>
      <c r="J36" s="20">
        <f t="shared" ref="J36" ca="1" si="32">1-(J35)^-$I$3</f>
        <v>0.24910174851578559</v>
      </c>
    </row>
    <row r="37" spans="2:10" x14ac:dyDescent="0.25">
      <c r="C37" s="17" t="s">
        <v>34</v>
      </c>
      <c r="D37" s="18">
        <f t="shared" ref="D37:I37" ca="1" si="33" xml:space="preserve"> (0.9055*D25*D27)/(D34*D36)</f>
        <v>0.67886428718880942</v>
      </c>
      <c r="E37" s="18">
        <f t="shared" ca="1" si="33"/>
        <v>0.68091833314564054</v>
      </c>
      <c r="F37" s="18">
        <f t="shared" ca="1" si="33"/>
        <v>0.69009892533519845</v>
      </c>
      <c r="G37" s="18">
        <f t="shared" ca="1" si="33"/>
        <v>0.69712279840200431</v>
      </c>
      <c r="H37" s="18">
        <f t="shared" ca="1" si="33"/>
        <v>0.68311181338209814</v>
      </c>
      <c r="I37" s="18">
        <f t="shared" ca="1" si="33"/>
        <v>0.68677595661022273</v>
      </c>
      <c r="J37" s="18">
        <f t="shared" ref="J37" ca="1" si="34" xml:space="preserve"> (0.9055*J25*J27)/(J34*J36)</f>
        <v>0.69678716996771151</v>
      </c>
    </row>
    <row r="39" spans="2:10" ht="18.75" x14ac:dyDescent="0.3">
      <c r="C39" s="21" t="s">
        <v>35</v>
      </c>
    </row>
    <row r="40" spans="2:10" x14ac:dyDescent="0.25">
      <c r="C40" s="17" t="s">
        <v>36</v>
      </c>
      <c r="D40" s="22">
        <f ca="1">D37/D29</f>
        <v>0.8674402572285892</v>
      </c>
      <c r="E40" s="22">
        <f t="shared" ref="E40:I40" ca="1" si="35">E37/E29</f>
        <v>0.87010119152324517</v>
      </c>
      <c r="F40" s="22">
        <f t="shared" ca="1" si="35"/>
        <v>0.87936188057295184</v>
      </c>
      <c r="G40" s="22">
        <f t="shared" ca="1" si="35"/>
        <v>0.90210991699260656</v>
      </c>
      <c r="H40" s="22">
        <f t="shared" ca="1" si="35"/>
        <v>0.89242695172145536</v>
      </c>
      <c r="I40" s="22">
        <f t="shared" ca="1" si="35"/>
        <v>0.88791041107177993</v>
      </c>
      <c r="J40" s="22">
        <f t="shared" ref="J40" ca="1" si="36">J37/J29</f>
        <v>0.92687356270612209</v>
      </c>
    </row>
    <row r="41" spans="2:10" ht="15.75" thickBot="1" x14ac:dyDescent="0.3">
      <c r="C41" s="17" t="s">
        <v>47</v>
      </c>
      <c r="D41" s="22">
        <f ca="1">D37/D30</f>
        <v>0.78937063407801622</v>
      </c>
      <c r="E41" s="17">
        <f t="shared" ref="E41:I41" ca="1" si="37">E37/E30</f>
        <v>0.79179208428615311</v>
      </c>
      <c r="F41" s="17">
        <f t="shared" ca="1" si="37"/>
        <v>0.80021931132138613</v>
      </c>
      <c r="G41" s="17">
        <f t="shared" ca="1" si="37"/>
        <v>0.82092002446327195</v>
      </c>
      <c r="H41" s="17">
        <f t="shared" ca="1" si="37"/>
        <v>0.81210852606652439</v>
      </c>
      <c r="I41" s="17">
        <f t="shared" ca="1" si="37"/>
        <v>0.80799847407531977</v>
      </c>
      <c r="J41" s="17">
        <f t="shared" ref="J41" ca="1" si="38">J37/J30</f>
        <v>0.8434549420625711</v>
      </c>
    </row>
    <row r="42" spans="2:10" ht="15.75" x14ac:dyDescent="0.25">
      <c r="C42" s="23" t="str">
        <f t="shared" ref="C42:I42" si="39">C29</f>
        <v>ηc</v>
      </c>
      <c r="D42" s="24">
        <f t="shared" si="39"/>
        <v>0.7826063887762521</v>
      </c>
      <c r="E42" s="24">
        <f t="shared" si="39"/>
        <v>0.78257372795179014</v>
      </c>
      <c r="F42" s="24">
        <f t="shared" si="39"/>
        <v>0.7847723907312899</v>
      </c>
      <c r="G42" s="24">
        <f t="shared" si="39"/>
        <v>0.7727692438256587</v>
      </c>
      <c r="H42" s="24">
        <f t="shared" si="39"/>
        <v>0.76545403751467078</v>
      </c>
      <c r="I42" s="24">
        <f t="shared" si="39"/>
        <v>0.77347438215216824</v>
      </c>
      <c r="J42" s="45">
        <f t="shared" ref="J42" si="40">J29</f>
        <v>0.75176075573172585</v>
      </c>
    </row>
    <row r="43" spans="2:10" ht="15.75" x14ac:dyDescent="0.25">
      <c r="C43" s="26" t="str">
        <f>C40</f>
        <v>ηISt</v>
      </c>
      <c r="D43" s="27">
        <f t="shared" ref="D43:I43" ca="1" si="41">D40</f>
        <v>0.8674402572285892</v>
      </c>
      <c r="E43" s="27">
        <f t="shared" ca="1" si="41"/>
        <v>0.87010119152324517</v>
      </c>
      <c r="F43" s="27">
        <f t="shared" ca="1" si="41"/>
        <v>0.87936188057295184</v>
      </c>
      <c r="G43" s="27">
        <f t="shared" ca="1" si="41"/>
        <v>0.90210991699260656</v>
      </c>
      <c r="H43" s="27">
        <f t="shared" ca="1" si="41"/>
        <v>0.89242695172145536</v>
      </c>
      <c r="I43" s="27">
        <f t="shared" ca="1" si="41"/>
        <v>0.88791041107177993</v>
      </c>
      <c r="J43" s="46">
        <f t="shared" ref="J43" ca="1" si="42">J40</f>
        <v>0.92687356270612209</v>
      </c>
    </row>
    <row r="44" spans="2:10" ht="16.5" thickBot="1" x14ac:dyDescent="0.3">
      <c r="C44" s="29" t="str">
        <f>C37</f>
        <v>ηIStc</v>
      </c>
      <c r="D44" s="30">
        <f t="shared" ref="D44:I44" ca="1" si="43">D37</f>
        <v>0.67886428718880942</v>
      </c>
      <c r="E44" s="30">
        <f t="shared" ca="1" si="43"/>
        <v>0.68091833314564054</v>
      </c>
      <c r="F44" s="30">
        <f t="shared" ca="1" si="43"/>
        <v>0.69009892533519845</v>
      </c>
      <c r="G44" s="30">
        <f t="shared" ca="1" si="43"/>
        <v>0.69712279840200431</v>
      </c>
      <c r="H44" s="30">
        <f t="shared" ca="1" si="43"/>
        <v>0.68311181338209814</v>
      </c>
      <c r="I44" s="30">
        <f t="shared" ca="1" si="43"/>
        <v>0.68677595661022273</v>
      </c>
      <c r="J44" s="47">
        <f t="shared" ref="J44" ca="1" si="44">J37</f>
        <v>0.69678716996771151</v>
      </c>
    </row>
    <row r="46" spans="2:10" ht="18.75" x14ac:dyDescent="0.3">
      <c r="B46" s="21">
        <v>2</v>
      </c>
      <c r="C46" s="21" t="s">
        <v>37</v>
      </c>
    </row>
    <row r="47" spans="2:10" ht="18.75" x14ac:dyDescent="0.3">
      <c r="C47" s="21" t="s">
        <v>29</v>
      </c>
    </row>
    <row r="48" spans="2:10" x14ac:dyDescent="0.25">
      <c r="C48" s="17" t="str">
        <f t="shared" ref="C48:I50" si="45">C23</f>
        <v>p1</v>
      </c>
      <c r="D48" s="17">
        <f t="shared" si="45"/>
        <v>1.01061939582</v>
      </c>
      <c r="E48" s="17">
        <f t="shared" si="45"/>
        <v>1.0107174623200001</v>
      </c>
      <c r="F48" s="17">
        <f t="shared" si="45"/>
        <v>1.00934453132</v>
      </c>
      <c r="G48" s="17">
        <f t="shared" si="45"/>
        <v>1.0100800300700001</v>
      </c>
      <c r="H48" s="17">
        <f t="shared" si="45"/>
        <v>1.0086090325700001</v>
      </c>
      <c r="I48" s="17">
        <f t="shared" si="45"/>
        <v>1.0087561323200001</v>
      </c>
      <c r="J48" s="17">
        <f t="shared" ref="J48" si="46">J23</f>
        <v>1.0098348638200001</v>
      </c>
    </row>
    <row r="49" spans="3:10" x14ac:dyDescent="0.25">
      <c r="C49" s="17" t="str">
        <f t="shared" si="45"/>
        <v>p2</v>
      </c>
      <c r="D49" s="17">
        <f t="shared" si="45"/>
        <v>3.0920318250700003</v>
      </c>
      <c r="E49" s="17">
        <f t="shared" si="45"/>
        <v>2.9439514100699999</v>
      </c>
      <c r="F49" s="17">
        <f t="shared" si="45"/>
        <v>3.5843256550700002</v>
      </c>
      <c r="G49" s="17">
        <f t="shared" si="45"/>
        <v>3.3776505063200002</v>
      </c>
      <c r="H49" s="17">
        <f t="shared" si="45"/>
        <v>3.8790154875700003</v>
      </c>
      <c r="I49" s="17">
        <f t="shared" si="45"/>
        <v>3.8304725700700004</v>
      </c>
      <c r="J49" s="17">
        <f t="shared" ref="J49" si="47">J24</f>
        <v>3.3582823725700002</v>
      </c>
    </row>
    <row r="50" spans="3:10" x14ac:dyDescent="0.25">
      <c r="C50" s="17" t="str">
        <f t="shared" si="45"/>
        <v>T1</v>
      </c>
      <c r="D50" s="17">
        <f t="shared" si="45"/>
        <v>307.14999999999998</v>
      </c>
      <c r="E50" s="17">
        <f t="shared" si="45"/>
        <v>309.14999999999998</v>
      </c>
      <c r="F50" s="17">
        <f t="shared" si="45"/>
        <v>308.14999999999998</v>
      </c>
      <c r="G50" s="17">
        <f t="shared" si="45"/>
        <v>308.14999999999998</v>
      </c>
      <c r="H50" s="17">
        <f t="shared" si="45"/>
        <v>308.14999999999998</v>
      </c>
      <c r="I50" s="17">
        <f t="shared" si="45"/>
        <v>308.14999999999998</v>
      </c>
      <c r="J50" s="17">
        <f t="shared" ref="J50" si="48">J25</f>
        <v>309.14999999999998</v>
      </c>
    </row>
    <row r="51" spans="3:10" x14ac:dyDescent="0.25">
      <c r="C51" s="17" t="s">
        <v>25</v>
      </c>
      <c r="D51" s="17">
        <f t="shared" ref="D51:J51" si="49">D18+273.15</f>
        <v>495.65</v>
      </c>
      <c r="E51" s="17">
        <f t="shared" si="49"/>
        <v>498.15</v>
      </c>
      <c r="F51" s="17">
        <f t="shared" si="49"/>
        <v>495.65</v>
      </c>
      <c r="G51" s="17">
        <f t="shared" si="49"/>
        <v>495.65</v>
      </c>
      <c r="H51" s="17">
        <f t="shared" si="49"/>
        <v>500.65</v>
      </c>
      <c r="I51" s="17">
        <f t="shared" si="49"/>
        <v>500.65</v>
      </c>
      <c r="J51" s="17">
        <f t="shared" si="49"/>
        <v>495.65</v>
      </c>
    </row>
    <row r="52" spans="3:10" x14ac:dyDescent="0.25">
      <c r="C52" s="17" t="str">
        <f t="shared" ref="C52:I53" si="50">C26</f>
        <v>Πc</v>
      </c>
      <c r="D52" s="17">
        <f t="shared" si="50"/>
        <v>3.0595413445050461</v>
      </c>
      <c r="E52" s="17">
        <f t="shared" si="50"/>
        <v>2.9127342900680233</v>
      </c>
      <c r="F52" s="17">
        <f t="shared" si="50"/>
        <v>3.5511418983788348</v>
      </c>
      <c r="G52" s="17">
        <f t="shared" si="50"/>
        <v>3.343943455733823</v>
      </c>
      <c r="H52" s="17">
        <f t="shared" si="50"/>
        <v>3.8459059579171342</v>
      </c>
      <c r="I52" s="17">
        <f t="shared" si="50"/>
        <v>3.7972235779726478</v>
      </c>
      <c r="J52" s="17">
        <f t="shared" ref="J52" si="51">J26</f>
        <v>3.3255757875760996</v>
      </c>
    </row>
    <row r="53" spans="3:10" x14ac:dyDescent="0.25">
      <c r="C53" s="17" t="str">
        <f t="shared" si="50"/>
        <v>(Πc^γ)-1</v>
      </c>
      <c r="D53" s="17">
        <f t="shared" si="50"/>
        <v>0.37644527841343689</v>
      </c>
      <c r="E53" s="17">
        <f t="shared" si="50"/>
        <v>0.35724231421992259</v>
      </c>
      <c r="F53" s="17">
        <f t="shared" si="50"/>
        <v>0.43630941587434302</v>
      </c>
      <c r="G53" s="17">
        <f t="shared" si="50"/>
        <v>0.41184904475961415</v>
      </c>
      <c r="H53" s="17">
        <f t="shared" si="50"/>
        <v>0.46940825185192803</v>
      </c>
      <c r="I53" s="17">
        <f t="shared" si="50"/>
        <v>0.4640697332038759</v>
      </c>
      <c r="J53" s="17">
        <f t="shared" ref="J53" si="52">J27</f>
        <v>0.4096289621857534</v>
      </c>
    </row>
    <row r="54" spans="3:10" x14ac:dyDescent="0.25">
      <c r="C54" s="17" t="s">
        <v>30</v>
      </c>
      <c r="D54" s="18">
        <f t="shared" ref="D54:I54" si="53">D53/(D51/D50-1)</f>
        <v>0.61339611281001127</v>
      </c>
      <c r="E54" s="18">
        <f t="shared" si="53"/>
        <v>0.58434635683115899</v>
      </c>
      <c r="F54" s="18">
        <f t="shared" si="53"/>
        <v>0.71705998134228699</v>
      </c>
      <c r="G54" s="18">
        <f t="shared" si="53"/>
        <v>0.67686017676093391</v>
      </c>
      <c r="H54" s="18">
        <f t="shared" si="53"/>
        <v>0.75141897562686555</v>
      </c>
      <c r="I54" s="18">
        <f t="shared" si="53"/>
        <v>0.74287318590532136</v>
      </c>
      <c r="J54" s="18">
        <f t="shared" ref="J54" si="54">J53/(J51/J50-1)</f>
        <v>0.67901766037386402</v>
      </c>
    </row>
    <row r="56" spans="3:10" ht="18.75" x14ac:dyDescent="0.3">
      <c r="C56" s="21" t="s">
        <v>35</v>
      </c>
    </row>
    <row r="57" spans="3:10" x14ac:dyDescent="0.25">
      <c r="C57" s="17" t="str">
        <f>C32</f>
        <v>p3</v>
      </c>
      <c r="D57" s="17">
        <f t="shared" ref="D57:I57" ca="1" si="55">D32</f>
        <v>2.8743798550699999</v>
      </c>
      <c r="E57" s="17">
        <f t="shared" ca="1" si="55"/>
        <v>2.7272801050699997</v>
      </c>
      <c r="F57" s="17">
        <f t="shared" ca="1" si="55"/>
        <v>3.2747123550700001</v>
      </c>
      <c r="G57" s="17">
        <f t="shared" ca="1" si="55"/>
        <v>3.0687727050700002</v>
      </c>
      <c r="H57" s="17">
        <f t="shared" ca="1" si="55"/>
        <v>3.5789118550700003</v>
      </c>
      <c r="I57" s="17">
        <f t="shared" ca="1" si="55"/>
        <v>3.5298786050700004</v>
      </c>
      <c r="J57" s="17">
        <f t="shared" ref="J57" ca="1" si="56">J32</f>
        <v>3.0491594050700002</v>
      </c>
    </row>
    <row r="58" spans="3:10" x14ac:dyDescent="0.25">
      <c r="C58" s="17" t="str">
        <f t="shared" ref="C58:I59" si="57">C33</f>
        <v>p4</v>
      </c>
      <c r="D58" s="17">
        <f t="shared" si="57"/>
        <v>1.02969333007</v>
      </c>
      <c r="E58" s="17">
        <f t="shared" si="57"/>
        <v>1.02871266507</v>
      </c>
      <c r="F58" s="17">
        <f t="shared" si="57"/>
        <v>1.03263532507</v>
      </c>
      <c r="G58" s="17">
        <f t="shared" si="57"/>
        <v>1.03263532507</v>
      </c>
      <c r="H58" s="17">
        <f t="shared" si="57"/>
        <v>1.03655798507</v>
      </c>
      <c r="I58" s="17">
        <f t="shared" si="57"/>
        <v>1.03655798507</v>
      </c>
      <c r="J58" s="17">
        <f t="shared" ref="J58" si="58">J33</f>
        <v>1.0331256575700001</v>
      </c>
    </row>
    <row r="59" spans="3:10" x14ac:dyDescent="0.25">
      <c r="C59" s="17" t="str">
        <f t="shared" si="57"/>
        <v>T3</v>
      </c>
      <c r="D59" s="17">
        <f>D34</f>
        <v>648.15</v>
      </c>
      <c r="E59" s="17">
        <f t="shared" si="57"/>
        <v>645.65</v>
      </c>
      <c r="F59" s="17">
        <f t="shared" si="57"/>
        <v>670.15</v>
      </c>
      <c r="G59" s="17">
        <f t="shared" si="57"/>
        <v>658.15</v>
      </c>
      <c r="H59" s="17">
        <f t="shared" si="57"/>
        <v>685.65</v>
      </c>
      <c r="I59" s="17">
        <f t="shared" si="57"/>
        <v>680.65</v>
      </c>
      <c r="J59" s="17">
        <f t="shared" ref="J59" si="59">J34</f>
        <v>660.65</v>
      </c>
    </row>
    <row r="60" spans="3:10" x14ac:dyDescent="0.25">
      <c r="C60" s="17" t="s">
        <v>38</v>
      </c>
      <c r="D60" s="17">
        <f>D18+273.15-$N$3</f>
        <v>495.65</v>
      </c>
      <c r="E60" s="17">
        <f t="shared" ref="E60:J60" si="60">E18+273.15-$N$3</f>
        <v>498.15</v>
      </c>
      <c r="F60" s="17">
        <f t="shared" si="60"/>
        <v>495.65</v>
      </c>
      <c r="G60" s="17">
        <f t="shared" si="60"/>
        <v>495.65</v>
      </c>
      <c r="H60" s="17">
        <f t="shared" si="60"/>
        <v>500.65</v>
      </c>
      <c r="I60" s="17">
        <f t="shared" si="60"/>
        <v>500.65</v>
      </c>
      <c r="J60" s="17">
        <f t="shared" si="60"/>
        <v>495.65</v>
      </c>
    </row>
    <row r="61" spans="3:10" x14ac:dyDescent="0.25">
      <c r="C61" s="17" t="str">
        <f t="shared" ref="C61:I62" si="61">C35</f>
        <v>Πt</v>
      </c>
      <c r="D61" s="17">
        <f t="shared" ca="1" si="61"/>
        <v>2.7914911858995879</v>
      </c>
      <c r="E61" s="17">
        <f t="shared" ca="1" si="61"/>
        <v>2.6511582851800686</v>
      </c>
      <c r="F61" s="17">
        <f t="shared" ca="1" si="61"/>
        <v>3.1712186050269149</v>
      </c>
      <c r="G61" s="17">
        <f t="shared" ca="1" si="61"/>
        <v>2.9717874554233124</v>
      </c>
      <c r="H61" s="17">
        <f t="shared" ca="1" si="61"/>
        <v>3.4526885197149024</v>
      </c>
      <c r="I61" s="17">
        <f t="shared" ca="1" si="61"/>
        <v>3.4053846055043642</v>
      </c>
      <c r="J61" s="17">
        <f t="shared" ref="J61" ca="1" si="62">J35</f>
        <v>2.9513925849464275</v>
      </c>
    </row>
    <row r="62" spans="3:10" x14ac:dyDescent="0.25">
      <c r="C62" s="17" t="str">
        <f t="shared" si="61"/>
        <v>1-(Πt^-γ)</v>
      </c>
      <c r="D62" s="17">
        <f t="shared" ca="1" si="61"/>
        <v>0.23794815450219886</v>
      </c>
      <c r="E62" s="17">
        <f t="shared" ca="1" si="61"/>
        <v>0.22747224657787335</v>
      </c>
      <c r="F62" s="17">
        <f t="shared" ca="1" si="61"/>
        <v>0.26324603535760915</v>
      </c>
      <c r="G62" s="17">
        <f t="shared" ca="1" si="61"/>
        <v>0.25046930930184064</v>
      </c>
      <c r="H62" s="17">
        <f t="shared" ca="1" si="61"/>
        <v>0.27964500758866906</v>
      </c>
      <c r="I62" s="17">
        <f t="shared" ca="1" si="61"/>
        <v>0.27700967634260065</v>
      </c>
      <c r="J62" s="17">
        <f t="shared" ref="J62" ca="1" si="63">J36</f>
        <v>0.24910174851578559</v>
      </c>
    </row>
    <row r="63" spans="3:10" x14ac:dyDescent="0.25">
      <c r="C63" s="17" t="s">
        <v>36</v>
      </c>
      <c r="D63" s="18">
        <f ca="1">(1-D60/D59)/D62</f>
        <v>0.98880801380858274</v>
      </c>
      <c r="E63" s="18">
        <f t="shared" ref="E63:I63" ca="1" si="64">(1-E60/E59)/E62</f>
        <v>1.0043069037498895</v>
      </c>
      <c r="F63" s="18">
        <f ca="1">(1-F60/F59)/F62</f>
        <v>0.98914866729677631</v>
      </c>
      <c r="G63" s="18">
        <f t="shared" ca="1" si="64"/>
        <v>0.98576628752707474</v>
      </c>
      <c r="H63" s="18">
        <f t="shared" ca="1" si="64"/>
        <v>0.96485527967561513</v>
      </c>
      <c r="I63" s="18">
        <f t="shared" ca="1" si="64"/>
        <v>0.95467096960877162</v>
      </c>
      <c r="J63" s="18">
        <f t="shared" ref="J63" ca="1" si="65">(1-J60/J59)/J62</f>
        <v>1.0026185348354661</v>
      </c>
    </row>
    <row r="65" spans="2:12" ht="18.75" x14ac:dyDescent="0.3">
      <c r="C65" s="21" t="s">
        <v>33</v>
      </c>
    </row>
    <row r="66" spans="2:12" x14ac:dyDescent="0.25">
      <c r="C66" s="17" t="s">
        <v>34</v>
      </c>
      <c r="D66" s="22">
        <f t="shared" ref="D66:I66" ca="1" si="66">D54*D63*D19^2</f>
        <v>0.54739422026697926</v>
      </c>
      <c r="E66" s="22">
        <f t="shared" ca="1" si="66"/>
        <v>0.52964393001283294</v>
      </c>
      <c r="F66" s="22">
        <f t="shared" ca="1" si="66"/>
        <v>0.64012422973720839</v>
      </c>
      <c r="G66" s="22">
        <f t="shared" ca="1" si="66"/>
        <v>0.60217141411754227</v>
      </c>
      <c r="H66" s="22">
        <f t="shared" ca="1" si="66"/>
        <v>0.65432203570852632</v>
      </c>
      <c r="I66" s="22">
        <f t="shared" ca="1" si="66"/>
        <v>0.64005251687784281</v>
      </c>
      <c r="J66" s="22">
        <f t="shared" ref="J66" ca="1" si="67">J54*J63*J19^2</f>
        <v>0.6144181118237334</v>
      </c>
    </row>
    <row r="68" spans="2:12" ht="15.75" thickBot="1" x14ac:dyDescent="0.3"/>
    <row r="69" spans="2:12" ht="15.75" x14ac:dyDescent="0.25">
      <c r="C69" s="23" t="str">
        <f>C54</f>
        <v>ηISc</v>
      </c>
      <c r="D69" s="23">
        <f t="shared" ref="D69:I69" si="68">D54</f>
        <v>0.61339611281001127</v>
      </c>
      <c r="E69" s="23">
        <f t="shared" si="68"/>
        <v>0.58434635683115899</v>
      </c>
      <c r="F69" s="23">
        <f t="shared" si="68"/>
        <v>0.71705998134228699</v>
      </c>
      <c r="G69" s="23">
        <f t="shared" si="68"/>
        <v>0.67686017676093391</v>
      </c>
      <c r="H69" s="23">
        <f t="shared" si="68"/>
        <v>0.75141897562686555</v>
      </c>
      <c r="I69" s="23">
        <f t="shared" si="68"/>
        <v>0.74287318590532136</v>
      </c>
      <c r="J69" s="23">
        <f t="shared" ref="J69" si="69">J54</f>
        <v>0.67901766037386402</v>
      </c>
    </row>
    <row r="70" spans="2:12" ht="15.75" x14ac:dyDescent="0.25">
      <c r="C70" s="26" t="str">
        <f>C63</f>
        <v>ηISt</v>
      </c>
      <c r="D70" s="26">
        <f ca="1">D63</f>
        <v>0.98880801380858274</v>
      </c>
      <c r="E70" s="26">
        <f t="shared" ref="E70:I70" ca="1" si="70">E63</f>
        <v>1.0043069037498895</v>
      </c>
      <c r="F70" s="26">
        <f t="shared" ca="1" si="70"/>
        <v>0.98914866729677631</v>
      </c>
      <c r="G70" s="26">
        <f t="shared" ca="1" si="70"/>
        <v>0.98576628752707474</v>
      </c>
      <c r="H70" s="26">
        <f t="shared" ca="1" si="70"/>
        <v>0.96485527967561513</v>
      </c>
      <c r="I70" s="26">
        <f t="shared" ca="1" si="70"/>
        <v>0.95467096960877162</v>
      </c>
      <c r="J70" s="26">
        <f t="shared" ref="J70" ca="1" si="71">J63</f>
        <v>1.0026185348354661</v>
      </c>
    </row>
    <row r="71" spans="2:12" ht="16.5" thickBot="1" x14ac:dyDescent="0.3">
      <c r="C71" s="29" t="str">
        <f>C66</f>
        <v>ηIStc</v>
      </c>
      <c r="D71" s="29">
        <f t="shared" ref="D71:I71" ca="1" si="72">D66</f>
        <v>0.54739422026697926</v>
      </c>
      <c r="E71" s="29">
        <f t="shared" ca="1" si="72"/>
        <v>0.52964393001283294</v>
      </c>
      <c r="F71" s="29">
        <f t="shared" ca="1" si="72"/>
        <v>0.64012422973720839</v>
      </c>
      <c r="G71" s="29">
        <f t="shared" ca="1" si="72"/>
        <v>0.60217141411754227</v>
      </c>
      <c r="H71" s="29">
        <f t="shared" ca="1" si="72"/>
        <v>0.65432203570852632</v>
      </c>
      <c r="I71" s="29">
        <f t="shared" ca="1" si="72"/>
        <v>0.64005251687784281</v>
      </c>
      <c r="J71" s="29">
        <f t="shared" ref="J71" ca="1" si="73">J66</f>
        <v>0.6144181118237334</v>
      </c>
    </row>
    <row r="73" spans="2:12" ht="18.75" x14ac:dyDescent="0.3">
      <c r="B73" s="21">
        <v>3</v>
      </c>
      <c r="C73" s="21" t="s">
        <v>41</v>
      </c>
      <c r="E73" s="21" t="s">
        <v>42</v>
      </c>
    </row>
    <row r="74" spans="2:12" x14ac:dyDescent="0.25">
      <c r="C74" s="17" t="s">
        <v>30</v>
      </c>
      <c r="D74" s="18"/>
      <c r="E74" s="18"/>
      <c r="F74" s="18"/>
      <c r="G74" s="18"/>
      <c r="H74" s="18"/>
      <c r="I74" s="18"/>
      <c r="J74" s="18"/>
    </row>
    <row r="76" spans="2:12" x14ac:dyDescent="0.25">
      <c r="C76" s="17" t="s">
        <v>43</v>
      </c>
      <c r="D76" s="20" t="e">
        <f t="shared" ref="D76:I76" si="74">D42/D74</f>
        <v>#DIV/0!</v>
      </c>
      <c r="E76" s="20" t="e">
        <f t="shared" si="74"/>
        <v>#DIV/0!</v>
      </c>
      <c r="F76" s="20" t="e">
        <f t="shared" si="74"/>
        <v>#DIV/0!</v>
      </c>
      <c r="G76" s="20" t="e">
        <f t="shared" si="74"/>
        <v>#DIV/0!</v>
      </c>
      <c r="H76" s="20" t="e">
        <f t="shared" si="74"/>
        <v>#DIV/0!</v>
      </c>
      <c r="I76" s="20" t="e">
        <f t="shared" si="74"/>
        <v>#DIV/0!</v>
      </c>
      <c r="J76" s="20" t="e">
        <f t="shared" ref="J76" si="75">J42/J74</f>
        <v>#DIV/0!</v>
      </c>
    </row>
    <row r="77" spans="2:12" x14ac:dyDescent="0.25">
      <c r="D77" s="17">
        <v>1.75</v>
      </c>
      <c r="E77" s="17">
        <v>2.1</v>
      </c>
      <c r="F77" s="17">
        <v>2.5</v>
      </c>
      <c r="G77" s="17">
        <v>2.7</v>
      </c>
      <c r="H77" s="17">
        <v>3</v>
      </c>
      <c r="I77" s="17">
        <v>3.25</v>
      </c>
      <c r="J77" s="17">
        <v>3.25</v>
      </c>
      <c r="K77" s="17">
        <v>3.85</v>
      </c>
      <c r="L77" s="17">
        <v>4.2</v>
      </c>
    </row>
    <row r="78" spans="2:12" x14ac:dyDescent="0.25">
      <c r="C78" s="17" t="s">
        <v>34</v>
      </c>
      <c r="D78" s="38">
        <v>0.68</v>
      </c>
      <c r="E78" s="38">
        <v>0.7</v>
      </c>
      <c r="F78" s="38">
        <v>0.71199999999999997</v>
      </c>
      <c r="G78" s="38">
        <v>0.71799999999999997</v>
      </c>
      <c r="H78" s="38">
        <v>0.71299999999999997</v>
      </c>
      <c r="I78" s="38">
        <v>0.7</v>
      </c>
      <c r="J78" s="38">
        <v>0.7</v>
      </c>
      <c r="K78" s="38">
        <v>0.67</v>
      </c>
      <c r="L78" s="38">
        <v>0.65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F11" sqref="F11"/>
    </sheetView>
  </sheetViews>
  <sheetFormatPr defaultRowHeight="15" x14ac:dyDescent="0.25"/>
  <cols>
    <col min="1" max="2" width="9.140625" style="17"/>
    <col min="3" max="3" width="10.28515625" style="17" bestFit="1" customWidth="1"/>
    <col min="4" max="4" width="12" style="17" customWidth="1"/>
    <col min="5" max="9" width="18.42578125" style="17" bestFit="1" customWidth="1"/>
    <col min="10" max="15" width="18.42578125" style="17" customWidth="1"/>
    <col min="16" max="24" width="9.140625" style="17"/>
    <col min="25" max="25" width="18.5703125" style="17" bestFit="1" customWidth="1"/>
    <col min="26" max="32" width="9.140625" style="17"/>
    <col min="33" max="33" width="10.28515625" style="17" bestFit="1" customWidth="1"/>
    <col min="34" max="34" width="10.28515625" style="17" customWidth="1"/>
    <col min="35" max="16384" width="9.140625" style="17"/>
  </cols>
  <sheetData>
    <row r="1" spans="3:39" x14ac:dyDescent="0.25">
      <c r="P1" s="17" t="s">
        <v>45</v>
      </c>
    </row>
    <row r="2" spans="3:39" x14ac:dyDescent="0.25">
      <c r="C2" s="33" t="s">
        <v>0</v>
      </c>
      <c r="D2" s="33">
        <v>0.72</v>
      </c>
      <c r="F2" s="32" t="s">
        <v>19</v>
      </c>
      <c r="G2" s="32">
        <v>1.4</v>
      </c>
      <c r="H2" s="17" t="s">
        <v>20</v>
      </c>
      <c r="I2" s="13">
        <f>(G2-1)/G2</f>
        <v>0.28571428571428564</v>
      </c>
      <c r="J2" s="13"/>
      <c r="K2" s="13"/>
      <c r="L2" s="13"/>
      <c r="M2" s="13"/>
      <c r="N2" s="13"/>
      <c r="O2" s="13"/>
      <c r="P2" s="17" t="s">
        <v>4</v>
      </c>
      <c r="Q2" s="37">
        <v>0</v>
      </c>
      <c r="R2" s="17" t="s">
        <v>6</v>
      </c>
      <c r="S2" s="37">
        <v>0</v>
      </c>
      <c r="T2" s="17" t="s">
        <v>48</v>
      </c>
      <c r="U2" s="36">
        <v>0.9</v>
      </c>
      <c r="V2" s="17" t="s">
        <v>58</v>
      </c>
      <c r="W2" s="37">
        <v>0</v>
      </c>
    </row>
    <row r="3" spans="3:39" x14ac:dyDescent="0.25">
      <c r="C3" s="33" t="s">
        <v>1</v>
      </c>
      <c r="D3" s="33">
        <v>0.73</v>
      </c>
      <c r="F3" s="32" t="s">
        <v>22</v>
      </c>
      <c r="G3" s="32">
        <v>1.36</v>
      </c>
      <c r="H3" s="17" t="s">
        <v>21</v>
      </c>
      <c r="I3" s="13">
        <f>(G3-1)/G3</f>
        <v>0.26470588235294124</v>
      </c>
      <c r="J3" s="13"/>
      <c r="K3" s="13"/>
      <c r="L3" s="13"/>
      <c r="M3" s="13"/>
      <c r="N3" s="13"/>
      <c r="O3" s="13"/>
      <c r="P3" s="17" t="s">
        <v>5</v>
      </c>
      <c r="Q3" s="37">
        <v>0</v>
      </c>
      <c r="R3" s="17" t="s">
        <v>46</v>
      </c>
      <c r="S3" s="37">
        <v>0</v>
      </c>
      <c r="T3" s="17" t="s">
        <v>50</v>
      </c>
      <c r="U3" s="36">
        <v>1</v>
      </c>
      <c r="V3" s="17" t="s">
        <v>2</v>
      </c>
      <c r="W3" s="37">
        <v>0</v>
      </c>
      <c r="Y3" s="17" t="s">
        <v>52</v>
      </c>
    </row>
    <row r="4" spans="3:39" x14ac:dyDescent="0.25">
      <c r="C4" s="17" t="s">
        <v>59</v>
      </c>
      <c r="D4" s="17">
        <v>0</v>
      </c>
      <c r="E4" s="17">
        <v>3.9226599999999997E-3</v>
      </c>
      <c r="F4" s="17">
        <v>7.8453199999999994E-3</v>
      </c>
      <c r="G4" s="17">
        <v>1.4709975E-2</v>
      </c>
      <c r="H4" s="17">
        <v>1.5690639999999999E-2</v>
      </c>
      <c r="I4" s="17">
        <v>2.2555295E-2</v>
      </c>
      <c r="AK4" s="17" t="s">
        <v>5</v>
      </c>
    </row>
    <row r="5" spans="3:39" ht="18.75" x14ac:dyDescent="0.3">
      <c r="C5" s="35" t="s">
        <v>14</v>
      </c>
      <c r="Y5" s="17" t="s">
        <v>51</v>
      </c>
      <c r="AG5" s="17" t="s">
        <v>55</v>
      </c>
      <c r="AL5" s="17" t="s">
        <v>56</v>
      </c>
      <c r="AM5" s="17" t="s">
        <v>57</v>
      </c>
    </row>
    <row r="6" spans="3:39" x14ac:dyDescent="0.25">
      <c r="C6" s="34" t="s">
        <v>40</v>
      </c>
      <c r="D6" s="43">
        <v>0.75900000000000001</v>
      </c>
      <c r="E6" s="43">
        <v>0.69499999999999995</v>
      </c>
      <c r="F6" s="43">
        <v>0.72</v>
      </c>
      <c r="G6" s="43">
        <v>0.57099999999999995</v>
      </c>
      <c r="H6" s="43">
        <v>0.71099999999999997</v>
      </c>
      <c r="I6" s="43">
        <v>0.75</v>
      </c>
      <c r="J6" s="43">
        <v>0.72</v>
      </c>
      <c r="K6" s="43">
        <v>0.753</v>
      </c>
      <c r="L6" s="43">
        <v>0.749</v>
      </c>
      <c r="M6" s="43">
        <v>0.745</v>
      </c>
      <c r="N6" s="43">
        <v>0.75800000000000001</v>
      </c>
      <c r="O6" s="43">
        <v>0.77300000000000002</v>
      </c>
      <c r="Y6" s="17" t="s">
        <v>49</v>
      </c>
      <c r="Z6" s="18">
        <v>0.82324419377495617</v>
      </c>
      <c r="AA6" s="18">
        <v>0.7733737043275386</v>
      </c>
      <c r="AB6" s="18">
        <v>0.75839788862565871</v>
      </c>
      <c r="AC6" s="18">
        <v>0.77969919517434116</v>
      </c>
      <c r="AD6" s="18">
        <v>0.76438386855207641</v>
      </c>
      <c r="AE6" s="18">
        <v>0.74810409672059253</v>
      </c>
      <c r="AG6" s="17" t="s">
        <v>6</v>
      </c>
      <c r="AH6" s="17" t="s">
        <v>49</v>
      </c>
      <c r="AI6" s="19" t="s">
        <v>36</v>
      </c>
      <c r="AJ6" s="19" t="s">
        <v>34</v>
      </c>
      <c r="AK6" s="19"/>
      <c r="AL6" s="19"/>
      <c r="AM6" s="19"/>
    </row>
    <row r="7" spans="3:39" x14ac:dyDescent="0.25">
      <c r="C7" s="34" t="s">
        <v>11</v>
      </c>
      <c r="D7" s="17">
        <v>90.4</v>
      </c>
      <c r="E7" s="17">
        <v>87.2</v>
      </c>
      <c r="F7" s="17">
        <v>89.3</v>
      </c>
      <c r="G7" s="17">
        <v>82.1</v>
      </c>
      <c r="H7" s="17">
        <v>89.3</v>
      </c>
      <c r="I7" s="17">
        <v>90.4</v>
      </c>
      <c r="J7" s="17">
        <v>90.3</v>
      </c>
      <c r="K7" s="17">
        <v>90.7</v>
      </c>
      <c r="L7" s="17">
        <v>90.8</v>
      </c>
      <c r="M7" s="17">
        <v>90.8</v>
      </c>
      <c r="N7" s="17">
        <v>90.8</v>
      </c>
      <c r="O7" s="17">
        <v>90.8</v>
      </c>
      <c r="Y7" s="17" t="s">
        <v>36</v>
      </c>
      <c r="Z7" s="18">
        <v>0.84126619989124407</v>
      </c>
      <c r="AA7" s="18">
        <v>0.84986988535791597</v>
      </c>
      <c r="AB7" s="18">
        <v>0.88699757919468347</v>
      </c>
      <c r="AC7" s="18">
        <v>0.88806468011725426</v>
      </c>
      <c r="AD7" s="18">
        <v>0.88534670705390606</v>
      </c>
      <c r="AE7" s="18">
        <v>0.88911212205919588</v>
      </c>
      <c r="AG7" s="41">
        <v>-0.2</v>
      </c>
      <c r="AI7" s="19"/>
      <c r="AJ7" s="19"/>
      <c r="AK7" s="19"/>
      <c r="AL7" s="19"/>
      <c r="AM7" s="19"/>
    </row>
    <row r="8" spans="3:39" x14ac:dyDescent="0.25">
      <c r="C8" s="34" t="s">
        <v>2</v>
      </c>
      <c r="D8" s="44">
        <v>31</v>
      </c>
      <c r="E8" s="44">
        <v>18</v>
      </c>
      <c r="F8" s="44">
        <v>31</v>
      </c>
      <c r="G8" s="44">
        <v>24</v>
      </c>
      <c r="H8" s="44">
        <v>42</v>
      </c>
      <c r="I8" s="44">
        <v>28</v>
      </c>
      <c r="J8" s="44">
        <v>35</v>
      </c>
      <c r="K8" s="44">
        <v>36</v>
      </c>
      <c r="L8" s="44">
        <v>36</v>
      </c>
      <c r="M8" s="44">
        <v>40</v>
      </c>
      <c r="N8" s="44">
        <v>36</v>
      </c>
      <c r="O8" s="44">
        <v>33</v>
      </c>
      <c r="Y8" s="17" t="s">
        <v>34</v>
      </c>
      <c r="Z8" s="18">
        <v>0.62331076303162947</v>
      </c>
      <c r="AA8" s="18">
        <v>0.65726702143567206</v>
      </c>
      <c r="AB8" s="18">
        <v>0.67269709127731847</v>
      </c>
      <c r="AC8" s="18">
        <v>0.69242331635018184</v>
      </c>
      <c r="AD8" s="18">
        <v>0.67674474094770665</v>
      </c>
      <c r="AE8" s="18">
        <v>0.6651484209564239</v>
      </c>
      <c r="AG8" s="19">
        <v>0.1</v>
      </c>
      <c r="AI8" s="19"/>
      <c r="AJ8" s="19"/>
      <c r="AK8" s="19"/>
      <c r="AL8" s="19"/>
      <c r="AM8" s="19"/>
    </row>
    <row r="9" spans="3:39" x14ac:dyDescent="0.25">
      <c r="C9" s="34" t="s">
        <v>3</v>
      </c>
      <c r="D9" s="49">
        <v>1027</v>
      </c>
      <c r="E9" s="49">
        <v>1004</v>
      </c>
      <c r="F9" s="49">
        <v>1025</v>
      </c>
      <c r="G9" s="49">
        <v>1024</v>
      </c>
      <c r="H9" s="49">
        <v>1020</v>
      </c>
      <c r="I9" s="49">
        <v>1031</v>
      </c>
      <c r="J9" s="50">
        <v>1030</v>
      </c>
      <c r="K9" s="50">
        <v>1024</v>
      </c>
      <c r="L9" s="50">
        <v>1028</v>
      </c>
      <c r="M9" s="50">
        <v>1023</v>
      </c>
      <c r="N9" s="50">
        <v>1027</v>
      </c>
      <c r="O9" s="50">
        <v>1035</v>
      </c>
      <c r="AG9" s="19">
        <v>0</v>
      </c>
      <c r="AI9" s="19"/>
      <c r="AJ9" s="19"/>
      <c r="AK9" s="19"/>
      <c r="AL9" s="19"/>
      <c r="AM9" s="19"/>
    </row>
    <row r="10" spans="3:39" x14ac:dyDescent="0.25">
      <c r="C10" s="34" t="s">
        <v>4</v>
      </c>
      <c r="D10" s="17">
        <v>3.4370000000000003</v>
      </c>
      <c r="E10" s="17">
        <v>3.3039999999999998</v>
      </c>
      <c r="F10" s="17">
        <v>3.3249999999999997</v>
      </c>
      <c r="G10" s="17">
        <v>2.9239999999999999</v>
      </c>
      <c r="H10" s="17">
        <v>3.17</v>
      </c>
      <c r="I10" s="17">
        <v>3.351</v>
      </c>
      <c r="J10" s="17">
        <v>3.2300000000000004</v>
      </c>
      <c r="K10" s="17">
        <v>3.2640000000000002</v>
      </c>
      <c r="L10" s="17">
        <v>3.3580000000000001</v>
      </c>
      <c r="M10" s="17">
        <v>3.3129999999999997</v>
      </c>
      <c r="N10" s="17">
        <v>3.367</v>
      </c>
      <c r="O10" s="17">
        <v>3.4349999999999996</v>
      </c>
      <c r="Y10" s="17" t="str">
        <f>Y6</f>
        <v>ηc</v>
      </c>
      <c r="Z10" s="22">
        <f t="shared" ref="Z10:AE12" si="0">D42</f>
        <v>0.7850731372998011</v>
      </c>
      <c r="AA10" s="22">
        <f t="shared" si="0"/>
        <v>0.76067536437837002</v>
      </c>
      <c r="AB10" s="22">
        <f t="shared" si="0"/>
        <v>0.78627421737631087</v>
      </c>
      <c r="AC10" s="22">
        <f t="shared" si="0"/>
        <v>0.81873122185831149</v>
      </c>
      <c r="AD10" s="22">
        <f t="shared" si="0"/>
        <v>0.7894566961582431</v>
      </c>
      <c r="AE10" s="22">
        <f t="shared" si="0"/>
        <v>0.77476201465382977</v>
      </c>
      <c r="AG10" s="19">
        <v>0.1</v>
      </c>
      <c r="AI10" s="19"/>
      <c r="AJ10" s="19"/>
      <c r="AK10" s="19"/>
      <c r="AL10" s="19"/>
      <c r="AM10" s="19"/>
    </row>
    <row r="11" spans="3:39" x14ac:dyDescent="0.25">
      <c r="C11" s="34" t="s">
        <v>5</v>
      </c>
      <c r="D11" s="17">
        <v>377.5</v>
      </c>
      <c r="E11" s="17">
        <v>350</v>
      </c>
      <c r="F11" s="17">
        <v>365</v>
      </c>
      <c r="G11" s="17">
        <v>342.5</v>
      </c>
      <c r="H11" s="17">
        <v>385</v>
      </c>
      <c r="I11" s="17">
        <v>375</v>
      </c>
      <c r="J11" s="17">
        <v>395</v>
      </c>
      <c r="K11" s="17">
        <v>397.5</v>
      </c>
      <c r="L11" s="17">
        <v>388.5</v>
      </c>
      <c r="M11" s="17">
        <v>401</v>
      </c>
      <c r="N11" s="17">
        <v>394.5</v>
      </c>
      <c r="O11" s="17">
        <v>375</v>
      </c>
      <c r="Y11" s="17" t="str">
        <f t="shared" ref="Y11:Y12" si="1">Y7</f>
        <v>ηISt</v>
      </c>
      <c r="Z11" s="22">
        <f t="shared" ca="1" si="0"/>
        <v>0.87438872560137726</v>
      </c>
      <c r="AA11" s="22">
        <f t="shared" ca="1" si="0"/>
        <v>0.88708158758909184</v>
      </c>
      <c r="AB11" s="22">
        <f t="shared" ca="1" si="0"/>
        <v>0.89490368160222999</v>
      </c>
      <c r="AC11" s="22">
        <f t="shared" ca="1" si="0"/>
        <v>0.91197666328709781</v>
      </c>
      <c r="AD11" s="22">
        <f t="shared" ca="1" si="0"/>
        <v>0.8775139746853946</v>
      </c>
      <c r="AE11" s="22">
        <f t="shared" ca="1" si="0"/>
        <v>0.86481433996890322</v>
      </c>
      <c r="AG11" s="19">
        <v>0.2</v>
      </c>
      <c r="AH11" s="19"/>
      <c r="AI11" s="19"/>
      <c r="AJ11" s="19"/>
      <c r="AK11" s="19"/>
      <c r="AL11" s="19"/>
      <c r="AM11" s="19"/>
    </row>
    <row r="12" spans="3:39" x14ac:dyDescent="0.25">
      <c r="C12" s="34" t="s">
        <v>6</v>
      </c>
      <c r="D12" s="48">
        <v>3.1769999999999996</v>
      </c>
      <c r="E12" s="48">
        <v>3.1040000000000001</v>
      </c>
      <c r="F12" s="48">
        <v>3.0249999999999999</v>
      </c>
      <c r="G12" s="48">
        <v>2.4740000000000002</v>
      </c>
      <c r="H12" s="48">
        <v>2.92</v>
      </c>
      <c r="I12" s="48">
        <v>3.1310000000000002</v>
      </c>
      <c r="J12" s="48">
        <v>3.0300000000000002</v>
      </c>
      <c r="K12" s="17">
        <v>2.9239999999999999</v>
      </c>
      <c r="L12" s="17">
        <v>3.028</v>
      </c>
      <c r="M12" s="17">
        <v>2.923</v>
      </c>
      <c r="N12" s="17">
        <v>3.0270000000000001</v>
      </c>
      <c r="O12" s="17">
        <v>3.1349999999999998</v>
      </c>
      <c r="Y12" s="17" t="str">
        <f t="shared" si="1"/>
        <v>ηIStc</v>
      </c>
      <c r="Z12" s="22">
        <f t="shared" ca="1" si="0"/>
        <v>0.68645910002744814</v>
      </c>
      <c r="AA12" s="22">
        <f t="shared" ca="1" si="0"/>
        <v>0.67478110987267537</v>
      </c>
      <c r="AB12" s="22">
        <f t="shared" ca="1" si="0"/>
        <v>0.70363969187897268</v>
      </c>
      <c r="AC12" s="22">
        <f t="shared" ca="1" si="0"/>
        <v>0.74666376783931154</v>
      </c>
      <c r="AD12" s="22">
        <f t="shared" ca="1" si="0"/>
        <v>0.69275928328781977</v>
      </c>
      <c r="AE12" s="22">
        <f t="shared" ca="1" si="0"/>
        <v>0.67002530033582952</v>
      </c>
      <c r="AH12" s="19"/>
      <c r="AI12" s="19"/>
      <c r="AJ12" s="19"/>
      <c r="AK12" s="19"/>
      <c r="AL12" s="19"/>
      <c r="AM12" s="19"/>
    </row>
    <row r="13" spans="3:39" x14ac:dyDescent="0.25">
      <c r="C13" s="34" t="s">
        <v>7</v>
      </c>
      <c r="D13" s="17">
        <f t="shared" ref="D13:O13" ca="1" si="2">FORECAST(D6,OFFSET(backpressure,MATCH(D6,load,1)-1,0,2),OFFSET(load,MATCH(D6,load,1)-1,0,2))</f>
        <v>8.2571993000000038E-3</v>
      </c>
      <c r="E13" s="17">
        <f t="shared" ca="1" si="2"/>
        <v>6.9823347999999974E-3</v>
      </c>
      <c r="F13" s="17">
        <f t="shared" ca="1" si="2"/>
        <v>7.3746007999999979E-3</v>
      </c>
      <c r="G13" s="17">
        <f t="shared" ca="1" si="2"/>
        <v>5.0366954399999981E-3</v>
      </c>
      <c r="H13" s="17">
        <f t="shared" ca="1" si="2"/>
        <v>7.2333850399999974E-3</v>
      </c>
      <c r="I13" s="17">
        <f t="shared" ca="1" si="2"/>
        <v>7.8453200000000028E-3</v>
      </c>
      <c r="J13" s="17">
        <f t="shared" ca="1" si="2"/>
        <v>7.3746007999999979E-3</v>
      </c>
      <c r="K13" s="17">
        <f t="shared" ca="1" si="2"/>
        <v>7.9826131000000078E-3</v>
      </c>
      <c r="L13" s="17">
        <f t="shared" ca="1" si="2"/>
        <v>7.8296293599999997E-3</v>
      </c>
      <c r="M13" s="17">
        <f t="shared" ca="1" si="2"/>
        <v>7.7668667999999984E-3</v>
      </c>
      <c r="N13" s="17">
        <f t="shared" ca="1" si="2"/>
        <v>8.2114349333333378E-3</v>
      </c>
      <c r="O13" s="17">
        <f t="shared" ca="1" si="2"/>
        <v>8.8979004333333417E-3</v>
      </c>
      <c r="AG13" s="17" t="s">
        <v>4</v>
      </c>
      <c r="AH13" s="19"/>
      <c r="AI13" s="19"/>
      <c r="AJ13" s="19"/>
      <c r="AK13" s="19"/>
      <c r="AL13" s="19"/>
      <c r="AM13" s="19"/>
    </row>
    <row r="14" spans="3:39" x14ac:dyDescent="0.25">
      <c r="C14" s="34" t="s">
        <v>9</v>
      </c>
      <c r="D14" s="17">
        <v>9.5614837500000004E-3</v>
      </c>
      <c r="E14" s="17">
        <v>9.0711512499999994E-3</v>
      </c>
      <c r="F14" s="17">
        <v>1.12776475E-2</v>
      </c>
      <c r="G14" s="17">
        <v>1.5445473750000001E-2</v>
      </c>
      <c r="H14" s="17">
        <v>8.8259849999999997E-3</v>
      </c>
      <c r="I14" s="17">
        <v>9.0711512499999994E-3</v>
      </c>
      <c r="J14" s="17">
        <v>8.5808187500000001E-3</v>
      </c>
      <c r="K14" s="17">
        <v>8.5808187500000001E-3</v>
      </c>
      <c r="L14" s="17">
        <v>8.8259849999999997E-3</v>
      </c>
      <c r="M14" s="17">
        <v>8.8259849999999997E-3</v>
      </c>
      <c r="N14" s="17">
        <v>9.0711512499999994E-3</v>
      </c>
      <c r="O14" s="17">
        <v>1.7651969999999999E-2</v>
      </c>
      <c r="Y14" s="17" t="s">
        <v>53</v>
      </c>
      <c r="AH14" s="19"/>
      <c r="AI14" s="19"/>
      <c r="AJ14" s="19"/>
      <c r="AK14" s="19"/>
      <c r="AL14" s="19"/>
      <c r="AM14" s="19"/>
    </row>
    <row r="15" spans="3:39" x14ac:dyDescent="0.25">
      <c r="C15" s="34" t="s">
        <v>8</v>
      </c>
      <c r="D15" s="17">
        <v>8.0904862500000008E-3</v>
      </c>
      <c r="E15" s="17">
        <v>8.0904862500000008E-3</v>
      </c>
      <c r="F15" s="17">
        <v>7.1098212500000004E-3</v>
      </c>
      <c r="G15" s="17">
        <v>6.3743224999999997E-3</v>
      </c>
      <c r="H15" s="17">
        <v>5.8839900000000004E-3</v>
      </c>
      <c r="I15" s="17">
        <v>4.6581587500000004E-3</v>
      </c>
      <c r="J15" s="17">
        <v>5.4426907499999996E-3</v>
      </c>
      <c r="K15" s="17">
        <v>7.6001537499999997E-3</v>
      </c>
      <c r="L15" s="17">
        <v>3.67749375E-3</v>
      </c>
      <c r="M15" s="17">
        <v>3.9226599999999997E-3</v>
      </c>
      <c r="N15" s="17">
        <v>4.4129924999999999E-3</v>
      </c>
      <c r="O15" s="17">
        <v>4.903325E-3</v>
      </c>
      <c r="Y15" s="17" t="str">
        <f>Y6</f>
        <v>ηc</v>
      </c>
      <c r="Z15" s="40">
        <f>Z10-Z6</f>
        <v>-3.8171056475155063E-2</v>
      </c>
      <c r="AA15" s="40">
        <f t="shared" ref="AA15:AE15" si="3">AA10-AA6</f>
        <v>-1.269833994916858E-2</v>
      </c>
      <c r="AB15" s="40">
        <f t="shared" si="3"/>
        <v>2.7876328750652157E-2</v>
      </c>
      <c r="AC15" s="40">
        <f t="shared" si="3"/>
        <v>3.9032026683970322E-2</v>
      </c>
      <c r="AD15" s="40">
        <f t="shared" si="3"/>
        <v>2.5072827606166692E-2</v>
      </c>
      <c r="AE15" s="40">
        <f t="shared" si="3"/>
        <v>2.6657917933237241E-2</v>
      </c>
      <c r="AH15" s="19"/>
      <c r="AI15" s="19"/>
      <c r="AJ15" s="19"/>
      <c r="AK15" s="19"/>
      <c r="AL15" s="19"/>
      <c r="AM15" s="19"/>
    </row>
    <row r="16" spans="3:39" x14ac:dyDescent="0.25">
      <c r="C16" s="34" t="s">
        <v>10</v>
      </c>
      <c r="D16" s="17">
        <v>12410</v>
      </c>
      <c r="E16" s="17">
        <v>12235</v>
      </c>
      <c r="F16" s="17">
        <v>12210</v>
      </c>
      <c r="G16" s="17">
        <v>11074</v>
      </c>
      <c r="H16" s="17">
        <v>12127.5</v>
      </c>
      <c r="I16" s="17">
        <v>12232.5</v>
      </c>
      <c r="J16" s="17">
        <v>12170</v>
      </c>
      <c r="K16" s="17">
        <v>12410</v>
      </c>
      <c r="L16" s="17">
        <v>12315</v>
      </c>
      <c r="M16" s="17">
        <v>12310</v>
      </c>
      <c r="N16" s="17">
        <v>12380</v>
      </c>
      <c r="O16" s="17">
        <v>12360</v>
      </c>
      <c r="Y16" s="17" t="str">
        <f t="shared" ref="Y16:Y17" si="4">Y7</f>
        <v>ηISt</v>
      </c>
      <c r="Z16" s="40">
        <f t="shared" ref="Z16:AE17" ca="1" si="5">Z11-Z7</f>
        <v>3.3122525710133188E-2</v>
      </c>
      <c r="AA16" s="40">
        <f t="shared" ca="1" si="5"/>
        <v>3.7211702231175869E-2</v>
      </c>
      <c r="AB16" s="40">
        <f t="shared" ca="1" si="5"/>
        <v>7.9061024075465225E-3</v>
      </c>
      <c r="AC16" s="40">
        <f t="shared" ca="1" si="5"/>
        <v>2.3911983169843554E-2</v>
      </c>
      <c r="AD16" s="40">
        <f t="shared" ca="1" si="5"/>
        <v>-7.8327323685114525E-3</v>
      </c>
      <c r="AE16" s="40">
        <f t="shared" ca="1" si="5"/>
        <v>-2.4297782090292652E-2</v>
      </c>
      <c r="AH16" s="19"/>
      <c r="AI16" s="19"/>
      <c r="AJ16" s="19"/>
      <c r="AK16" s="19"/>
      <c r="AL16" s="19"/>
      <c r="AM16" s="19"/>
    </row>
    <row r="17" spans="1:39" x14ac:dyDescent="0.25">
      <c r="C17" s="34" t="s">
        <v>12</v>
      </c>
      <c r="D17" s="17">
        <v>180</v>
      </c>
      <c r="E17" s="17">
        <v>152.5</v>
      </c>
      <c r="F17" s="17">
        <v>167.5</v>
      </c>
      <c r="G17" s="17">
        <v>135</v>
      </c>
      <c r="H17" s="17">
        <v>167.5</v>
      </c>
      <c r="I17" s="17">
        <v>170</v>
      </c>
      <c r="J17" s="17">
        <v>174</v>
      </c>
      <c r="K17" s="17">
        <v>182.5</v>
      </c>
      <c r="L17" s="17">
        <v>182.5</v>
      </c>
      <c r="M17" s="17">
        <v>170</v>
      </c>
      <c r="N17" s="17">
        <v>181.5</v>
      </c>
      <c r="O17" s="17">
        <v>176</v>
      </c>
      <c r="Y17" s="17" t="str">
        <f t="shared" si="4"/>
        <v>ηIStc</v>
      </c>
      <c r="Z17" s="40">
        <f t="shared" ca="1" si="5"/>
        <v>6.3148336995818677E-2</v>
      </c>
      <c r="AA17" s="40">
        <f t="shared" ca="1" si="5"/>
        <v>1.7514088437003306E-2</v>
      </c>
      <c r="AB17" s="40">
        <f t="shared" ca="1" si="5"/>
        <v>3.0942600601654213E-2</v>
      </c>
      <c r="AC17" s="40">
        <f t="shared" ca="1" si="5"/>
        <v>5.4240451489129704E-2</v>
      </c>
      <c r="AD17" s="40">
        <f t="shared" ca="1" si="5"/>
        <v>1.6014542340113125E-2</v>
      </c>
      <c r="AE17" s="40">
        <f t="shared" ca="1" si="5"/>
        <v>4.8768793794056187E-3</v>
      </c>
      <c r="AH17" s="19"/>
      <c r="AI17" s="19"/>
      <c r="AJ17" s="19"/>
      <c r="AK17" s="19"/>
      <c r="AL17" s="19"/>
      <c r="AM17" s="19"/>
    </row>
    <row r="18" spans="1:39" x14ac:dyDescent="0.25">
      <c r="C18" s="34" t="s">
        <v>13</v>
      </c>
      <c r="D18" s="17">
        <v>232.5</v>
      </c>
      <c r="E18" s="17">
        <v>215</v>
      </c>
      <c r="F18" s="17">
        <v>230</v>
      </c>
      <c r="G18" s="17">
        <v>232.5</v>
      </c>
      <c r="H18" s="17">
        <v>242.5</v>
      </c>
      <c r="I18" s="17">
        <v>230</v>
      </c>
      <c r="J18" s="17">
        <v>247.5</v>
      </c>
      <c r="K18" s="17">
        <v>256.5</v>
      </c>
      <c r="L18" s="17">
        <v>240.5</v>
      </c>
      <c r="M18" s="17">
        <v>252.5</v>
      </c>
      <c r="N18" s="17">
        <v>246.5</v>
      </c>
      <c r="O18" s="17">
        <v>235.5</v>
      </c>
    </row>
    <row r="19" spans="1:39" ht="18" x14ac:dyDescent="0.35">
      <c r="C19" s="34" t="s">
        <v>44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  <c r="K19" s="17">
        <v>0.95</v>
      </c>
      <c r="L19" s="17">
        <v>0.95</v>
      </c>
      <c r="M19" s="17">
        <v>0.95</v>
      </c>
      <c r="N19" s="17">
        <v>0.95</v>
      </c>
      <c r="O19" s="17">
        <v>0.95</v>
      </c>
    </row>
    <row r="20" spans="1:39" x14ac:dyDescent="0.25">
      <c r="C20" s="34" t="s">
        <v>54</v>
      </c>
      <c r="D20" s="48">
        <f>D10-D12</f>
        <v>0.26000000000000068</v>
      </c>
      <c r="E20" s="48">
        <f t="shared" ref="E20:O20" si="6">E10-E12</f>
        <v>0.19999999999999973</v>
      </c>
      <c r="F20" s="48">
        <f t="shared" si="6"/>
        <v>0.29999999999999982</v>
      </c>
      <c r="G20" s="51">
        <f t="shared" si="6"/>
        <v>0.44999999999999973</v>
      </c>
      <c r="H20" s="48">
        <f t="shared" si="6"/>
        <v>0.25</v>
      </c>
      <c r="I20" s="48">
        <f t="shared" si="6"/>
        <v>0.21999999999999975</v>
      </c>
      <c r="J20" s="48">
        <f t="shared" si="6"/>
        <v>0.20000000000000018</v>
      </c>
      <c r="K20" s="48">
        <f t="shared" si="6"/>
        <v>0.3400000000000003</v>
      </c>
      <c r="L20" s="48">
        <f t="shared" si="6"/>
        <v>0.33000000000000007</v>
      </c>
      <c r="M20" s="51">
        <f t="shared" si="6"/>
        <v>0.38999999999999968</v>
      </c>
      <c r="N20" s="48">
        <f t="shared" si="6"/>
        <v>0.33999999999999986</v>
      </c>
      <c r="O20" s="48">
        <f t="shared" si="6"/>
        <v>0.29999999999999982</v>
      </c>
    </row>
    <row r="21" spans="1:39" ht="18.75" x14ac:dyDescent="0.3">
      <c r="B21" s="21">
        <v>1</v>
      </c>
      <c r="C21" s="21" t="s">
        <v>15</v>
      </c>
      <c r="D21" s="19">
        <f t="shared" ref="D21:O21" ca="1" si="7">D20-FORECAST(D6,OFFSET(pscexh,MATCH(D6,load,1)-1,0,2),OFFSET(load,MATCH(D6,load,1)-1,0,2))</f>
        <v>5.4600000000000426E-2</v>
      </c>
      <c r="E21" s="19">
        <f t="shared" ca="1" si="7"/>
        <v>1.0999999999999538E-2</v>
      </c>
      <c r="F21" s="19">
        <f t="shared" ca="1" si="7"/>
        <v>0.10599999999999962</v>
      </c>
      <c r="G21" s="19">
        <f t="shared" ca="1" si="7"/>
        <v>0.28579999999999944</v>
      </c>
      <c r="H21" s="19">
        <f t="shared" ca="1" si="7"/>
        <v>5.7799999999999796E-2</v>
      </c>
      <c r="I21" s="19">
        <f t="shared" ca="1" si="7"/>
        <v>1.9999999999999518E-2</v>
      </c>
      <c r="J21" s="19">
        <f t="shared" ca="1" si="7"/>
        <v>5.9999999999999776E-3</v>
      </c>
      <c r="K21" s="19">
        <f t="shared" ca="1" si="7"/>
        <v>0.13820000000000005</v>
      </c>
      <c r="L21" s="19">
        <f t="shared" ca="1" si="7"/>
        <v>0.1301999999999999</v>
      </c>
      <c r="M21" s="19">
        <f t="shared" ca="1" si="7"/>
        <v>0.1909999999999995</v>
      </c>
      <c r="N21" s="19">
        <f t="shared" ca="1" si="7"/>
        <v>0.13519999999999965</v>
      </c>
      <c r="O21" s="19">
        <f t="shared" ca="1" si="7"/>
        <v>8.619999999999961E-2</v>
      </c>
      <c r="Z21" s="17">
        <v>5000</v>
      </c>
      <c r="AA21" s="17">
        <f>Z21+W2</f>
        <v>5000</v>
      </c>
    </row>
    <row r="22" spans="1:39" ht="18.75" x14ac:dyDescent="0.3">
      <c r="B22" s="21"/>
      <c r="C22" s="21" t="s">
        <v>29</v>
      </c>
      <c r="Z22" s="17">
        <v>2.5</v>
      </c>
      <c r="AA22" s="17">
        <f>Z22+Q2</f>
        <v>2.5</v>
      </c>
    </row>
    <row r="23" spans="1:39" x14ac:dyDescent="0.25">
      <c r="C23" s="17" t="s">
        <v>17</v>
      </c>
      <c r="D23" s="19">
        <f>D9/1000-D15</f>
        <v>1.0189095137499999</v>
      </c>
      <c r="E23" s="19">
        <f t="shared" ref="E23:H23" si="8">E9/1000-E15</f>
        <v>0.99590951375000003</v>
      </c>
      <c r="F23" s="19">
        <f t="shared" si="8"/>
        <v>1.0178901787499999</v>
      </c>
      <c r="G23" s="19">
        <f t="shared" si="8"/>
        <v>1.0176256775000001</v>
      </c>
      <c r="H23" s="19">
        <f t="shared" si="8"/>
        <v>1.01411601</v>
      </c>
      <c r="I23" s="19">
        <f>I9/1000-I15</f>
        <v>1.0263418412499998</v>
      </c>
      <c r="J23" s="19">
        <f>J9/1000-J15</f>
        <v>1.02455730925</v>
      </c>
      <c r="K23" s="19">
        <f t="shared" ref="K23:O23" si="9">K9/1000-K15</f>
        <v>1.0163998462500001</v>
      </c>
      <c r="L23" s="19">
        <f t="shared" si="9"/>
        <v>1.0243225062500001</v>
      </c>
      <c r="M23" s="19">
        <f t="shared" si="9"/>
        <v>1.0190773399999999</v>
      </c>
      <c r="N23" s="19">
        <f t="shared" si="9"/>
        <v>1.0225870074999999</v>
      </c>
      <c r="O23" s="19">
        <f t="shared" si="9"/>
        <v>1.030096675</v>
      </c>
      <c r="Z23" s="17">
        <f>Z21/Z22</f>
        <v>2000</v>
      </c>
      <c r="AA23" s="17">
        <f>AA21/AA22</f>
        <v>2000</v>
      </c>
      <c r="AB23" s="42">
        <f>(AA23-Z23)/Z23</f>
        <v>0</v>
      </c>
    </row>
    <row r="24" spans="1:39" x14ac:dyDescent="0.25">
      <c r="C24" s="17" t="s">
        <v>18</v>
      </c>
      <c r="D24" s="17">
        <f>D10+D14+$Q$2</f>
        <v>3.4465614837500005</v>
      </c>
      <c r="E24" s="17">
        <f t="shared" ref="E24:J24" si="10">E10+E14+$Q$2</f>
        <v>3.31307115125</v>
      </c>
      <c r="F24" s="17">
        <f t="shared" si="10"/>
        <v>3.3362776474999998</v>
      </c>
      <c r="G24" s="17">
        <f t="shared" si="10"/>
        <v>2.9394454737499998</v>
      </c>
      <c r="H24" s="17">
        <f t="shared" si="10"/>
        <v>3.178825985</v>
      </c>
      <c r="I24" s="17">
        <f t="shared" si="10"/>
        <v>3.3600711512500001</v>
      </c>
      <c r="J24" s="17">
        <f t="shared" si="10"/>
        <v>3.2385808187500005</v>
      </c>
      <c r="K24" s="17">
        <f t="shared" ref="K24:O24" si="11">K10+K14+$Q$2</f>
        <v>3.2725808187500003</v>
      </c>
      <c r="L24" s="17">
        <f t="shared" si="11"/>
        <v>3.3668259850000002</v>
      </c>
      <c r="M24" s="17">
        <f t="shared" si="11"/>
        <v>3.3218259849999998</v>
      </c>
      <c r="N24" s="17">
        <f t="shared" si="11"/>
        <v>3.3760711512500001</v>
      </c>
      <c r="O24" s="17">
        <f t="shared" si="11"/>
        <v>3.4526519699999998</v>
      </c>
    </row>
    <row r="25" spans="1:39" x14ac:dyDescent="0.25">
      <c r="C25" s="17" t="s">
        <v>24</v>
      </c>
      <c r="D25" s="19">
        <f>D8+273.15+$W$3</f>
        <v>304.14999999999998</v>
      </c>
      <c r="E25" s="19">
        <f t="shared" ref="E25:J25" si="12">E8+273.15+$W$3</f>
        <v>291.14999999999998</v>
      </c>
      <c r="F25" s="19">
        <f t="shared" si="12"/>
        <v>304.14999999999998</v>
      </c>
      <c r="G25" s="19">
        <f t="shared" si="12"/>
        <v>297.14999999999998</v>
      </c>
      <c r="H25" s="19">
        <f t="shared" si="12"/>
        <v>315.14999999999998</v>
      </c>
      <c r="I25" s="19">
        <f t="shared" si="12"/>
        <v>301.14999999999998</v>
      </c>
      <c r="J25" s="19">
        <f t="shared" si="12"/>
        <v>308.14999999999998</v>
      </c>
      <c r="K25" s="19">
        <f t="shared" ref="K25:O25" si="13">K8+273.15+$W$3</f>
        <v>309.14999999999998</v>
      </c>
      <c r="L25" s="19">
        <f t="shared" si="13"/>
        <v>309.14999999999998</v>
      </c>
      <c r="M25" s="19">
        <f t="shared" si="13"/>
        <v>313.14999999999998</v>
      </c>
      <c r="N25" s="19">
        <f t="shared" si="13"/>
        <v>309.14999999999998</v>
      </c>
      <c r="O25" s="19">
        <f t="shared" si="13"/>
        <v>306.14999999999998</v>
      </c>
    </row>
    <row r="26" spans="1:39" x14ac:dyDescent="0.25">
      <c r="C26" s="17" t="s">
        <v>16</v>
      </c>
      <c r="D26" s="17">
        <f t="shared" ref="D26:J26" si="14">D24/D23</f>
        <v>3.382598196639913</v>
      </c>
      <c r="E26" s="17">
        <f t="shared" si="14"/>
        <v>3.3266788854892591</v>
      </c>
      <c r="F26" s="17">
        <f t="shared" si="14"/>
        <v>3.2776400805802552</v>
      </c>
      <c r="G26" s="17">
        <f t="shared" si="14"/>
        <v>2.8885331205196514</v>
      </c>
      <c r="H26" s="17">
        <f t="shared" si="14"/>
        <v>3.1345782471179016</v>
      </c>
      <c r="I26" s="17">
        <f t="shared" si="14"/>
        <v>3.2738323784575618</v>
      </c>
      <c r="J26" s="17">
        <f t="shared" si="14"/>
        <v>3.1609562388664405</v>
      </c>
      <c r="K26" s="17">
        <f t="shared" ref="K26:O26" si="15">K24/K23</f>
        <v>3.2197769714587849</v>
      </c>
      <c r="L26" s="17">
        <f t="shared" si="15"/>
        <v>3.2868808060518</v>
      </c>
      <c r="M26" s="17">
        <f t="shared" si="15"/>
        <v>3.2596407108806873</v>
      </c>
      <c r="N26" s="17">
        <f t="shared" si="15"/>
        <v>3.3015001427641359</v>
      </c>
      <c r="O26" s="17">
        <f t="shared" si="15"/>
        <v>3.3517746962924617</v>
      </c>
    </row>
    <row r="27" spans="1:39" x14ac:dyDescent="0.25">
      <c r="C27" s="17" t="s">
        <v>27</v>
      </c>
      <c r="D27" s="20">
        <f>D26^$I$2-1</f>
        <v>0.41649290554621787</v>
      </c>
      <c r="E27" s="20">
        <f t="shared" ref="E27:J27" si="16">E26^$I$2-1</f>
        <v>0.40976253944901053</v>
      </c>
      <c r="F27" s="20">
        <f t="shared" si="16"/>
        <v>0.40379346922193515</v>
      </c>
      <c r="G27" s="20">
        <f t="shared" si="16"/>
        <v>0.35401071281183327</v>
      </c>
      <c r="H27" s="20">
        <f t="shared" si="16"/>
        <v>0.38600712085978151</v>
      </c>
      <c r="I27" s="20">
        <f t="shared" si="16"/>
        <v>0.40332732838797702</v>
      </c>
      <c r="J27" s="20">
        <f t="shared" si="16"/>
        <v>0.3893295757150721</v>
      </c>
      <c r="K27" s="20">
        <f t="shared" ref="K27:O27" si="17">K26^$I$2-1</f>
        <v>0.39666767833438987</v>
      </c>
      <c r="L27" s="20">
        <f t="shared" si="17"/>
        <v>0.40492311731031694</v>
      </c>
      <c r="M27" s="20">
        <f t="shared" si="17"/>
        <v>0.40158655820732525</v>
      </c>
      <c r="N27" s="20">
        <f t="shared" si="17"/>
        <v>0.40670565842571493</v>
      </c>
      <c r="O27" s="20">
        <f t="shared" si="17"/>
        <v>0.41279295120093984</v>
      </c>
    </row>
    <row r="28" spans="1:39" x14ac:dyDescent="0.25">
      <c r="C28" s="17" t="s">
        <v>28</v>
      </c>
      <c r="D28" s="17">
        <f t="shared" ref="D28:O28" si="18">(PI()*$D$3*(D16+$W$2))^2</f>
        <v>810007478.59114099</v>
      </c>
      <c r="E28" s="17">
        <f t="shared" si="18"/>
        <v>787323859.97479057</v>
      </c>
      <c r="F28" s="17">
        <f t="shared" si="18"/>
        <v>784109640.59052444</v>
      </c>
      <c r="G28" s="17">
        <f t="shared" si="18"/>
        <v>644992261.35266399</v>
      </c>
      <c r="H28" s="17">
        <f t="shared" si="18"/>
        <v>773549361.9211396</v>
      </c>
      <c r="I28" s="17">
        <f t="shared" si="18"/>
        <v>787002142.18880355</v>
      </c>
      <c r="J28" s="17">
        <f t="shared" si="18"/>
        <v>778980564.30738032</v>
      </c>
      <c r="K28" s="17">
        <f t="shared" si="18"/>
        <v>810007478.59114099</v>
      </c>
      <c r="L28" s="17">
        <f t="shared" si="18"/>
        <v>797653541.90679944</v>
      </c>
      <c r="M28" s="17">
        <f t="shared" si="18"/>
        <v>797005964.46897924</v>
      </c>
      <c r="N28" s="17">
        <f t="shared" si="18"/>
        <v>806095979.37890327</v>
      </c>
      <c r="O28" s="17">
        <f t="shared" si="18"/>
        <v>803493572.74959683</v>
      </c>
    </row>
    <row r="29" spans="1:39" x14ac:dyDescent="0.25">
      <c r="C29" s="17" t="s">
        <v>49</v>
      </c>
      <c r="D29" s="18">
        <f t="shared" ref="D29:J29" si="19">(3614400*D25*D27)/($D$2*D28)</f>
        <v>0.7850731372998011</v>
      </c>
      <c r="E29" s="18">
        <f t="shared" si="19"/>
        <v>0.76067536437837002</v>
      </c>
      <c r="F29" s="18">
        <f t="shared" si="19"/>
        <v>0.78627421737631087</v>
      </c>
      <c r="G29" s="18">
        <f t="shared" si="19"/>
        <v>0.81873122185831149</v>
      </c>
      <c r="H29" s="18">
        <f t="shared" si="19"/>
        <v>0.7894566961582431</v>
      </c>
      <c r="I29" s="18">
        <f t="shared" si="19"/>
        <v>0.77476201465382977</v>
      </c>
      <c r="J29" s="18">
        <f t="shared" si="19"/>
        <v>0.77313736639067443</v>
      </c>
      <c r="K29" s="18">
        <f t="shared" ref="K29:O29" si="20">(3614400*K25*K27)/($D$2*K28)</f>
        <v>0.75999503252889788</v>
      </c>
      <c r="L29" s="18">
        <f t="shared" si="20"/>
        <v>0.78782769109822137</v>
      </c>
      <c r="M29" s="18">
        <f t="shared" si="20"/>
        <v>0.79208853919655109</v>
      </c>
      <c r="N29" s="18">
        <f t="shared" si="20"/>
        <v>0.78300841183194958</v>
      </c>
      <c r="O29" s="18">
        <f t="shared" si="20"/>
        <v>0.78956492348788399</v>
      </c>
    </row>
    <row r="30" spans="1:39" x14ac:dyDescent="0.25">
      <c r="C30" s="17" t="s">
        <v>30</v>
      </c>
      <c r="D30" s="18">
        <f>D29/$U$2</f>
        <v>0.87230348588866791</v>
      </c>
      <c r="E30" s="18">
        <f t="shared" ref="E30:J30" si="21">E29/$U$2</f>
        <v>0.8451948493093</v>
      </c>
      <c r="F30" s="18">
        <f t="shared" si="21"/>
        <v>0.87363801930701201</v>
      </c>
      <c r="G30" s="18">
        <f t="shared" si="21"/>
        <v>0.9097013576203461</v>
      </c>
      <c r="H30" s="18">
        <f t="shared" si="21"/>
        <v>0.87717410684249231</v>
      </c>
      <c r="I30" s="18">
        <f t="shared" si="21"/>
        <v>0.8608466829486997</v>
      </c>
      <c r="J30" s="18">
        <f t="shared" si="21"/>
        <v>0.85904151821186048</v>
      </c>
      <c r="K30" s="18">
        <f t="shared" ref="K30:O30" si="22">K29/$U$2</f>
        <v>0.84443892503210871</v>
      </c>
      <c r="L30" s="18">
        <f t="shared" si="22"/>
        <v>0.87536410122024599</v>
      </c>
      <c r="M30" s="18">
        <f t="shared" si="22"/>
        <v>0.88009837688505677</v>
      </c>
      <c r="N30" s="18">
        <f t="shared" si="22"/>
        <v>0.87000934647994399</v>
      </c>
      <c r="O30" s="18">
        <f t="shared" si="22"/>
        <v>0.87729435943098222</v>
      </c>
    </row>
    <row r="31" spans="1:39" ht="18.75" x14ac:dyDescent="0.3">
      <c r="C31" s="21" t="s">
        <v>33</v>
      </c>
    </row>
    <row r="32" spans="1:39" x14ac:dyDescent="0.25">
      <c r="A32" s="17" t="s">
        <v>30</v>
      </c>
      <c r="C32" s="17" t="s">
        <v>23</v>
      </c>
      <c r="D32" s="17">
        <f t="shared" ref="D32:J32" si="23">D12+$S$2</f>
        <v>3.1769999999999996</v>
      </c>
      <c r="E32" s="17">
        <f t="shared" si="23"/>
        <v>3.1040000000000001</v>
      </c>
      <c r="F32" s="17">
        <f t="shared" si="23"/>
        <v>3.0249999999999999</v>
      </c>
      <c r="G32" s="17">
        <f t="shared" si="23"/>
        <v>2.4740000000000002</v>
      </c>
      <c r="H32" s="17">
        <f t="shared" si="23"/>
        <v>2.92</v>
      </c>
      <c r="I32" s="17">
        <f t="shared" si="23"/>
        <v>3.1310000000000002</v>
      </c>
      <c r="J32" s="17">
        <f t="shared" si="23"/>
        <v>3.0300000000000002</v>
      </c>
      <c r="K32" s="17">
        <f t="shared" ref="K32:O32" si="24">K12+$S$2</f>
        <v>2.9239999999999999</v>
      </c>
      <c r="L32" s="17">
        <f t="shared" si="24"/>
        <v>3.028</v>
      </c>
      <c r="M32" s="17">
        <f t="shared" si="24"/>
        <v>2.923</v>
      </c>
      <c r="N32" s="17">
        <f t="shared" si="24"/>
        <v>3.0270000000000001</v>
      </c>
      <c r="O32" s="17">
        <f t="shared" si="24"/>
        <v>3.1349999999999998</v>
      </c>
    </row>
    <row r="33" spans="2:15" x14ac:dyDescent="0.25">
      <c r="C33" s="17" t="s">
        <v>31</v>
      </c>
      <c r="D33" s="17">
        <f ca="1">D9/1000+D13</f>
        <v>1.0352571992999999</v>
      </c>
      <c r="E33" s="17">
        <f t="shared" ref="E33:J33" ca="1" si="25">E9/1000+E13</f>
        <v>1.0109823348</v>
      </c>
      <c r="F33" s="17">
        <f t="shared" ca="1" si="25"/>
        <v>1.0323746007999999</v>
      </c>
      <c r="G33" s="17">
        <f t="shared" ca="1" si="25"/>
        <v>1.0290366954400001</v>
      </c>
      <c r="H33" s="17">
        <f t="shared" ca="1" si="25"/>
        <v>1.0272333850399999</v>
      </c>
      <c r="I33" s="17">
        <f t="shared" ca="1" si="25"/>
        <v>1.0388453199999998</v>
      </c>
      <c r="J33" s="17">
        <f t="shared" ca="1" si="25"/>
        <v>1.0373746008</v>
      </c>
      <c r="K33" s="17">
        <f t="shared" ref="K33:O33" ca="1" si="26">K9/1000+K13</f>
        <v>1.0319826131000001</v>
      </c>
      <c r="L33" s="17">
        <f t="shared" ca="1" si="26"/>
        <v>1.03582962936</v>
      </c>
      <c r="M33" s="17">
        <f t="shared" ca="1" si="26"/>
        <v>1.0307668667999998</v>
      </c>
      <c r="N33" s="17">
        <f t="shared" ca="1" si="26"/>
        <v>1.0352114349333332</v>
      </c>
      <c r="O33" s="17">
        <f t="shared" ca="1" si="26"/>
        <v>1.0438979004333333</v>
      </c>
    </row>
    <row r="34" spans="2:15" x14ac:dyDescent="0.25">
      <c r="C34" s="17" t="s">
        <v>32</v>
      </c>
      <c r="D34" s="17">
        <f>D11+273.15+$Q$3</f>
        <v>650.65</v>
      </c>
      <c r="E34" s="17">
        <f t="shared" ref="E34:J34" si="27">E11+273.15+$Q$3</f>
        <v>623.15</v>
      </c>
      <c r="F34" s="17">
        <f t="shared" si="27"/>
        <v>638.15</v>
      </c>
      <c r="G34" s="17">
        <f t="shared" si="27"/>
        <v>615.65</v>
      </c>
      <c r="H34" s="17">
        <f t="shared" si="27"/>
        <v>658.15</v>
      </c>
      <c r="I34" s="17">
        <f t="shared" si="27"/>
        <v>648.15</v>
      </c>
      <c r="J34" s="17">
        <f t="shared" si="27"/>
        <v>668.15</v>
      </c>
      <c r="K34" s="17">
        <f t="shared" ref="K34:O34" si="28">K11+273.15+$Q$3</f>
        <v>670.65</v>
      </c>
      <c r="L34" s="17">
        <f t="shared" si="28"/>
        <v>661.65</v>
      </c>
      <c r="M34" s="17">
        <f t="shared" si="28"/>
        <v>674.15</v>
      </c>
      <c r="N34" s="17">
        <f t="shared" si="28"/>
        <v>667.65</v>
      </c>
      <c r="O34" s="17">
        <f t="shared" si="28"/>
        <v>648.15</v>
      </c>
    </row>
    <row r="35" spans="2:15" x14ac:dyDescent="0.25">
      <c r="C35" s="17" t="s">
        <v>26</v>
      </c>
      <c r="D35" s="17">
        <f t="shared" ref="D35:J35" ca="1" si="29">D32/D33</f>
        <v>3.0688026146045271</v>
      </c>
      <c r="E35" s="17">
        <f t="shared" ca="1" si="29"/>
        <v>3.0702811445405289</v>
      </c>
      <c r="F35" s="17">
        <f t="shared" ca="1" si="29"/>
        <v>2.9301379534675589</v>
      </c>
      <c r="G35" s="17">
        <f t="shared" ca="1" si="29"/>
        <v>2.4041902596507079</v>
      </c>
      <c r="H35" s="17">
        <f t="shared" ca="1" si="29"/>
        <v>2.8425867407787733</v>
      </c>
      <c r="I35" s="17">
        <f t="shared" ca="1" si="29"/>
        <v>3.0139231892578584</v>
      </c>
      <c r="J35" s="17">
        <f t="shared" ca="1" si="29"/>
        <v>2.9208349593901106</v>
      </c>
      <c r="K35" s="17">
        <f t="shared" ref="K35:O35" ca="1" si="30">K32/K33</f>
        <v>2.833381069489648</v>
      </c>
      <c r="L35" s="17">
        <f t="shared" ca="1" si="30"/>
        <v>2.9232606542360511</v>
      </c>
      <c r="M35" s="17">
        <f t="shared" ca="1" si="30"/>
        <v>2.8357527721805895</v>
      </c>
      <c r="N35" s="17">
        <f t="shared" ca="1" si="30"/>
        <v>2.9240403436955238</v>
      </c>
      <c r="O35" s="17">
        <f t="shared" ca="1" si="30"/>
        <v>3.0031672625250301</v>
      </c>
    </row>
    <row r="36" spans="2:15" x14ac:dyDescent="0.25">
      <c r="C36" s="17" t="s">
        <v>39</v>
      </c>
      <c r="D36" s="20">
        <f t="shared" ref="D36:J36" ca="1" si="31">1-(D35)^-$I$3</f>
        <v>0.25681582581462636</v>
      </c>
      <c r="E36" s="20">
        <f t="shared" ca="1" si="31"/>
        <v>0.25691057793255057</v>
      </c>
      <c r="F36" s="20">
        <f t="shared" ca="1" si="31"/>
        <v>0.24766376037140458</v>
      </c>
      <c r="G36" s="20">
        <f t="shared" ca="1" si="31"/>
        <v>0.20721521101764173</v>
      </c>
      <c r="H36" s="20">
        <f t="shared" ca="1" si="31"/>
        <v>0.24159828251595317</v>
      </c>
      <c r="I36" s="20">
        <f t="shared" ca="1" si="31"/>
        <v>0.25325745852204262</v>
      </c>
      <c r="J36" s="20">
        <f t="shared" ca="1" si="31"/>
        <v>0.24703020672936726</v>
      </c>
      <c r="K36" s="20">
        <f t="shared" ref="K36:O36" ca="1" si="32">1-(K35)^-$I$3</f>
        <v>0.24094681122774797</v>
      </c>
      <c r="L36" s="20">
        <f t="shared" ca="1" si="32"/>
        <v>0.24719564740856259</v>
      </c>
      <c r="M36" s="20">
        <f t="shared" ca="1" si="32"/>
        <v>0.24111490873193275</v>
      </c>
      <c r="N36" s="20">
        <f t="shared" ca="1" si="32"/>
        <v>0.24724878802597305</v>
      </c>
      <c r="O36" s="20">
        <f t="shared" ca="1" si="32"/>
        <v>0.25255043843194214</v>
      </c>
    </row>
    <row r="37" spans="2:15" x14ac:dyDescent="0.25">
      <c r="C37" s="17" t="s">
        <v>34</v>
      </c>
      <c r="D37" s="18">
        <f t="shared" ref="D37:J37" ca="1" si="33" xml:space="preserve"> (0.9055*D25*D27)/(D34*D36)</f>
        <v>0.68645910002744814</v>
      </c>
      <c r="E37" s="18">
        <f t="shared" ca="1" si="33"/>
        <v>0.67478110987267537</v>
      </c>
      <c r="F37" s="18">
        <f t="shared" ca="1" si="33"/>
        <v>0.70363969187897268</v>
      </c>
      <c r="G37" s="18">
        <f t="shared" ca="1" si="33"/>
        <v>0.74666376783931154</v>
      </c>
      <c r="H37" s="18">
        <f t="shared" ca="1" si="33"/>
        <v>0.69275928328781977</v>
      </c>
      <c r="I37" s="18">
        <f t="shared" ca="1" si="33"/>
        <v>0.67002530033582952</v>
      </c>
      <c r="J37" s="18">
        <f t="shared" ca="1" si="33"/>
        <v>0.65817895021244754</v>
      </c>
      <c r="K37" s="18">
        <f t="shared" ref="K37:O37" ca="1" si="34" xml:space="preserve"> (0.9055*K25*K27)/(K34*K36)</f>
        <v>0.6871750896810136</v>
      </c>
      <c r="L37" s="18">
        <f t="shared" ca="1" si="34"/>
        <v>0.6930445310779374</v>
      </c>
      <c r="M37" s="18">
        <f t="shared" ca="1" si="34"/>
        <v>0.7005504799051403</v>
      </c>
      <c r="N37" s="18">
        <f t="shared" ca="1" si="34"/>
        <v>0.68969153462151489</v>
      </c>
      <c r="O37" s="18">
        <f t="shared" ca="1" si="34"/>
        <v>0.69908718155482363</v>
      </c>
    </row>
    <row r="39" spans="2:15" ht="18.75" x14ac:dyDescent="0.3">
      <c r="C39" s="21" t="s">
        <v>35</v>
      </c>
    </row>
    <row r="40" spans="2:15" x14ac:dyDescent="0.25">
      <c r="C40" s="17" t="s">
        <v>36</v>
      </c>
      <c r="D40" s="22">
        <f ca="1">D37/D29</f>
        <v>0.87438872560137726</v>
      </c>
      <c r="E40" s="22">
        <f t="shared" ref="E40:J40" ca="1" si="35">E37/E29</f>
        <v>0.88708158758909184</v>
      </c>
      <c r="F40" s="22">
        <f t="shared" ca="1" si="35"/>
        <v>0.89490368160222999</v>
      </c>
      <c r="G40" s="22">
        <f t="shared" ca="1" si="35"/>
        <v>0.91197666328709781</v>
      </c>
      <c r="H40" s="22">
        <f t="shared" ca="1" si="35"/>
        <v>0.8775139746853946</v>
      </c>
      <c r="I40" s="22">
        <f t="shared" ca="1" si="35"/>
        <v>0.86481433996890322</v>
      </c>
      <c r="J40" s="22">
        <f t="shared" ca="1" si="35"/>
        <v>0.85130919655985537</v>
      </c>
      <c r="K40" s="22">
        <f t="shared" ref="K40:O40" ca="1" si="36">K37/K29</f>
        <v>0.90418365945685919</v>
      </c>
      <c r="L40" s="22">
        <f t="shared" ca="1" si="36"/>
        <v>0.87969049439204461</v>
      </c>
      <c r="M40" s="22">
        <f t="shared" ca="1" si="36"/>
        <v>0.88443456159047351</v>
      </c>
      <c r="N40" s="22">
        <f t="shared" ca="1" si="36"/>
        <v>0.88082263766220881</v>
      </c>
      <c r="O40" s="22">
        <f t="shared" ca="1" si="36"/>
        <v>0.88540810357509658</v>
      </c>
    </row>
    <row r="41" spans="2:15" ht="15.75" thickBot="1" x14ac:dyDescent="0.3">
      <c r="C41" s="17" t="s">
        <v>47</v>
      </c>
      <c r="D41" s="22">
        <f ca="1">D37/D30</f>
        <v>0.78694985304123954</v>
      </c>
      <c r="E41" s="17">
        <f t="shared" ref="E41:J41" ca="1" si="37">E37/E30</f>
        <v>0.7983734288301827</v>
      </c>
      <c r="F41" s="17">
        <f t="shared" ca="1" si="37"/>
        <v>0.80541331344200706</v>
      </c>
      <c r="G41" s="17">
        <f t="shared" ca="1" si="37"/>
        <v>0.82077899695838807</v>
      </c>
      <c r="H41" s="17">
        <f t="shared" ca="1" si="37"/>
        <v>0.78976257721685517</v>
      </c>
      <c r="I41" s="17">
        <f t="shared" ca="1" si="37"/>
        <v>0.77833290597201299</v>
      </c>
      <c r="J41" s="17">
        <f t="shared" ca="1" si="37"/>
        <v>0.76617827690386975</v>
      </c>
      <c r="K41" s="17">
        <f t="shared" ref="K41:O41" ca="1" si="38">K37/K30</f>
        <v>0.81376529351117333</v>
      </c>
      <c r="L41" s="17">
        <f t="shared" ca="1" si="38"/>
        <v>0.79172144495284014</v>
      </c>
      <c r="M41" s="17">
        <f t="shared" ca="1" si="38"/>
        <v>0.79599110543142626</v>
      </c>
      <c r="N41" s="17">
        <f t="shared" ca="1" si="38"/>
        <v>0.79274037389598795</v>
      </c>
      <c r="O41" s="17">
        <f t="shared" ca="1" si="38"/>
        <v>0.79686729321758698</v>
      </c>
    </row>
    <row r="42" spans="2:15" ht="15.75" x14ac:dyDescent="0.25">
      <c r="C42" s="23" t="str">
        <f t="shared" ref="C42:J42" si="39">C29</f>
        <v>ηc</v>
      </c>
      <c r="D42" s="24">
        <f t="shared" si="39"/>
        <v>0.7850731372998011</v>
      </c>
      <c r="E42" s="24">
        <f t="shared" si="39"/>
        <v>0.76067536437837002</v>
      </c>
      <c r="F42" s="24">
        <f t="shared" si="39"/>
        <v>0.78627421737631087</v>
      </c>
      <c r="G42" s="24">
        <f t="shared" si="39"/>
        <v>0.81873122185831149</v>
      </c>
      <c r="H42" s="24">
        <f t="shared" si="39"/>
        <v>0.7894566961582431</v>
      </c>
      <c r="I42" s="24">
        <f t="shared" si="39"/>
        <v>0.77476201465382977</v>
      </c>
      <c r="J42" s="45">
        <f t="shared" si="39"/>
        <v>0.77313736639067443</v>
      </c>
      <c r="K42" s="45">
        <f t="shared" ref="K42:O42" si="40">K29</f>
        <v>0.75999503252889788</v>
      </c>
      <c r="L42" s="45">
        <f t="shared" si="40"/>
        <v>0.78782769109822137</v>
      </c>
      <c r="M42" s="45">
        <f t="shared" si="40"/>
        <v>0.79208853919655109</v>
      </c>
      <c r="N42" s="45">
        <f t="shared" si="40"/>
        <v>0.78300841183194958</v>
      </c>
      <c r="O42" s="45">
        <f t="shared" si="40"/>
        <v>0.78956492348788399</v>
      </c>
    </row>
    <row r="43" spans="2:15" ht="15.75" x14ac:dyDescent="0.25">
      <c r="C43" s="26" t="str">
        <f>C40</f>
        <v>ηISt</v>
      </c>
      <c r="D43" s="27">
        <f t="shared" ref="D43:J43" ca="1" si="41">D40</f>
        <v>0.87438872560137726</v>
      </c>
      <c r="E43" s="27">
        <f t="shared" ca="1" si="41"/>
        <v>0.88708158758909184</v>
      </c>
      <c r="F43" s="27">
        <f t="shared" ca="1" si="41"/>
        <v>0.89490368160222999</v>
      </c>
      <c r="G43" s="27">
        <f t="shared" ca="1" si="41"/>
        <v>0.91197666328709781</v>
      </c>
      <c r="H43" s="27">
        <f t="shared" ca="1" si="41"/>
        <v>0.8775139746853946</v>
      </c>
      <c r="I43" s="27">
        <f t="shared" ca="1" si="41"/>
        <v>0.86481433996890322</v>
      </c>
      <c r="J43" s="46">
        <f t="shared" ca="1" si="41"/>
        <v>0.85130919655985537</v>
      </c>
      <c r="K43" s="46">
        <f t="shared" ref="K43:O43" ca="1" si="42">K40</f>
        <v>0.90418365945685919</v>
      </c>
      <c r="L43" s="46">
        <f t="shared" ca="1" si="42"/>
        <v>0.87969049439204461</v>
      </c>
      <c r="M43" s="46">
        <f t="shared" ca="1" si="42"/>
        <v>0.88443456159047351</v>
      </c>
      <c r="N43" s="46">
        <f t="shared" ca="1" si="42"/>
        <v>0.88082263766220881</v>
      </c>
      <c r="O43" s="46">
        <f t="shared" ca="1" si="42"/>
        <v>0.88540810357509658</v>
      </c>
    </row>
    <row r="44" spans="2:15" ht="16.5" thickBot="1" x14ac:dyDescent="0.3">
      <c r="C44" s="29" t="str">
        <f>C37</f>
        <v>ηIStc</v>
      </c>
      <c r="D44" s="30">
        <f t="shared" ref="D44:J44" ca="1" si="43">D37</f>
        <v>0.68645910002744814</v>
      </c>
      <c r="E44" s="30">
        <f t="shared" ca="1" si="43"/>
        <v>0.67478110987267537</v>
      </c>
      <c r="F44" s="30">
        <f t="shared" ca="1" si="43"/>
        <v>0.70363969187897268</v>
      </c>
      <c r="G44" s="30">
        <f t="shared" ca="1" si="43"/>
        <v>0.74666376783931154</v>
      </c>
      <c r="H44" s="30">
        <f t="shared" ca="1" si="43"/>
        <v>0.69275928328781977</v>
      </c>
      <c r="I44" s="30">
        <f t="shared" ca="1" si="43"/>
        <v>0.67002530033582952</v>
      </c>
      <c r="J44" s="47">
        <f t="shared" ca="1" si="43"/>
        <v>0.65817895021244754</v>
      </c>
      <c r="K44" s="47">
        <f t="shared" ref="K44:O44" ca="1" si="44">K37</f>
        <v>0.6871750896810136</v>
      </c>
      <c r="L44" s="47">
        <f t="shared" ca="1" si="44"/>
        <v>0.6930445310779374</v>
      </c>
      <c r="M44" s="47">
        <f t="shared" ca="1" si="44"/>
        <v>0.7005504799051403</v>
      </c>
      <c r="N44" s="47">
        <f t="shared" ca="1" si="44"/>
        <v>0.68969153462151489</v>
      </c>
      <c r="O44" s="47">
        <f t="shared" ca="1" si="44"/>
        <v>0.69908718155482363</v>
      </c>
    </row>
    <row r="46" spans="2:15" ht="18.75" x14ac:dyDescent="0.3">
      <c r="B46" s="21">
        <v>2</v>
      </c>
      <c r="C46" s="21" t="s">
        <v>37</v>
      </c>
    </row>
    <row r="47" spans="2:15" ht="18.75" x14ac:dyDescent="0.3">
      <c r="C47" s="21" t="s">
        <v>29</v>
      </c>
    </row>
    <row r="48" spans="2:15" x14ac:dyDescent="0.25">
      <c r="C48" s="17" t="str">
        <f t="shared" ref="C48:J50" si="45">C23</f>
        <v>p1</v>
      </c>
      <c r="D48" s="17">
        <f t="shared" si="45"/>
        <v>1.0189095137499999</v>
      </c>
      <c r="E48" s="17">
        <f t="shared" si="45"/>
        <v>0.99590951375000003</v>
      </c>
      <c r="F48" s="17">
        <f t="shared" si="45"/>
        <v>1.0178901787499999</v>
      </c>
      <c r="G48" s="17">
        <f t="shared" si="45"/>
        <v>1.0176256775000001</v>
      </c>
      <c r="H48" s="17">
        <f t="shared" si="45"/>
        <v>1.01411601</v>
      </c>
      <c r="I48" s="17">
        <f t="shared" si="45"/>
        <v>1.0263418412499998</v>
      </c>
      <c r="J48" s="17">
        <f t="shared" si="45"/>
        <v>1.02455730925</v>
      </c>
      <c r="K48" s="17">
        <f t="shared" ref="K48:O48" si="46">K23</f>
        <v>1.0163998462500001</v>
      </c>
      <c r="L48" s="17">
        <f t="shared" si="46"/>
        <v>1.0243225062500001</v>
      </c>
      <c r="M48" s="17">
        <f t="shared" si="46"/>
        <v>1.0190773399999999</v>
      </c>
      <c r="N48" s="17">
        <f t="shared" si="46"/>
        <v>1.0225870074999999</v>
      </c>
      <c r="O48" s="17">
        <f t="shared" si="46"/>
        <v>1.030096675</v>
      </c>
    </row>
    <row r="49" spans="3:15" x14ac:dyDescent="0.25">
      <c r="C49" s="17" t="str">
        <f t="shared" si="45"/>
        <v>p2</v>
      </c>
      <c r="D49" s="17">
        <f t="shared" si="45"/>
        <v>3.4465614837500005</v>
      </c>
      <c r="E49" s="17">
        <f t="shared" si="45"/>
        <v>3.31307115125</v>
      </c>
      <c r="F49" s="17">
        <f t="shared" si="45"/>
        <v>3.3362776474999998</v>
      </c>
      <c r="G49" s="17">
        <f t="shared" si="45"/>
        <v>2.9394454737499998</v>
      </c>
      <c r="H49" s="17">
        <f t="shared" si="45"/>
        <v>3.178825985</v>
      </c>
      <c r="I49" s="17">
        <f t="shared" si="45"/>
        <v>3.3600711512500001</v>
      </c>
      <c r="J49" s="17">
        <f t="shared" si="45"/>
        <v>3.2385808187500005</v>
      </c>
      <c r="K49" s="17">
        <f t="shared" ref="K49:O49" si="47">K24</f>
        <v>3.2725808187500003</v>
      </c>
      <c r="L49" s="17">
        <f t="shared" si="47"/>
        <v>3.3668259850000002</v>
      </c>
      <c r="M49" s="17">
        <f t="shared" si="47"/>
        <v>3.3218259849999998</v>
      </c>
      <c r="N49" s="17">
        <f t="shared" si="47"/>
        <v>3.3760711512500001</v>
      </c>
      <c r="O49" s="17">
        <f t="shared" si="47"/>
        <v>3.4526519699999998</v>
      </c>
    </row>
    <row r="50" spans="3:15" x14ac:dyDescent="0.25">
      <c r="C50" s="17" t="str">
        <f t="shared" si="45"/>
        <v>T1</v>
      </c>
      <c r="D50" s="17">
        <f t="shared" si="45"/>
        <v>304.14999999999998</v>
      </c>
      <c r="E50" s="17">
        <f t="shared" si="45"/>
        <v>291.14999999999998</v>
      </c>
      <c r="F50" s="17">
        <f t="shared" si="45"/>
        <v>304.14999999999998</v>
      </c>
      <c r="G50" s="17">
        <f t="shared" si="45"/>
        <v>297.14999999999998</v>
      </c>
      <c r="H50" s="17">
        <f t="shared" si="45"/>
        <v>315.14999999999998</v>
      </c>
      <c r="I50" s="17">
        <f t="shared" si="45"/>
        <v>301.14999999999998</v>
      </c>
      <c r="J50" s="17">
        <f t="shared" si="45"/>
        <v>308.14999999999998</v>
      </c>
      <c r="K50" s="17">
        <f t="shared" ref="K50:O50" si="48">K25</f>
        <v>309.14999999999998</v>
      </c>
      <c r="L50" s="17">
        <f t="shared" si="48"/>
        <v>309.14999999999998</v>
      </c>
      <c r="M50" s="17">
        <f t="shared" si="48"/>
        <v>313.14999999999998</v>
      </c>
      <c r="N50" s="17">
        <f t="shared" si="48"/>
        <v>309.14999999999998</v>
      </c>
      <c r="O50" s="17">
        <f t="shared" si="48"/>
        <v>306.14999999999998</v>
      </c>
    </row>
    <row r="51" spans="3:15" x14ac:dyDescent="0.25">
      <c r="C51" s="17" t="s">
        <v>25</v>
      </c>
      <c r="D51" s="17">
        <f t="shared" ref="D51:J51" si="49">D18+273.15</f>
        <v>505.65</v>
      </c>
      <c r="E51" s="17">
        <f t="shared" si="49"/>
        <v>488.15</v>
      </c>
      <c r="F51" s="17">
        <f t="shared" si="49"/>
        <v>503.15</v>
      </c>
      <c r="G51" s="17">
        <f t="shared" si="49"/>
        <v>505.65</v>
      </c>
      <c r="H51" s="17">
        <f t="shared" si="49"/>
        <v>515.65</v>
      </c>
      <c r="I51" s="17">
        <f t="shared" si="49"/>
        <v>503.15</v>
      </c>
      <c r="J51" s="17">
        <f t="shared" si="49"/>
        <v>520.65</v>
      </c>
      <c r="K51" s="17">
        <f t="shared" ref="K51:O51" si="50">K18+273.15</f>
        <v>529.65</v>
      </c>
      <c r="L51" s="17">
        <f t="shared" si="50"/>
        <v>513.65</v>
      </c>
      <c r="M51" s="17">
        <f t="shared" si="50"/>
        <v>525.65</v>
      </c>
      <c r="N51" s="17">
        <f t="shared" si="50"/>
        <v>519.65</v>
      </c>
      <c r="O51" s="17">
        <f t="shared" si="50"/>
        <v>508.65</v>
      </c>
    </row>
    <row r="52" spans="3:15" x14ac:dyDescent="0.25">
      <c r="C52" s="17" t="str">
        <f t="shared" ref="C52:J53" si="51">C26</f>
        <v>Πc</v>
      </c>
      <c r="D52" s="17">
        <f t="shared" si="51"/>
        <v>3.382598196639913</v>
      </c>
      <c r="E52" s="17">
        <f t="shared" si="51"/>
        <v>3.3266788854892591</v>
      </c>
      <c r="F52" s="17">
        <f t="shared" si="51"/>
        <v>3.2776400805802552</v>
      </c>
      <c r="G52" s="17">
        <f t="shared" si="51"/>
        <v>2.8885331205196514</v>
      </c>
      <c r="H52" s="17">
        <f t="shared" si="51"/>
        <v>3.1345782471179016</v>
      </c>
      <c r="I52" s="17">
        <f t="shared" si="51"/>
        <v>3.2738323784575618</v>
      </c>
      <c r="J52" s="17">
        <f t="shared" si="51"/>
        <v>3.1609562388664405</v>
      </c>
      <c r="K52" s="17">
        <f t="shared" ref="K52:O52" si="52">K26</f>
        <v>3.2197769714587849</v>
      </c>
      <c r="L52" s="17">
        <f t="shared" si="52"/>
        <v>3.2868808060518</v>
      </c>
      <c r="M52" s="17">
        <f t="shared" si="52"/>
        <v>3.2596407108806873</v>
      </c>
      <c r="N52" s="17">
        <f t="shared" si="52"/>
        <v>3.3015001427641359</v>
      </c>
      <c r="O52" s="17">
        <f t="shared" si="52"/>
        <v>3.3517746962924617</v>
      </c>
    </row>
    <row r="53" spans="3:15" x14ac:dyDescent="0.25">
      <c r="C53" s="17" t="str">
        <f t="shared" si="51"/>
        <v>(Πc^γ)-1</v>
      </c>
      <c r="D53" s="17">
        <f t="shared" si="51"/>
        <v>0.41649290554621787</v>
      </c>
      <c r="E53" s="17">
        <f t="shared" si="51"/>
        <v>0.40976253944901053</v>
      </c>
      <c r="F53" s="17">
        <f t="shared" si="51"/>
        <v>0.40379346922193515</v>
      </c>
      <c r="G53" s="17">
        <f t="shared" si="51"/>
        <v>0.35401071281183327</v>
      </c>
      <c r="H53" s="17">
        <f t="shared" si="51"/>
        <v>0.38600712085978151</v>
      </c>
      <c r="I53" s="17">
        <f t="shared" si="51"/>
        <v>0.40332732838797702</v>
      </c>
      <c r="J53" s="17">
        <f t="shared" si="51"/>
        <v>0.3893295757150721</v>
      </c>
      <c r="K53" s="17">
        <f t="shared" ref="K53:O53" si="53">K27</f>
        <v>0.39666767833438987</v>
      </c>
      <c r="L53" s="17">
        <f t="shared" si="53"/>
        <v>0.40492311731031694</v>
      </c>
      <c r="M53" s="17">
        <f t="shared" si="53"/>
        <v>0.40158655820732525</v>
      </c>
      <c r="N53" s="17">
        <f t="shared" si="53"/>
        <v>0.40670565842571493</v>
      </c>
      <c r="O53" s="17">
        <f t="shared" si="53"/>
        <v>0.41279295120093984</v>
      </c>
    </row>
    <row r="54" spans="3:15" x14ac:dyDescent="0.25">
      <c r="C54" s="17" t="s">
        <v>30</v>
      </c>
      <c r="D54" s="18">
        <f t="shared" ref="D54:J54" si="54">D53/(D51/D50-1)</f>
        <v>0.62866658670909248</v>
      </c>
      <c r="E54" s="18">
        <f t="shared" si="54"/>
        <v>0.60559575309938785</v>
      </c>
      <c r="F54" s="18">
        <f t="shared" si="54"/>
        <v>0.61715469177814863</v>
      </c>
      <c r="G54" s="18">
        <f t="shared" si="54"/>
        <v>0.50452893674837529</v>
      </c>
      <c r="H54" s="18">
        <f t="shared" si="54"/>
        <v>0.60673388597985112</v>
      </c>
      <c r="I54" s="18">
        <f t="shared" si="54"/>
        <v>0.60129715318831334</v>
      </c>
      <c r="J54" s="18">
        <f t="shared" si="54"/>
        <v>0.56457368826635046</v>
      </c>
      <c r="K54" s="18">
        <f t="shared" ref="K54:O54" si="55">K53/(K51/K50-1)</f>
        <v>0.55614427554229762</v>
      </c>
      <c r="L54" s="18">
        <f t="shared" si="55"/>
        <v>0.61213682990945961</v>
      </c>
      <c r="M54" s="18">
        <f t="shared" si="55"/>
        <v>0.59179685036528895</v>
      </c>
      <c r="N54" s="18">
        <f t="shared" si="55"/>
        <v>0.59730667126988002</v>
      </c>
      <c r="O54" s="18">
        <f t="shared" si="55"/>
        <v>0.62408178770453182</v>
      </c>
    </row>
    <row r="56" spans="3:15" ht="18.75" x14ac:dyDescent="0.3">
      <c r="C56" s="21" t="s">
        <v>35</v>
      </c>
    </row>
    <row r="57" spans="3:15" x14ac:dyDescent="0.25">
      <c r="C57" s="17" t="str">
        <f>C32</f>
        <v>p3</v>
      </c>
      <c r="D57" s="17">
        <f t="shared" ref="D57:J59" si="56">D32</f>
        <v>3.1769999999999996</v>
      </c>
      <c r="E57" s="17">
        <f t="shared" si="56"/>
        <v>3.1040000000000001</v>
      </c>
      <c r="F57" s="17">
        <f t="shared" si="56"/>
        <v>3.0249999999999999</v>
      </c>
      <c r="G57" s="17">
        <f t="shared" si="56"/>
        <v>2.4740000000000002</v>
      </c>
      <c r="H57" s="17">
        <f t="shared" si="56"/>
        <v>2.92</v>
      </c>
      <c r="I57" s="17">
        <f t="shared" si="56"/>
        <v>3.1310000000000002</v>
      </c>
      <c r="J57" s="17">
        <f t="shared" si="56"/>
        <v>3.0300000000000002</v>
      </c>
      <c r="K57" s="17">
        <f t="shared" ref="K57:O57" si="57">K32</f>
        <v>2.9239999999999999</v>
      </c>
      <c r="L57" s="17">
        <f t="shared" si="57"/>
        <v>3.028</v>
      </c>
      <c r="M57" s="17">
        <f t="shared" si="57"/>
        <v>2.923</v>
      </c>
      <c r="N57" s="17">
        <f t="shared" si="57"/>
        <v>3.0270000000000001</v>
      </c>
      <c r="O57" s="17">
        <f t="shared" si="57"/>
        <v>3.1349999999999998</v>
      </c>
    </row>
    <row r="58" spans="3:15" x14ac:dyDescent="0.25">
      <c r="C58" s="17" t="str">
        <f t="shared" ref="C58:I59" si="58">C33</f>
        <v>p4</v>
      </c>
      <c r="D58" s="17">
        <f t="shared" ca="1" si="58"/>
        <v>1.0352571992999999</v>
      </c>
      <c r="E58" s="17">
        <f t="shared" ca="1" si="58"/>
        <v>1.0109823348</v>
      </c>
      <c r="F58" s="17">
        <f t="shared" ca="1" si="58"/>
        <v>1.0323746007999999</v>
      </c>
      <c r="G58" s="17">
        <f t="shared" ca="1" si="58"/>
        <v>1.0290366954400001</v>
      </c>
      <c r="H58" s="17">
        <f t="shared" ca="1" si="58"/>
        <v>1.0272333850399999</v>
      </c>
      <c r="I58" s="17">
        <f t="shared" ca="1" si="58"/>
        <v>1.0388453199999998</v>
      </c>
      <c r="J58" s="17">
        <f t="shared" ca="1" si="56"/>
        <v>1.0373746008</v>
      </c>
      <c r="K58" s="17">
        <f t="shared" ref="K58:O58" ca="1" si="59">K33</f>
        <v>1.0319826131000001</v>
      </c>
      <c r="L58" s="17">
        <f t="shared" ca="1" si="59"/>
        <v>1.03582962936</v>
      </c>
      <c r="M58" s="17">
        <f t="shared" ca="1" si="59"/>
        <v>1.0307668667999998</v>
      </c>
      <c r="N58" s="17">
        <f t="shared" ca="1" si="59"/>
        <v>1.0352114349333332</v>
      </c>
      <c r="O58" s="17">
        <f t="shared" ca="1" si="59"/>
        <v>1.0438979004333333</v>
      </c>
    </row>
    <row r="59" spans="3:15" x14ac:dyDescent="0.25">
      <c r="C59" s="17" t="str">
        <f t="shared" si="58"/>
        <v>T3</v>
      </c>
      <c r="D59" s="17">
        <f>D34</f>
        <v>650.65</v>
      </c>
      <c r="E59" s="17">
        <f t="shared" si="58"/>
        <v>623.15</v>
      </c>
      <c r="F59" s="17">
        <f t="shared" si="58"/>
        <v>638.15</v>
      </c>
      <c r="G59" s="17">
        <f t="shared" si="58"/>
        <v>615.65</v>
      </c>
      <c r="H59" s="17">
        <f t="shared" si="58"/>
        <v>658.15</v>
      </c>
      <c r="I59" s="17">
        <f t="shared" si="58"/>
        <v>648.15</v>
      </c>
      <c r="J59" s="17">
        <f t="shared" si="56"/>
        <v>668.15</v>
      </c>
      <c r="K59" s="17">
        <f t="shared" ref="K59:O59" si="60">K34</f>
        <v>670.65</v>
      </c>
      <c r="L59" s="17">
        <f t="shared" si="60"/>
        <v>661.65</v>
      </c>
      <c r="M59" s="17">
        <f t="shared" si="60"/>
        <v>674.15</v>
      </c>
      <c r="N59" s="17">
        <f t="shared" si="60"/>
        <v>667.65</v>
      </c>
      <c r="O59" s="17">
        <f t="shared" si="60"/>
        <v>648.15</v>
      </c>
    </row>
    <row r="60" spans="3:15" x14ac:dyDescent="0.25">
      <c r="C60" s="17" t="s">
        <v>38</v>
      </c>
      <c r="D60" s="17">
        <f>D18+273.15-$S$3</f>
        <v>505.65</v>
      </c>
      <c r="E60" s="17">
        <f t="shared" ref="E60:J60" si="61">E18+273.15-$S$3</f>
        <v>488.15</v>
      </c>
      <c r="F60" s="17">
        <f t="shared" si="61"/>
        <v>503.15</v>
      </c>
      <c r="G60" s="17">
        <f t="shared" si="61"/>
        <v>505.65</v>
      </c>
      <c r="H60" s="17">
        <f t="shared" si="61"/>
        <v>515.65</v>
      </c>
      <c r="I60" s="17">
        <f t="shared" si="61"/>
        <v>503.15</v>
      </c>
      <c r="J60" s="17">
        <f t="shared" si="61"/>
        <v>520.65</v>
      </c>
      <c r="K60" s="17">
        <f t="shared" ref="K60:O60" si="62">K18+273.15-$S$3</f>
        <v>529.65</v>
      </c>
      <c r="L60" s="17">
        <f t="shared" si="62"/>
        <v>513.65</v>
      </c>
      <c r="M60" s="17">
        <f t="shared" si="62"/>
        <v>525.65</v>
      </c>
      <c r="N60" s="17">
        <f t="shared" si="62"/>
        <v>519.65</v>
      </c>
      <c r="O60" s="17">
        <f t="shared" si="62"/>
        <v>508.65</v>
      </c>
    </row>
    <row r="61" spans="3:15" x14ac:dyDescent="0.25">
      <c r="C61" s="17" t="str">
        <f t="shared" ref="C61:J62" si="63">C35</f>
        <v>Πt</v>
      </c>
      <c r="D61" s="17">
        <f t="shared" ca="1" si="63"/>
        <v>3.0688026146045271</v>
      </c>
      <c r="E61" s="17">
        <f t="shared" ca="1" si="63"/>
        <v>3.0702811445405289</v>
      </c>
      <c r="F61" s="17">
        <f t="shared" ca="1" si="63"/>
        <v>2.9301379534675589</v>
      </c>
      <c r="G61" s="17">
        <f t="shared" ca="1" si="63"/>
        <v>2.4041902596507079</v>
      </c>
      <c r="H61" s="17">
        <f t="shared" ca="1" si="63"/>
        <v>2.8425867407787733</v>
      </c>
      <c r="I61" s="17">
        <f t="shared" ca="1" si="63"/>
        <v>3.0139231892578584</v>
      </c>
      <c r="J61" s="17">
        <f t="shared" ca="1" si="63"/>
        <v>2.9208349593901106</v>
      </c>
      <c r="K61" s="17">
        <f t="shared" ref="K61:O61" ca="1" si="64">K35</f>
        <v>2.833381069489648</v>
      </c>
      <c r="L61" s="17">
        <f t="shared" ca="1" si="64"/>
        <v>2.9232606542360511</v>
      </c>
      <c r="M61" s="17">
        <f t="shared" ca="1" si="64"/>
        <v>2.8357527721805895</v>
      </c>
      <c r="N61" s="17">
        <f t="shared" ca="1" si="64"/>
        <v>2.9240403436955238</v>
      </c>
      <c r="O61" s="17">
        <f t="shared" ca="1" si="64"/>
        <v>3.0031672625250301</v>
      </c>
    </row>
    <row r="62" spans="3:15" x14ac:dyDescent="0.25">
      <c r="C62" s="17" t="str">
        <f t="shared" si="63"/>
        <v>1-(Πt^-γ)</v>
      </c>
      <c r="D62" s="17">
        <f t="shared" ca="1" si="63"/>
        <v>0.25681582581462636</v>
      </c>
      <c r="E62" s="17">
        <f t="shared" ca="1" si="63"/>
        <v>0.25691057793255057</v>
      </c>
      <c r="F62" s="17">
        <f t="shared" ca="1" si="63"/>
        <v>0.24766376037140458</v>
      </c>
      <c r="G62" s="17">
        <f t="shared" ca="1" si="63"/>
        <v>0.20721521101764173</v>
      </c>
      <c r="H62" s="17">
        <f t="shared" ca="1" si="63"/>
        <v>0.24159828251595317</v>
      </c>
      <c r="I62" s="17">
        <f t="shared" ca="1" si="63"/>
        <v>0.25325745852204262</v>
      </c>
      <c r="J62" s="17">
        <f t="shared" ca="1" si="63"/>
        <v>0.24703020672936726</v>
      </c>
      <c r="K62" s="17">
        <f t="shared" ref="K62:O62" ca="1" si="65">K36</f>
        <v>0.24094681122774797</v>
      </c>
      <c r="L62" s="17">
        <f t="shared" ca="1" si="65"/>
        <v>0.24719564740856259</v>
      </c>
      <c r="M62" s="17">
        <f t="shared" ca="1" si="65"/>
        <v>0.24111490873193275</v>
      </c>
      <c r="N62" s="17">
        <f t="shared" ca="1" si="65"/>
        <v>0.24724878802597305</v>
      </c>
      <c r="O62" s="17">
        <f t="shared" ca="1" si="65"/>
        <v>0.25255043843194214</v>
      </c>
    </row>
    <row r="63" spans="3:15" x14ac:dyDescent="0.25">
      <c r="C63" s="17" t="s">
        <v>36</v>
      </c>
      <c r="D63" s="18">
        <f ca="1">(1-D60/D59)/D62</f>
        <v>0.8677583178568391</v>
      </c>
      <c r="E63" s="18">
        <f t="shared" ref="E63:J63" ca="1" si="66">(1-E60/E59)/E62</f>
        <v>0.84325550106747382</v>
      </c>
      <c r="F63" s="18">
        <f ca="1">(1-F60/F59)/F62</f>
        <v>0.85417829615633711</v>
      </c>
      <c r="G63" s="18">
        <f t="shared" ca="1" si="66"/>
        <v>0.86225787389840225</v>
      </c>
      <c r="H63" s="18">
        <f t="shared" ca="1" si="66"/>
        <v>0.89618183349828451</v>
      </c>
      <c r="I63" s="18">
        <f t="shared" ca="1" si="66"/>
        <v>0.88334475058694983</v>
      </c>
      <c r="J63" s="18">
        <f t="shared" ca="1" si="66"/>
        <v>0.89365108246030489</v>
      </c>
      <c r="K63" s="18">
        <f t="shared" ref="K63:O63" ca="1" si="67">(1-K60/K59)/K62</f>
        <v>0.87257346243149747</v>
      </c>
      <c r="L63" s="18">
        <f t="shared" ca="1" si="67"/>
        <v>0.90488331225435359</v>
      </c>
      <c r="M63" s="18">
        <f t="shared" ca="1" si="67"/>
        <v>0.91357845724609466</v>
      </c>
      <c r="N63" s="18">
        <f t="shared" ca="1" si="67"/>
        <v>0.89655862035653144</v>
      </c>
      <c r="O63" s="18">
        <f t="shared" ca="1" si="67"/>
        <v>0.85221771075860964</v>
      </c>
    </row>
    <row r="65" spans="2:17" ht="18.75" x14ac:dyDescent="0.3">
      <c r="C65" s="21" t="s">
        <v>33</v>
      </c>
    </row>
    <row r="66" spans="2:17" x14ac:dyDescent="0.25">
      <c r="C66" s="17" t="s">
        <v>34</v>
      </c>
      <c r="D66" s="22">
        <f t="shared" ref="D66:J66" ca="1" si="68">D54*D63*D19^2</f>
        <v>0.49234142044737317</v>
      </c>
      <c r="E66" s="22">
        <f t="shared" ca="1" si="68"/>
        <v>0.460881435077303</v>
      </c>
      <c r="F66" s="22">
        <f t="shared" ca="1" si="68"/>
        <v>0.47576202913687338</v>
      </c>
      <c r="G66" s="22">
        <f t="shared" ca="1" si="68"/>
        <v>0.39261822860959017</v>
      </c>
      <c r="H66" s="22">
        <f t="shared" ca="1" si="68"/>
        <v>0.49072885746062328</v>
      </c>
      <c r="I66" s="22">
        <f t="shared" ca="1" si="68"/>
        <v>0.47936529714012566</v>
      </c>
      <c r="J66" s="22">
        <f t="shared" ca="1" si="68"/>
        <v>0.45534002860216732</v>
      </c>
      <c r="K66" s="22">
        <f t="shared" ref="K66:O66" ca="1" si="69">K54*K63*K19^2</f>
        <v>0.43796225434956298</v>
      </c>
      <c r="L66" s="22">
        <f t="shared" ca="1" si="69"/>
        <v>0.49990594298671981</v>
      </c>
      <c r="M66" s="22">
        <f t="shared" ca="1" si="69"/>
        <v>0.4879392003377363</v>
      </c>
      <c r="N66" s="22">
        <f t="shared" ca="1" si="69"/>
        <v>0.48330720172393693</v>
      </c>
      <c r="O66" s="22">
        <f t="shared" ca="1" si="69"/>
        <v>0.47999783108043625</v>
      </c>
    </row>
    <row r="68" spans="2:17" ht="15.75" thickBot="1" x14ac:dyDescent="0.3"/>
    <row r="69" spans="2:17" ht="15.75" x14ac:dyDescent="0.25">
      <c r="C69" s="23" t="str">
        <f>C54</f>
        <v>ηISc</v>
      </c>
      <c r="D69" s="24">
        <f t="shared" ref="D69:J69" si="70">D54</f>
        <v>0.62866658670909248</v>
      </c>
      <c r="E69" s="24">
        <f t="shared" si="70"/>
        <v>0.60559575309938785</v>
      </c>
      <c r="F69" s="24">
        <f t="shared" si="70"/>
        <v>0.61715469177814863</v>
      </c>
      <c r="G69" s="24">
        <f t="shared" si="70"/>
        <v>0.50452893674837529</v>
      </c>
      <c r="H69" s="24">
        <f t="shared" si="70"/>
        <v>0.60673388597985112</v>
      </c>
      <c r="I69" s="24">
        <f t="shared" si="70"/>
        <v>0.60129715318831334</v>
      </c>
      <c r="J69" s="24">
        <f t="shared" si="70"/>
        <v>0.56457368826635046</v>
      </c>
      <c r="K69" s="24">
        <f t="shared" ref="K69:O69" si="71">K54</f>
        <v>0.55614427554229762</v>
      </c>
      <c r="L69" s="24">
        <f t="shared" si="71"/>
        <v>0.61213682990945961</v>
      </c>
      <c r="M69" s="24">
        <f t="shared" si="71"/>
        <v>0.59179685036528895</v>
      </c>
      <c r="N69" s="24">
        <f t="shared" si="71"/>
        <v>0.59730667126988002</v>
      </c>
      <c r="O69" s="25">
        <f t="shared" si="71"/>
        <v>0.62408178770453182</v>
      </c>
    </row>
    <row r="70" spans="2:17" ht="15.75" x14ac:dyDescent="0.25">
      <c r="C70" s="26" t="str">
        <f>C63</f>
        <v>ηISt</v>
      </c>
      <c r="D70" s="27">
        <f ca="1">D63</f>
        <v>0.8677583178568391</v>
      </c>
      <c r="E70" s="27">
        <f t="shared" ref="E70:J70" ca="1" si="72">E63</f>
        <v>0.84325550106747382</v>
      </c>
      <c r="F70" s="27">
        <f t="shared" ca="1" si="72"/>
        <v>0.85417829615633711</v>
      </c>
      <c r="G70" s="27">
        <f t="shared" ca="1" si="72"/>
        <v>0.86225787389840225</v>
      </c>
      <c r="H70" s="27">
        <f t="shared" ca="1" si="72"/>
        <v>0.89618183349828451</v>
      </c>
      <c r="I70" s="27">
        <f t="shared" ca="1" si="72"/>
        <v>0.88334475058694983</v>
      </c>
      <c r="J70" s="27">
        <f t="shared" ca="1" si="72"/>
        <v>0.89365108246030489</v>
      </c>
      <c r="K70" s="27">
        <f t="shared" ref="K70:O70" ca="1" si="73">K63</f>
        <v>0.87257346243149747</v>
      </c>
      <c r="L70" s="27">
        <f t="shared" ca="1" si="73"/>
        <v>0.90488331225435359</v>
      </c>
      <c r="M70" s="27">
        <f t="shared" ca="1" si="73"/>
        <v>0.91357845724609466</v>
      </c>
      <c r="N70" s="27">
        <f t="shared" ca="1" si="73"/>
        <v>0.89655862035653144</v>
      </c>
      <c r="O70" s="28">
        <f t="shared" ca="1" si="73"/>
        <v>0.85221771075860964</v>
      </c>
    </row>
    <row r="71" spans="2:17" ht="16.5" thickBot="1" x14ac:dyDescent="0.3">
      <c r="C71" s="29" t="str">
        <f>C66</f>
        <v>ηIStc</v>
      </c>
      <c r="D71" s="30">
        <f t="shared" ref="D71:J71" ca="1" si="74">D66</f>
        <v>0.49234142044737317</v>
      </c>
      <c r="E71" s="30">
        <f t="shared" ca="1" si="74"/>
        <v>0.460881435077303</v>
      </c>
      <c r="F71" s="30">
        <f t="shared" ca="1" si="74"/>
        <v>0.47576202913687338</v>
      </c>
      <c r="G71" s="30">
        <f t="shared" ca="1" si="74"/>
        <v>0.39261822860959017</v>
      </c>
      <c r="H71" s="30">
        <f t="shared" ca="1" si="74"/>
        <v>0.49072885746062328</v>
      </c>
      <c r="I71" s="30">
        <f t="shared" ca="1" si="74"/>
        <v>0.47936529714012566</v>
      </c>
      <c r="J71" s="30">
        <f t="shared" ca="1" si="74"/>
        <v>0.45534002860216732</v>
      </c>
      <c r="K71" s="30">
        <f t="shared" ref="K71:O71" ca="1" si="75">K66</f>
        <v>0.43796225434956298</v>
      </c>
      <c r="L71" s="30">
        <f t="shared" ca="1" si="75"/>
        <v>0.49990594298671981</v>
      </c>
      <c r="M71" s="30">
        <f t="shared" ca="1" si="75"/>
        <v>0.4879392003377363</v>
      </c>
      <c r="N71" s="30">
        <f t="shared" ca="1" si="75"/>
        <v>0.48330720172393693</v>
      </c>
      <c r="O71" s="31">
        <f t="shared" ca="1" si="75"/>
        <v>0.47999783108043625</v>
      </c>
    </row>
    <row r="73" spans="2:17" ht="18.75" x14ac:dyDescent="0.3">
      <c r="B73" s="21">
        <v>3</v>
      </c>
      <c r="C73" s="21" t="s">
        <v>41</v>
      </c>
      <c r="E73" s="21" t="s">
        <v>42</v>
      </c>
    </row>
    <row r="74" spans="2:17" x14ac:dyDescent="0.25">
      <c r="C74" s="17" t="s">
        <v>30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6" spans="2:17" x14ac:dyDescent="0.25">
      <c r="C76" s="17" t="s">
        <v>43</v>
      </c>
      <c r="D76" s="20" t="e">
        <f t="shared" ref="D76:J76" si="76">D42/D74</f>
        <v>#DIV/0!</v>
      </c>
      <c r="E76" s="20" t="e">
        <f t="shared" si="76"/>
        <v>#DIV/0!</v>
      </c>
      <c r="F76" s="20" t="e">
        <f t="shared" si="76"/>
        <v>#DIV/0!</v>
      </c>
      <c r="G76" s="20" t="e">
        <f t="shared" si="76"/>
        <v>#DIV/0!</v>
      </c>
      <c r="H76" s="20" t="e">
        <f t="shared" si="76"/>
        <v>#DIV/0!</v>
      </c>
      <c r="I76" s="20" t="e">
        <f t="shared" si="76"/>
        <v>#DIV/0!</v>
      </c>
      <c r="J76" s="20" t="e">
        <f t="shared" si="76"/>
        <v>#DIV/0!</v>
      </c>
      <c r="K76" s="20" t="e">
        <f t="shared" ref="K76:O76" si="77">K42/K74</f>
        <v>#DIV/0!</v>
      </c>
      <c r="L76" s="20" t="e">
        <f t="shared" si="77"/>
        <v>#DIV/0!</v>
      </c>
      <c r="M76" s="20" t="e">
        <f t="shared" si="77"/>
        <v>#DIV/0!</v>
      </c>
      <c r="N76" s="20" t="e">
        <f t="shared" si="77"/>
        <v>#DIV/0!</v>
      </c>
      <c r="O76" s="20" t="e">
        <f t="shared" si="77"/>
        <v>#DIV/0!</v>
      </c>
    </row>
    <row r="77" spans="2:17" x14ac:dyDescent="0.25">
      <c r="D77" s="17">
        <v>1.75</v>
      </c>
      <c r="E77" s="17">
        <v>2.1</v>
      </c>
      <c r="F77" s="17">
        <v>2.5</v>
      </c>
      <c r="G77" s="17">
        <v>2.7</v>
      </c>
      <c r="H77" s="17">
        <v>3</v>
      </c>
      <c r="I77" s="17">
        <v>3.25</v>
      </c>
      <c r="J77" s="17">
        <v>3.25</v>
      </c>
      <c r="K77" s="17">
        <v>3.25</v>
      </c>
      <c r="L77" s="17">
        <v>3.25</v>
      </c>
      <c r="M77" s="17">
        <v>3.25</v>
      </c>
      <c r="N77" s="17">
        <v>3.25</v>
      </c>
      <c r="O77" s="17">
        <v>3.25</v>
      </c>
      <c r="P77" s="17">
        <v>3.85</v>
      </c>
      <c r="Q77" s="17">
        <v>4.2</v>
      </c>
    </row>
    <row r="78" spans="2:17" x14ac:dyDescent="0.25">
      <c r="C78" s="17" t="s">
        <v>34</v>
      </c>
      <c r="D78" s="38">
        <v>0.68</v>
      </c>
      <c r="E78" s="38">
        <v>0.7</v>
      </c>
      <c r="F78" s="38">
        <v>0.71199999999999997</v>
      </c>
      <c r="G78" s="38">
        <v>0.71799999999999997</v>
      </c>
      <c r="H78" s="38">
        <v>0.71299999999999997</v>
      </c>
      <c r="I78" s="38">
        <v>0.7</v>
      </c>
      <c r="J78" s="38">
        <v>0.7</v>
      </c>
      <c r="K78" s="38">
        <v>0.7</v>
      </c>
      <c r="L78" s="38">
        <v>0.7</v>
      </c>
      <c r="M78" s="38">
        <v>0.7</v>
      </c>
      <c r="N78" s="38">
        <v>0.7</v>
      </c>
      <c r="O78" s="38">
        <v>0.7</v>
      </c>
      <c r="P78" s="38">
        <v>0.67</v>
      </c>
      <c r="Q78" s="38">
        <v>0.65</v>
      </c>
    </row>
  </sheetData>
  <conditionalFormatting sqref="D30:O30">
    <cfRule type="cellIs" dxfId="4" priority="2" operator="greaterThan">
      <formula>0.86</formula>
    </cfRule>
  </conditionalFormatting>
  <conditionalFormatting sqref="D20:O20">
    <cfRule type="cellIs" dxfId="3" priority="1" operator="greaterThan">
      <formula>0.301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G3" sqref="G3"/>
    </sheetView>
  </sheetViews>
  <sheetFormatPr defaultRowHeight="15" x14ac:dyDescent="0.25"/>
  <cols>
    <col min="1" max="2" width="9.140625" style="17"/>
    <col min="3" max="3" width="10.28515625" style="17" bestFit="1" customWidth="1"/>
    <col min="4" max="4" width="12" style="17" customWidth="1"/>
    <col min="5" max="9" width="18.42578125" style="17" bestFit="1" customWidth="1"/>
    <col min="10" max="15" width="18.42578125" style="17" customWidth="1"/>
    <col min="16" max="24" width="9.140625" style="17"/>
    <col min="25" max="25" width="18.5703125" style="17" bestFit="1" customWidth="1"/>
    <col min="26" max="32" width="9.140625" style="17"/>
    <col min="33" max="33" width="10.28515625" style="17" bestFit="1" customWidth="1"/>
    <col min="34" max="34" width="10.28515625" style="17" customWidth="1"/>
    <col min="35" max="16384" width="9.140625" style="17"/>
  </cols>
  <sheetData>
    <row r="1" spans="3:39" x14ac:dyDescent="0.25">
      <c r="P1" s="17" t="s">
        <v>45</v>
      </c>
    </row>
    <row r="2" spans="3:39" x14ac:dyDescent="0.25">
      <c r="C2" s="33" t="s">
        <v>0</v>
      </c>
      <c r="D2" s="33">
        <v>0.72</v>
      </c>
      <c r="F2" s="32" t="s">
        <v>19</v>
      </c>
      <c r="G2" s="32">
        <v>1.3979999999999999</v>
      </c>
      <c r="H2" s="17" t="s">
        <v>20</v>
      </c>
      <c r="I2" s="13">
        <f>(G2-1)/G2</f>
        <v>0.284692417739628</v>
      </c>
      <c r="J2" s="13"/>
      <c r="K2" s="13"/>
      <c r="L2" s="13"/>
      <c r="M2" s="13"/>
      <c r="N2" s="13"/>
      <c r="O2" s="13"/>
      <c r="P2" s="17" t="s">
        <v>4</v>
      </c>
      <c r="Q2" s="37">
        <v>0</v>
      </c>
      <c r="R2" s="17" t="s">
        <v>6</v>
      </c>
      <c r="S2" s="37">
        <v>0</v>
      </c>
      <c r="T2" s="17" t="s">
        <v>48</v>
      </c>
      <c r="U2" s="36">
        <v>0.9</v>
      </c>
      <c r="V2" s="17" t="s">
        <v>58</v>
      </c>
      <c r="W2" s="37">
        <v>0</v>
      </c>
    </row>
    <row r="3" spans="3:39" x14ac:dyDescent="0.25">
      <c r="C3" s="33" t="s">
        <v>1</v>
      </c>
      <c r="D3" s="33">
        <v>0.73</v>
      </c>
      <c r="F3" s="32" t="s">
        <v>22</v>
      </c>
      <c r="G3" s="32">
        <v>1.36</v>
      </c>
      <c r="H3" s="17" t="s">
        <v>21</v>
      </c>
      <c r="I3" s="13">
        <f>(G3-1)/G3</f>
        <v>0.26470588235294124</v>
      </c>
      <c r="J3" s="13"/>
      <c r="K3" s="13"/>
      <c r="L3" s="13"/>
      <c r="M3" s="13"/>
      <c r="N3" s="13"/>
      <c r="O3" s="13"/>
      <c r="P3" s="17" t="s">
        <v>5</v>
      </c>
      <c r="Q3" s="37">
        <v>0</v>
      </c>
      <c r="R3" s="17" t="s">
        <v>46</v>
      </c>
      <c r="S3" s="37">
        <v>0</v>
      </c>
      <c r="T3" s="17" t="s">
        <v>50</v>
      </c>
      <c r="U3" s="36">
        <v>1</v>
      </c>
      <c r="V3" s="17" t="s">
        <v>2</v>
      </c>
      <c r="W3" s="37">
        <v>0</v>
      </c>
      <c r="Y3" s="17" t="s">
        <v>52</v>
      </c>
    </row>
    <row r="4" spans="3:39" x14ac:dyDescent="0.25">
      <c r="C4" s="17" t="s">
        <v>59</v>
      </c>
      <c r="D4" s="17">
        <v>0</v>
      </c>
      <c r="E4" s="17">
        <v>3.9226599999999997E-3</v>
      </c>
      <c r="F4" s="17">
        <v>7.8453199999999994E-3</v>
      </c>
      <c r="G4" s="17">
        <v>1.4709975E-2</v>
      </c>
      <c r="H4" s="17">
        <v>1.5690639999999999E-2</v>
      </c>
      <c r="I4" s="17">
        <v>2.2555295E-2</v>
      </c>
      <c r="AK4" s="17" t="s">
        <v>5</v>
      </c>
    </row>
    <row r="5" spans="3:39" ht="18.75" x14ac:dyDescent="0.3">
      <c r="C5" s="35" t="s">
        <v>14</v>
      </c>
      <c r="Y5" s="17" t="s">
        <v>51</v>
      </c>
      <c r="AG5" s="17" t="s">
        <v>55</v>
      </c>
      <c r="AL5" s="17" t="s">
        <v>56</v>
      </c>
      <c r="AM5" s="17" t="s">
        <v>57</v>
      </c>
    </row>
    <row r="6" spans="3:39" x14ac:dyDescent="0.25">
      <c r="C6" s="34" t="s">
        <v>40</v>
      </c>
      <c r="D6" s="43">
        <v>0.81699999999999995</v>
      </c>
      <c r="E6" s="43">
        <v>0.83599999999999997</v>
      </c>
      <c r="F6" s="43">
        <v>0.76700000000000002</v>
      </c>
      <c r="G6" s="43">
        <v>0.69199999999999995</v>
      </c>
      <c r="H6" s="43">
        <v>0.69599999999999995</v>
      </c>
      <c r="I6" s="43">
        <v>0.68799999999999994</v>
      </c>
      <c r="J6" s="43">
        <v>0.81399999999999995</v>
      </c>
      <c r="K6" s="43">
        <v>0.69099999999999995</v>
      </c>
      <c r="L6" s="43">
        <v>0.75600000000000001</v>
      </c>
      <c r="M6" s="43">
        <v>0.76600000000000001</v>
      </c>
      <c r="N6" s="43">
        <v>0.78200000000000003</v>
      </c>
      <c r="O6" s="43">
        <v>0.78200000000000003</v>
      </c>
      <c r="Y6" s="17" t="s">
        <v>49</v>
      </c>
      <c r="Z6" s="18">
        <v>0.82324419377495617</v>
      </c>
      <c r="AA6" s="18">
        <v>0.7733737043275386</v>
      </c>
      <c r="AB6" s="18">
        <v>0.75839788862565871</v>
      </c>
      <c r="AC6" s="18">
        <v>0.77969919517434116</v>
      </c>
      <c r="AD6" s="18">
        <v>0.76438386855207641</v>
      </c>
      <c r="AE6" s="18">
        <v>0.74810409672059253</v>
      </c>
      <c r="AG6" s="17" t="s">
        <v>6</v>
      </c>
      <c r="AH6" s="17" t="s">
        <v>49</v>
      </c>
      <c r="AI6" s="19" t="s">
        <v>36</v>
      </c>
      <c r="AJ6" s="19" t="s">
        <v>34</v>
      </c>
      <c r="AK6" s="19"/>
      <c r="AL6" s="19"/>
      <c r="AM6" s="19"/>
    </row>
    <row r="7" spans="3:39" x14ac:dyDescent="0.25">
      <c r="C7" s="34" t="s">
        <v>11</v>
      </c>
      <c r="D7" s="17">
        <v>88.6</v>
      </c>
      <c r="E7" s="17">
        <v>87.9</v>
      </c>
      <c r="F7" s="17">
        <v>88.1</v>
      </c>
      <c r="G7" s="17">
        <v>88.2</v>
      </c>
      <c r="H7" s="17">
        <v>87.5</v>
      </c>
      <c r="I7" s="17">
        <v>87.2</v>
      </c>
      <c r="J7" s="17">
        <v>87.3</v>
      </c>
      <c r="K7" s="17">
        <v>87</v>
      </c>
      <c r="L7" s="17">
        <v>86.3</v>
      </c>
      <c r="M7" s="17">
        <v>90</v>
      </c>
      <c r="N7" s="17">
        <v>90</v>
      </c>
      <c r="O7" s="17">
        <v>90</v>
      </c>
      <c r="Y7" s="17" t="s">
        <v>36</v>
      </c>
      <c r="Z7" s="18">
        <v>0.84126619989124407</v>
      </c>
      <c r="AA7" s="18">
        <v>0.84986988535791597</v>
      </c>
      <c r="AB7" s="18">
        <v>0.88699757919468347</v>
      </c>
      <c r="AC7" s="18">
        <v>0.88806468011725426</v>
      </c>
      <c r="AD7" s="18">
        <v>0.88534670705390606</v>
      </c>
      <c r="AE7" s="18">
        <v>0.88911212205919588</v>
      </c>
      <c r="AG7" s="41">
        <v>-0.2</v>
      </c>
      <c r="AI7" s="19"/>
      <c r="AJ7" s="19"/>
      <c r="AK7" s="19"/>
      <c r="AL7" s="19"/>
      <c r="AM7" s="19"/>
    </row>
    <row r="8" spans="3:39" x14ac:dyDescent="0.25">
      <c r="C8" s="34" t="s">
        <v>2</v>
      </c>
      <c r="D8" s="44">
        <v>34</v>
      </c>
      <c r="E8" s="44">
        <v>32</v>
      </c>
      <c r="F8" s="44">
        <v>40</v>
      </c>
      <c r="G8" s="44">
        <v>39</v>
      </c>
      <c r="H8" s="44">
        <v>39</v>
      </c>
      <c r="I8" s="44">
        <v>41</v>
      </c>
      <c r="J8" s="44">
        <v>41</v>
      </c>
      <c r="K8" s="44">
        <v>45</v>
      </c>
      <c r="L8" s="44">
        <v>35</v>
      </c>
      <c r="M8" s="44">
        <v>40</v>
      </c>
      <c r="N8" s="44">
        <v>35</v>
      </c>
      <c r="O8" s="44">
        <v>35</v>
      </c>
      <c r="Y8" s="17" t="s">
        <v>34</v>
      </c>
      <c r="Z8" s="18">
        <v>0.62331076303162947</v>
      </c>
      <c r="AA8" s="18">
        <v>0.65726702143567206</v>
      </c>
      <c r="AB8" s="18">
        <v>0.67269709127731847</v>
      </c>
      <c r="AC8" s="18">
        <v>0.69242331635018184</v>
      </c>
      <c r="AD8" s="18">
        <v>0.67674474094770665</v>
      </c>
      <c r="AE8" s="18">
        <v>0.6651484209564239</v>
      </c>
      <c r="AG8" s="19">
        <v>0.1</v>
      </c>
      <c r="AI8" s="19"/>
      <c r="AJ8" s="19"/>
      <c r="AK8" s="19"/>
      <c r="AL8" s="19"/>
      <c r="AM8" s="19"/>
    </row>
    <row r="9" spans="3:39" x14ac:dyDescent="0.25">
      <c r="C9" s="34" t="s">
        <v>3</v>
      </c>
      <c r="D9" s="49">
        <v>1040</v>
      </c>
      <c r="E9" s="49">
        <v>1035</v>
      </c>
      <c r="F9" s="49">
        <v>1025</v>
      </c>
      <c r="G9" s="49">
        <v>1018</v>
      </c>
      <c r="H9" s="49">
        <v>1029</v>
      </c>
      <c r="I9" s="50">
        <v>1026</v>
      </c>
      <c r="J9" s="50">
        <v>1024</v>
      </c>
      <c r="K9" s="50">
        <v>1027</v>
      </c>
      <c r="L9" s="50">
        <v>1028</v>
      </c>
      <c r="M9" s="50">
        <v>1024</v>
      </c>
      <c r="N9" s="50">
        <v>1023</v>
      </c>
      <c r="O9" s="50">
        <v>1023</v>
      </c>
      <c r="AG9" s="19">
        <v>0</v>
      </c>
      <c r="AI9" s="19"/>
      <c r="AJ9" s="19"/>
      <c r="AK9" s="19"/>
      <c r="AL9" s="19"/>
      <c r="AM9" s="19"/>
    </row>
    <row r="10" spans="3:39" x14ac:dyDescent="0.25">
      <c r="C10" s="34" t="s">
        <v>4</v>
      </c>
      <c r="D10" s="17">
        <v>3.24</v>
      </c>
      <c r="E10" s="17">
        <v>3.2350000000000003</v>
      </c>
      <c r="F10" s="17">
        <v>3.125</v>
      </c>
      <c r="G10" s="17">
        <v>3.218</v>
      </c>
      <c r="H10" s="17">
        <v>3.129</v>
      </c>
      <c r="I10" s="17">
        <v>3.0759999999999996</v>
      </c>
      <c r="J10" s="17">
        <v>3.024</v>
      </c>
      <c r="K10" s="17">
        <v>3.0270000000000001</v>
      </c>
      <c r="L10" s="17">
        <v>3.1280000000000001</v>
      </c>
      <c r="M10" s="17">
        <v>3.3239999999999998</v>
      </c>
      <c r="N10" s="17">
        <v>3.5229999999999997</v>
      </c>
      <c r="O10" s="17">
        <v>3.5229999999999997</v>
      </c>
      <c r="Y10" s="17" t="str">
        <f>Y6</f>
        <v>ηc</v>
      </c>
      <c r="Z10" s="22">
        <f t="shared" ref="Z10:AE12" si="0">D42</f>
        <v>0.81239877736243571</v>
      </c>
      <c r="AA10" s="22">
        <f t="shared" si="0"/>
        <v>0.77158002155475391</v>
      </c>
      <c r="AB10" s="22">
        <f t="shared" si="0"/>
        <v>0.80973329517545622</v>
      </c>
      <c r="AC10" s="22">
        <f t="shared" si="0"/>
        <v>0.81248344646422155</v>
      </c>
      <c r="AD10" s="22">
        <f t="shared" si="0"/>
        <v>0.77798081780562633</v>
      </c>
      <c r="AE10" s="22">
        <f t="shared" si="0"/>
        <v>0.78677947019007255</v>
      </c>
      <c r="AG10" s="19">
        <v>0.1</v>
      </c>
      <c r="AI10" s="19"/>
      <c r="AJ10" s="19"/>
      <c r="AK10" s="19"/>
      <c r="AL10" s="19"/>
      <c r="AM10" s="19"/>
    </row>
    <row r="11" spans="3:39" x14ac:dyDescent="0.25">
      <c r="C11" s="34" t="s">
        <v>5</v>
      </c>
      <c r="D11" s="17">
        <v>342.5</v>
      </c>
      <c r="E11" s="17">
        <v>362.5</v>
      </c>
      <c r="F11" s="17">
        <v>385</v>
      </c>
      <c r="G11" s="17">
        <v>382.5</v>
      </c>
      <c r="H11" s="17">
        <v>352.5</v>
      </c>
      <c r="I11" s="17">
        <v>350</v>
      </c>
      <c r="J11" s="17">
        <v>402</v>
      </c>
      <c r="K11" s="17">
        <v>357</v>
      </c>
      <c r="L11" s="17">
        <v>387</v>
      </c>
      <c r="M11" s="17">
        <v>403.5</v>
      </c>
      <c r="N11" s="17">
        <v>375</v>
      </c>
      <c r="O11" s="17">
        <v>375</v>
      </c>
      <c r="Y11" s="17" t="str">
        <f t="shared" ref="Y11:Y12" si="1">Y7</f>
        <v>ηISt</v>
      </c>
      <c r="Z11" s="22">
        <f t="shared" ca="1" si="0"/>
        <v>0.87541979364710321</v>
      </c>
      <c r="AA11" s="22">
        <f t="shared" ca="1" si="0"/>
        <v>0.86496214921146408</v>
      </c>
      <c r="AB11" s="22">
        <f t="shared" ca="1" si="0"/>
        <v>0.81120251060092607</v>
      </c>
      <c r="AC11" s="22">
        <f t="shared" ca="1" si="0"/>
        <v>0.81428139403531263</v>
      </c>
      <c r="AD11" s="22">
        <f t="shared" ca="1" si="0"/>
        <v>0.90674594923759599</v>
      </c>
      <c r="AE11" s="22">
        <f t="shared" ca="1" si="0"/>
        <v>0.90386800631593522</v>
      </c>
      <c r="AG11" s="19">
        <v>0.2</v>
      </c>
      <c r="AH11" s="19"/>
      <c r="AI11" s="19"/>
      <c r="AJ11" s="19"/>
      <c r="AK11" s="19"/>
      <c r="AL11" s="19"/>
      <c r="AM11" s="19"/>
    </row>
    <row r="12" spans="3:39" x14ac:dyDescent="0.25">
      <c r="C12" s="34" t="s">
        <v>6</v>
      </c>
      <c r="D12" s="53">
        <v>3.04</v>
      </c>
      <c r="E12" s="53">
        <v>3.1349999999999998</v>
      </c>
      <c r="F12" s="53">
        <v>3.0249999999999999</v>
      </c>
      <c r="G12" s="53">
        <v>3.1180000000000003</v>
      </c>
      <c r="H12" s="53">
        <v>2.9289999999999998</v>
      </c>
      <c r="I12" s="53">
        <v>2.8760000000000003</v>
      </c>
      <c r="J12" s="53">
        <v>2.8239999999999998</v>
      </c>
      <c r="K12" s="53">
        <v>3.5270000000000001</v>
      </c>
      <c r="L12" s="53">
        <v>3.1280000000000001</v>
      </c>
      <c r="M12" s="53">
        <v>3.3239999999999998</v>
      </c>
      <c r="N12" s="53">
        <v>3.0229999999999997</v>
      </c>
      <c r="O12" s="53">
        <v>3.0229999999999997</v>
      </c>
      <c r="Y12" s="17" t="str">
        <f t="shared" si="1"/>
        <v>ηIStc</v>
      </c>
      <c r="Z12" s="22">
        <f t="shared" ca="1" si="0"/>
        <v>0.71118997003778239</v>
      </c>
      <c r="AA12" s="22">
        <f t="shared" ca="1" si="0"/>
        <v>0.66738751373262772</v>
      </c>
      <c r="AB12" s="22">
        <f t="shared" ca="1" si="0"/>
        <v>0.65685768196349081</v>
      </c>
      <c r="AC12" s="22">
        <f t="shared" ca="1" si="0"/>
        <v>0.6615901534175016</v>
      </c>
      <c r="AD12" s="22">
        <f t="shared" ca="1" si="0"/>
        <v>0.70543095512980392</v>
      </c>
      <c r="AE12" s="22">
        <f t="shared" ca="1" si="0"/>
        <v>0.7111447911310087</v>
      </c>
      <c r="AH12" s="19"/>
      <c r="AI12" s="19"/>
      <c r="AJ12" s="19"/>
      <c r="AK12" s="19"/>
      <c r="AL12" s="19"/>
      <c r="AM12" s="19"/>
    </row>
    <row r="13" spans="3:39" x14ac:dyDescent="0.25">
      <c r="C13" s="34" t="s">
        <v>7</v>
      </c>
      <c r="D13" s="48">
        <f t="shared" ref="D13:O13" ca="1" si="2">FORECAST(D6,OFFSET(backpressure,MATCH(D6,load,1)-1,0,2),OFFSET(load,MATCH(D6,load,1)-1,0,2))</f>
        <v>1.0911532566666667E-2</v>
      </c>
      <c r="E13" s="48">
        <f t="shared" ca="1" si="2"/>
        <v>1.1781055533333334E-2</v>
      </c>
      <c r="F13" s="48">
        <f t="shared" ca="1" si="2"/>
        <v>8.6233142333333387E-3</v>
      </c>
      <c r="G13" s="48">
        <f t="shared" ca="1" si="2"/>
        <v>6.9352628799999984E-3</v>
      </c>
      <c r="H13" s="48">
        <f t="shared" ca="1" si="2"/>
        <v>6.9980254399999971E-3</v>
      </c>
      <c r="I13" s="48">
        <f t="shared" ca="1" si="2"/>
        <v>6.872500319999998E-3</v>
      </c>
      <c r="J13" s="48">
        <f t="shared" ca="1" si="2"/>
        <v>1.0774239466666669E-2</v>
      </c>
      <c r="K13" s="48">
        <f t="shared" ca="1" si="2"/>
        <v>6.919572239999997E-3</v>
      </c>
      <c r="L13" s="48">
        <f t="shared" ca="1" si="2"/>
        <v>8.1199062000000058E-3</v>
      </c>
      <c r="M13" s="48">
        <f t="shared" ca="1" si="2"/>
        <v>8.5775498666666727E-3</v>
      </c>
      <c r="N13" s="48">
        <f t="shared" ca="1" si="2"/>
        <v>9.3097797333333357E-3</v>
      </c>
      <c r="O13" s="48">
        <f t="shared" ca="1" si="2"/>
        <v>9.3097797333333357E-3</v>
      </c>
      <c r="AG13" s="17" t="s">
        <v>4</v>
      </c>
      <c r="AH13" s="19"/>
      <c r="AI13" s="19"/>
      <c r="AJ13" s="19"/>
      <c r="AK13" s="19"/>
      <c r="AL13" s="19"/>
      <c r="AM13" s="19"/>
    </row>
    <row r="14" spans="3:39" x14ac:dyDescent="0.25">
      <c r="C14" s="34" t="s">
        <v>9</v>
      </c>
      <c r="D14" s="17">
        <v>1.6671305000000001E-2</v>
      </c>
      <c r="E14" s="17">
        <v>1.7651969999999999E-2</v>
      </c>
      <c r="F14" s="17">
        <v>1.7651969999999999E-2</v>
      </c>
      <c r="G14" s="17">
        <v>1.8142302499999999E-2</v>
      </c>
      <c r="H14" s="17">
        <v>1.5690639999999999E-2</v>
      </c>
      <c r="I14" s="17">
        <v>1.5200307499999999E-2</v>
      </c>
      <c r="J14" s="17">
        <v>1.6916471249999999E-2</v>
      </c>
      <c r="K14" s="17">
        <v>1.2748644999999999E-2</v>
      </c>
      <c r="L14" s="17">
        <v>1.372931E-2</v>
      </c>
      <c r="M14" s="17">
        <v>1.7651969999999999E-2</v>
      </c>
      <c r="N14" s="17">
        <v>1.6671305000000001E-2</v>
      </c>
      <c r="O14" s="17">
        <v>1.6671305000000001E-2</v>
      </c>
      <c r="Y14" s="17" t="s">
        <v>53</v>
      </c>
      <c r="AH14" s="19"/>
      <c r="AI14" s="19"/>
      <c r="AJ14" s="19"/>
      <c r="AK14" s="19"/>
      <c r="AL14" s="19"/>
      <c r="AM14" s="19"/>
    </row>
    <row r="15" spans="3:39" x14ac:dyDescent="0.25">
      <c r="C15" s="34" t="s">
        <v>8</v>
      </c>
      <c r="D15" s="17">
        <v>4.903325E-3</v>
      </c>
      <c r="E15" s="17">
        <v>3.9226599999999997E-3</v>
      </c>
      <c r="F15" s="17">
        <v>3.97169325E-3</v>
      </c>
      <c r="G15" s="17">
        <v>3.97169325E-3</v>
      </c>
      <c r="H15" s="17">
        <v>2.9419950000000002E-3</v>
      </c>
      <c r="I15" s="17">
        <v>2.6968287500000001E-3</v>
      </c>
      <c r="J15" s="17">
        <v>3.5303940000000001E-3</v>
      </c>
      <c r="K15" s="17">
        <v>2.9419950000000002E-3</v>
      </c>
      <c r="L15" s="17">
        <v>1.9613299999999998E-3</v>
      </c>
      <c r="M15" s="17">
        <v>2.9419950000000002E-3</v>
      </c>
      <c r="N15" s="17">
        <v>2.9419950000000002E-3</v>
      </c>
      <c r="O15" s="17">
        <v>2.9419950000000002E-3</v>
      </c>
      <c r="Y15" s="17" t="str">
        <f>Y6</f>
        <v>ηc</v>
      </c>
      <c r="Z15" s="40">
        <f>Z10-Z6</f>
        <v>-1.0845416412520459E-2</v>
      </c>
      <c r="AA15" s="40">
        <f t="shared" ref="AA15:AE15" si="3">AA10-AA6</f>
        <v>-1.7936827727846882E-3</v>
      </c>
      <c r="AB15" s="40">
        <f t="shared" si="3"/>
        <v>5.1335406549797513E-2</v>
      </c>
      <c r="AC15" s="40">
        <f t="shared" si="3"/>
        <v>3.2784251289880384E-2</v>
      </c>
      <c r="AD15" s="40">
        <f t="shared" si="3"/>
        <v>1.3596949253549928E-2</v>
      </c>
      <c r="AE15" s="40">
        <f t="shared" si="3"/>
        <v>3.8675373469480023E-2</v>
      </c>
      <c r="AH15" s="19"/>
      <c r="AI15" s="19"/>
      <c r="AJ15" s="19"/>
      <c r="AK15" s="19"/>
      <c r="AL15" s="19"/>
      <c r="AM15" s="19"/>
    </row>
    <row r="16" spans="3:39" x14ac:dyDescent="0.25">
      <c r="C16" s="34" t="s">
        <v>10</v>
      </c>
      <c r="D16" s="17">
        <v>11800</v>
      </c>
      <c r="E16" s="17">
        <v>12085</v>
      </c>
      <c r="F16" s="17">
        <v>11800</v>
      </c>
      <c r="G16" s="17">
        <v>11981.5</v>
      </c>
      <c r="H16" s="17">
        <v>11992.5</v>
      </c>
      <c r="I16" s="17">
        <v>11873</v>
      </c>
      <c r="J16" s="17">
        <v>11748</v>
      </c>
      <c r="K16" s="17">
        <v>11864</v>
      </c>
      <c r="L16" s="17">
        <v>11769.5</v>
      </c>
      <c r="M16" s="17">
        <v>12410.5</v>
      </c>
      <c r="N16" s="17">
        <v>12520</v>
      </c>
      <c r="O16" s="17">
        <v>12520</v>
      </c>
      <c r="Y16" s="17" t="str">
        <f t="shared" ref="Y16:Y17" si="4">Y7</f>
        <v>ηISt</v>
      </c>
      <c r="Z16" s="40">
        <f t="shared" ref="Z16:AE17" ca="1" si="5">Z11-Z7</f>
        <v>3.4153593755859135E-2</v>
      </c>
      <c r="AA16" s="40">
        <f t="shared" ca="1" si="5"/>
        <v>1.5092263853548116E-2</v>
      </c>
      <c r="AB16" s="40">
        <f t="shared" ca="1" si="5"/>
        <v>-7.5795068593757398E-2</v>
      </c>
      <c r="AC16" s="40">
        <f t="shared" ca="1" si="5"/>
        <v>-7.3783286081941624E-2</v>
      </c>
      <c r="AD16" s="40">
        <f t="shared" ca="1" si="5"/>
        <v>2.1399242183689937E-2</v>
      </c>
      <c r="AE16" s="40">
        <f t="shared" ca="1" si="5"/>
        <v>1.4755884256739349E-2</v>
      </c>
      <c r="AH16" s="19"/>
      <c r="AI16" s="19"/>
      <c r="AJ16" s="19"/>
      <c r="AK16" s="19"/>
      <c r="AL16" s="19"/>
      <c r="AM16" s="19"/>
    </row>
    <row r="17" spans="1:39" x14ac:dyDescent="0.25">
      <c r="C17" s="34" t="s">
        <v>12</v>
      </c>
      <c r="D17" s="17">
        <v>162.5</v>
      </c>
      <c r="E17" s="17">
        <v>170</v>
      </c>
      <c r="F17" s="17">
        <v>170</v>
      </c>
      <c r="G17" s="17">
        <v>177.5</v>
      </c>
      <c r="H17" s="17">
        <v>174.5</v>
      </c>
      <c r="I17" s="17">
        <v>172.5</v>
      </c>
      <c r="J17" s="17">
        <v>172.5</v>
      </c>
      <c r="K17" s="17">
        <v>159</v>
      </c>
      <c r="L17" s="17">
        <v>155</v>
      </c>
      <c r="M17" s="17">
        <v>170</v>
      </c>
      <c r="N17" s="17">
        <v>170</v>
      </c>
      <c r="O17" s="17">
        <v>170</v>
      </c>
      <c r="Y17" s="17" t="str">
        <f t="shared" si="4"/>
        <v>ηIStc</v>
      </c>
      <c r="Z17" s="40">
        <f t="shared" ca="1" si="5"/>
        <v>8.7879207006152926E-2</v>
      </c>
      <c r="AA17" s="40">
        <f t="shared" ca="1" si="5"/>
        <v>1.0120492296955663E-2</v>
      </c>
      <c r="AB17" s="40">
        <f t="shared" ca="1" si="5"/>
        <v>-1.5839409313827657E-2</v>
      </c>
      <c r="AC17" s="40">
        <f t="shared" ca="1" si="5"/>
        <v>-3.0833162932680236E-2</v>
      </c>
      <c r="AD17" s="40">
        <f t="shared" ca="1" si="5"/>
        <v>2.8686214182097269E-2</v>
      </c>
      <c r="AE17" s="40">
        <f t="shared" ca="1" si="5"/>
        <v>4.59963701745848E-2</v>
      </c>
      <c r="AH17" s="19"/>
      <c r="AI17" s="19"/>
      <c r="AJ17" s="19"/>
      <c r="AK17" s="19"/>
      <c r="AL17" s="19"/>
      <c r="AM17" s="19"/>
    </row>
    <row r="18" spans="1:39" x14ac:dyDescent="0.25">
      <c r="C18" s="34" t="s">
        <v>13</v>
      </c>
      <c r="D18" s="17">
        <v>230</v>
      </c>
      <c r="E18" s="17">
        <v>222.5</v>
      </c>
      <c r="F18" s="17">
        <v>242.5</v>
      </c>
      <c r="G18" s="17">
        <v>240</v>
      </c>
      <c r="H18" s="17">
        <v>232.5</v>
      </c>
      <c r="I18" s="17">
        <v>242.5</v>
      </c>
      <c r="J18" s="17">
        <v>256.5</v>
      </c>
      <c r="K18" s="17">
        <v>235</v>
      </c>
      <c r="L18" s="17">
        <v>210</v>
      </c>
      <c r="M18" s="17">
        <v>245</v>
      </c>
      <c r="N18" s="17">
        <v>217.5</v>
      </c>
      <c r="O18" s="17">
        <v>217.5</v>
      </c>
    </row>
    <row r="19" spans="1:39" ht="18" x14ac:dyDescent="0.35">
      <c r="C19" s="34" t="s">
        <v>44</v>
      </c>
      <c r="D19" s="48">
        <v>0.95</v>
      </c>
      <c r="E19" s="48">
        <v>0.95</v>
      </c>
      <c r="F19" s="48">
        <v>0.95</v>
      </c>
      <c r="G19" s="48">
        <v>0.95</v>
      </c>
      <c r="H19" s="48">
        <v>0.95</v>
      </c>
      <c r="I19" s="48">
        <v>0.95</v>
      </c>
      <c r="J19" s="48">
        <v>0.95</v>
      </c>
      <c r="K19" s="48">
        <v>0.95</v>
      </c>
      <c r="L19" s="48">
        <v>0.95</v>
      </c>
      <c r="M19" s="48">
        <v>0.95</v>
      </c>
      <c r="N19" s="48">
        <v>0.95</v>
      </c>
      <c r="O19" s="48">
        <v>0.95</v>
      </c>
    </row>
    <row r="20" spans="1:39" x14ac:dyDescent="0.25">
      <c r="C20" s="34" t="s">
        <v>54</v>
      </c>
      <c r="D20" s="52">
        <f>D10-D12</f>
        <v>0.20000000000000018</v>
      </c>
      <c r="E20" s="52">
        <f t="shared" ref="E20:O20" si="6">E10-E12</f>
        <v>0.10000000000000053</v>
      </c>
      <c r="F20" s="52">
        <f t="shared" si="6"/>
        <v>0.10000000000000009</v>
      </c>
      <c r="G20" s="52">
        <f t="shared" si="6"/>
        <v>9.9999999999999645E-2</v>
      </c>
      <c r="H20" s="52">
        <f t="shared" si="6"/>
        <v>0.20000000000000018</v>
      </c>
      <c r="I20" s="52">
        <f t="shared" si="6"/>
        <v>0.19999999999999929</v>
      </c>
      <c r="J20" s="52">
        <f t="shared" si="6"/>
        <v>0.20000000000000018</v>
      </c>
      <c r="K20" s="52">
        <f t="shared" si="6"/>
        <v>-0.5</v>
      </c>
      <c r="L20" s="52">
        <f t="shared" si="6"/>
        <v>0</v>
      </c>
      <c r="M20" s="52">
        <f t="shared" si="6"/>
        <v>0</v>
      </c>
      <c r="N20" s="52">
        <f t="shared" si="6"/>
        <v>0.5</v>
      </c>
      <c r="O20" s="52">
        <f t="shared" si="6"/>
        <v>0.5</v>
      </c>
    </row>
    <row r="21" spans="1:39" ht="18.75" x14ac:dyDescent="0.3">
      <c r="B21" s="21">
        <v>1</v>
      </c>
      <c r="C21" s="21" t="s">
        <v>15</v>
      </c>
      <c r="D21" s="19">
        <f t="shared" ref="D21:O21" ca="1" si="7">D20-FORECAST(D6,OFFSET(pscexh,MATCH(D6,load,1)-1,0,2),OFFSET(load,MATCH(D6,load,1)-1,0,2))</f>
        <v>-4.0199999999999958E-2</v>
      </c>
      <c r="E21" s="19">
        <f t="shared" ca="1" si="7"/>
        <v>-0.15159999999999962</v>
      </c>
      <c r="F21" s="19">
        <f t="shared" ca="1" si="7"/>
        <v>-0.11020000000000013</v>
      </c>
      <c r="G21" s="19">
        <f t="shared" ca="1" si="7"/>
        <v>-8.8400000000000561E-2</v>
      </c>
      <c r="H21" s="19">
        <f t="shared" ca="1" si="7"/>
        <v>1.0799999999999976E-2</v>
      </c>
      <c r="I21" s="19">
        <f t="shared" ca="1" si="7"/>
        <v>1.2399999999999078E-2</v>
      </c>
      <c r="J21" s="19">
        <f t="shared" ca="1" si="7"/>
        <v>-3.8399999999999934E-2</v>
      </c>
      <c r="K21" s="19">
        <f t="shared" ca="1" si="7"/>
        <v>-0.68820000000000014</v>
      </c>
      <c r="L21" s="19">
        <f t="shared" ca="1" si="7"/>
        <v>-0.20360000000000023</v>
      </c>
      <c r="M21" s="19">
        <f t="shared" ca="1" si="7"/>
        <v>-0.20960000000000023</v>
      </c>
      <c r="N21" s="19">
        <f t="shared" ca="1" si="7"/>
        <v>0.28079999999999977</v>
      </c>
      <c r="O21" s="19">
        <f t="shared" ca="1" si="7"/>
        <v>0.28079999999999977</v>
      </c>
      <c r="Z21" s="17">
        <v>5000</v>
      </c>
      <c r="AA21" s="17">
        <f>Z21+W2</f>
        <v>5000</v>
      </c>
    </row>
    <row r="22" spans="1:39" ht="18.75" x14ac:dyDescent="0.3">
      <c r="B22" s="21"/>
      <c r="C22" s="21" t="s">
        <v>29</v>
      </c>
      <c r="Z22" s="17">
        <v>2.5</v>
      </c>
      <c r="AA22" s="17">
        <f>Z22+Q2</f>
        <v>2.5</v>
      </c>
    </row>
    <row r="23" spans="1:39" x14ac:dyDescent="0.25">
      <c r="C23" s="17" t="s">
        <v>17</v>
      </c>
      <c r="D23" s="19">
        <f>D9/1000-D15</f>
        <v>1.0350966750000001</v>
      </c>
      <c r="E23" s="19">
        <f t="shared" ref="E23:H23" si="8">E9/1000-E15</f>
        <v>1.03107734</v>
      </c>
      <c r="F23" s="19">
        <f t="shared" si="8"/>
        <v>1.0210283067499999</v>
      </c>
      <c r="G23" s="19">
        <f t="shared" si="8"/>
        <v>1.01402830675</v>
      </c>
      <c r="H23" s="19">
        <f t="shared" si="8"/>
        <v>1.0260580049999999</v>
      </c>
      <c r="I23" s="19">
        <f>I9/1000-I15</f>
        <v>1.02330317125</v>
      </c>
      <c r="J23" s="19">
        <f>J9/1000-J15</f>
        <v>1.020469606</v>
      </c>
      <c r="K23" s="19">
        <f t="shared" ref="K23:N23" si="9">K9/1000-K15</f>
        <v>1.0240580049999999</v>
      </c>
      <c r="L23" s="19">
        <f t="shared" si="9"/>
        <v>1.0260386699999999</v>
      </c>
      <c r="M23" s="19">
        <f t="shared" si="9"/>
        <v>1.021058005</v>
      </c>
      <c r="N23" s="19">
        <f t="shared" si="9"/>
        <v>1.0200580049999999</v>
      </c>
      <c r="O23" s="19">
        <f>O9/1000-O15</f>
        <v>1.0200580049999999</v>
      </c>
      <c r="Z23" s="17">
        <f>Z21/Z22</f>
        <v>2000</v>
      </c>
      <c r="AA23" s="17">
        <f>AA21/AA22</f>
        <v>2000</v>
      </c>
      <c r="AB23" s="42">
        <f>(AA23-Z23)/Z23</f>
        <v>0</v>
      </c>
    </row>
    <row r="24" spans="1:39" x14ac:dyDescent="0.25">
      <c r="C24" s="17" t="s">
        <v>18</v>
      </c>
      <c r="D24" s="17">
        <f>D10+D14+$Q$2</f>
        <v>3.2566713050000002</v>
      </c>
      <c r="E24" s="17">
        <f t="shared" ref="E24:O24" si="10">E10+E14+$Q$2</f>
        <v>3.2526519700000005</v>
      </c>
      <c r="F24" s="17">
        <f t="shared" si="10"/>
        <v>3.1426519700000002</v>
      </c>
      <c r="G24" s="17">
        <f t="shared" si="10"/>
        <v>3.2361423024999998</v>
      </c>
      <c r="H24" s="17">
        <f t="shared" si="10"/>
        <v>3.1446906399999999</v>
      </c>
      <c r="I24" s="17">
        <f t="shared" si="10"/>
        <v>3.0912003074999994</v>
      </c>
      <c r="J24" s="17">
        <f t="shared" si="10"/>
        <v>3.0409164712500001</v>
      </c>
      <c r="K24" s="17">
        <f t="shared" si="10"/>
        <v>3.039748645</v>
      </c>
      <c r="L24" s="17">
        <f t="shared" si="10"/>
        <v>3.1417293100000001</v>
      </c>
      <c r="M24" s="17">
        <f t="shared" si="10"/>
        <v>3.34165197</v>
      </c>
      <c r="N24" s="17">
        <f t="shared" si="10"/>
        <v>3.5396713049999997</v>
      </c>
      <c r="O24" s="17">
        <f t="shared" si="10"/>
        <v>3.5396713049999997</v>
      </c>
    </row>
    <row r="25" spans="1:39" x14ac:dyDescent="0.25">
      <c r="C25" s="17" t="s">
        <v>24</v>
      </c>
      <c r="D25" s="19">
        <f>D8+273.15+$W$3</f>
        <v>307.14999999999998</v>
      </c>
      <c r="E25" s="19">
        <f t="shared" ref="E25:O25" si="11">E8+273.15+$W$3</f>
        <v>305.14999999999998</v>
      </c>
      <c r="F25" s="19">
        <f t="shared" si="11"/>
        <v>313.14999999999998</v>
      </c>
      <c r="G25" s="19">
        <f t="shared" si="11"/>
        <v>312.14999999999998</v>
      </c>
      <c r="H25" s="19">
        <f t="shared" si="11"/>
        <v>312.14999999999998</v>
      </c>
      <c r="I25" s="19">
        <f t="shared" si="11"/>
        <v>314.14999999999998</v>
      </c>
      <c r="J25" s="19">
        <f t="shared" si="11"/>
        <v>314.14999999999998</v>
      </c>
      <c r="K25" s="19">
        <f t="shared" si="11"/>
        <v>318.14999999999998</v>
      </c>
      <c r="L25" s="19">
        <f t="shared" si="11"/>
        <v>308.14999999999998</v>
      </c>
      <c r="M25" s="19">
        <f t="shared" si="11"/>
        <v>313.14999999999998</v>
      </c>
      <c r="N25" s="19">
        <f t="shared" si="11"/>
        <v>308.14999999999998</v>
      </c>
      <c r="O25" s="19">
        <f t="shared" si="11"/>
        <v>308.14999999999998</v>
      </c>
    </row>
    <row r="26" spans="1:39" x14ac:dyDescent="0.25">
      <c r="C26" s="17" t="s">
        <v>16</v>
      </c>
      <c r="D26" s="17">
        <f t="shared" ref="D26:N26" si="12">D24/D23</f>
        <v>3.1462484458275357</v>
      </c>
      <c r="E26" s="17">
        <f t="shared" si="12"/>
        <v>3.1546149292738801</v>
      </c>
      <c r="F26" s="17">
        <f t="shared" si="12"/>
        <v>3.0779283485325375</v>
      </c>
      <c r="G26" s="17">
        <f t="shared" si="12"/>
        <v>3.1913727466563149</v>
      </c>
      <c r="H26" s="17">
        <f t="shared" si="12"/>
        <v>3.0648273534984023</v>
      </c>
      <c r="I26" s="17">
        <f t="shared" si="12"/>
        <v>3.0208059491538486</v>
      </c>
      <c r="J26" s="17">
        <f t="shared" si="12"/>
        <v>2.9799187093574249</v>
      </c>
      <c r="K26" s="17">
        <f t="shared" si="12"/>
        <v>2.9683363932104609</v>
      </c>
      <c r="L26" s="17">
        <f t="shared" si="12"/>
        <v>3.0619989303132216</v>
      </c>
      <c r="M26" s="17">
        <f t="shared" si="12"/>
        <v>3.2727347061933076</v>
      </c>
      <c r="N26" s="17">
        <f t="shared" si="12"/>
        <v>3.4700686506548224</v>
      </c>
      <c r="O26" s="17">
        <f>O24/O23</f>
        <v>3.4700686506548224</v>
      </c>
    </row>
    <row r="27" spans="1:39" x14ac:dyDescent="0.25">
      <c r="C27" s="17" t="s">
        <v>27</v>
      </c>
      <c r="D27" s="20">
        <f>D26^$I$2-1</f>
        <v>0.38585533074002321</v>
      </c>
      <c r="E27" s="20">
        <f t="shared" ref="E27:N27" si="13">E26^$I$2-1</f>
        <v>0.38690349929236545</v>
      </c>
      <c r="F27" s="20">
        <f t="shared" si="13"/>
        <v>0.37722055032509716</v>
      </c>
      <c r="G27" s="20">
        <f t="shared" si="13"/>
        <v>0.3914851698114421</v>
      </c>
      <c r="H27" s="20">
        <f t="shared" si="13"/>
        <v>0.37554912330274037</v>
      </c>
      <c r="I27" s="20">
        <f t="shared" si="13"/>
        <v>0.36989515189180766</v>
      </c>
      <c r="J27" s="20">
        <f t="shared" si="13"/>
        <v>0.36459068371001235</v>
      </c>
      <c r="K27" s="20">
        <f t="shared" si="13"/>
        <v>0.36307860656697577</v>
      </c>
      <c r="L27" s="20">
        <f t="shared" si="13"/>
        <v>0.37518760209713586</v>
      </c>
      <c r="M27" s="20">
        <f t="shared" si="13"/>
        <v>0.40149386552790056</v>
      </c>
      <c r="N27" s="20">
        <f t="shared" si="13"/>
        <v>0.42505015801675672</v>
      </c>
      <c r="O27" s="20">
        <f>O26^$I$2-1</f>
        <v>0.42505015801675672</v>
      </c>
    </row>
    <row r="28" spans="1:39" x14ac:dyDescent="0.25">
      <c r="C28" s="17" t="s">
        <v>28</v>
      </c>
      <c r="D28" s="17">
        <f t="shared" ref="D28:O28" si="14">(PI()*$D$3*(D16+$W$2))^2</f>
        <v>732334476.68681371</v>
      </c>
      <c r="E28" s="17">
        <f t="shared" si="14"/>
        <v>768137159.52266836</v>
      </c>
      <c r="F28" s="17">
        <f t="shared" si="14"/>
        <v>732334476.68681371</v>
      </c>
      <c r="G28" s="17">
        <f t="shared" si="14"/>
        <v>755036331.346789</v>
      </c>
      <c r="H28" s="17">
        <f t="shared" si="14"/>
        <v>756423338.34323382</v>
      </c>
      <c r="I28" s="17">
        <f t="shared" si="14"/>
        <v>741423592.22015405</v>
      </c>
      <c r="J28" s="17">
        <f t="shared" si="14"/>
        <v>725894225.053913</v>
      </c>
      <c r="K28" s="17">
        <f t="shared" si="14"/>
        <v>740299986.85346329</v>
      </c>
      <c r="L28" s="17">
        <f t="shared" si="14"/>
        <v>728553572.47701609</v>
      </c>
      <c r="M28" s="17">
        <f t="shared" si="14"/>
        <v>810072750.45223927</v>
      </c>
      <c r="N28" s="17">
        <f t="shared" si="14"/>
        <v>824430638.85700047</v>
      </c>
      <c r="O28" s="17">
        <f t="shared" si="14"/>
        <v>824430638.85700047</v>
      </c>
    </row>
    <row r="29" spans="1:39" x14ac:dyDescent="0.25">
      <c r="C29" s="17" t="s">
        <v>49</v>
      </c>
      <c r="D29" s="18">
        <f t="shared" ref="D29:O29" si="15">(3614400*D25*D27)/($D$2*D28)</f>
        <v>0.81239877736243571</v>
      </c>
      <c r="E29" s="18">
        <f t="shared" si="15"/>
        <v>0.77158002155475391</v>
      </c>
      <c r="F29" s="18">
        <f t="shared" si="15"/>
        <v>0.80973329517545622</v>
      </c>
      <c r="G29" s="18">
        <f t="shared" si="15"/>
        <v>0.81248344646422155</v>
      </c>
      <c r="H29" s="18">
        <f t="shared" si="15"/>
        <v>0.77798081780562633</v>
      </c>
      <c r="I29" s="18">
        <f t="shared" si="15"/>
        <v>0.78677947019007255</v>
      </c>
      <c r="J29" s="18">
        <f t="shared" si="15"/>
        <v>0.79208722133110798</v>
      </c>
      <c r="K29" s="18">
        <f t="shared" si="15"/>
        <v>0.78330078733985531</v>
      </c>
      <c r="L29" s="18">
        <f t="shared" si="15"/>
        <v>0.79662306390131143</v>
      </c>
      <c r="M29" s="18">
        <f t="shared" si="15"/>
        <v>0.77913196768778781</v>
      </c>
      <c r="N29" s="18">
        <f t="shared" si="15"/>
        <v>0.79753903372606572</v>
      </c>
      <c r="O29" s="18">
        <f t="shared" si="15"/>
        <v>0.79753903372606572</v>
      </c>
    </row>
    <row r="30" spans="1:39" x14ac:dyDescent="0.25">
      <c r="C30" s="17" t="s">
        <v>30</v>
      </c>
      <c r="D30" s="18">
        <f>D29/$U$2</f>
        <v>0.90266530818048407</v>
      </c>
      <c r="E30" s="18">
        <f t="shared" ref="E30:O30" si="16">E29/$U$2</f>
        <v>0.85731113506083767</v>
      </c>
      <c r="F30" s="18">
        <f t="shared" si="16"/>
        <v>0.8997036613060625</v>
      </c>
      <c r="G30" s="18">
        <f t="shared" si="16"/>
        <v>0.9027593849602461</v>
      </c>
      <c r="H30" s="18">
        <f t="shared" si="16"/>
        <v>0.86442313089514033</v>
      </c>
      <c r="I30" s="18">
        <f t="shared" si="16"/>
        <v>0.87419941132230283</v>
      </c>
      <c r="J30" s="18">
        <f t="shared" si="16"/>
        <v>0.88009691259011991</v>
      </c>
      <c r="K30" s="18">
        <f t="shared" si="16"/>
        <v>0.87033420815539475</v>
      </c>
      <c r="L30" s="18">
        <f t="shared" si="16"/>
        <v>0.88513673766812384</v>
      </c>
      <c r="M30" s="18">
        <f t="shared" si="16"/>
        <v>0.86570218631976426</v>
      </c>
      <c r="N30" s="18">
        <f t="shared" si="16"/>
        <v>0.88615448191785073</v>
      </c>
      <c r="O30" s="18">
        <f t="shared" si="16"/>
        <v>0.88615448191785073</v>
      </c>
    </row>
    <row r="31" spans="1:39" ht="18.75" x14ac:dyDescent="0.3">
      <c r="C31" s="21" t="s">
        <v>33</v>
      </c>
    </row>
    <row r="32" spans="1:39" x14ac:dyDescent="0.25">
      <c r="A32" s="17" t="s">
        <v>30</v>
      </c>
      <c r="C32" s="17" t="s">
        <v>23</v>
      </c>
      <c r="D32" s="17">
        <f t="shared" ref="D32:J32" si="17">D12+$S$2</f>
        <v>3.04</v>
      </c>
      <c r="E32" s="17">
        <f t="shared" si="17"/>
        <v>3.1349999999999998</v>
      </c>
      <c r="F32" s="17">
        <f t="shared" si="17"/>
        <v>3.0249999999999999</v>
      </c>
      <c r="G32" s="17">
        <f t="shared" si="17"/>
        <v>3.1180000000000003</v>
      </c>
      <c r="H32" s="17">
        <f t="shared" si="17"/>
        <v>2.9289999999999998</v>
      </c>
      <c r="I32" s="17">
        <f t="shared" si="17"/>
        <v>2.8760000000000003</v>
      </c>
      <c r="J32" s="17">
        <f t="shared" si="17"/>
        <v>2.8239999999999998</v>
      </c>
      <c r="K32" s="17">
        <f t="shared" ref="K32:O32" si="18">K12+$S$2</f>
        <v>3.5270000000000001</v>
      </c>
      <c r="L32" s="17">
        <f t="shared" si="18"/>
        <v>3.1280000000000001</v>
      </c>
      <c r="M32" s="17">
        <f t="shared" si="18"/>
        <v>3.3239999999999998</v>
      </c>
      <c r="N32" s="17">
        <f t="shared" si="18"/>
        <v>3.0229999999999997</v>
      </c>
      <c r="O32" s="17">
        <f t="shared" si="18"/>
        <v>3.0229999999999997</v>
      </c>
    </row>
    <row r="33" spans="2:15" x14ac:dyDescent="0.25">
      <c r="C33" s="17" t="s">
        <v>31</v>
      </c>
      <c r="D33" s="17">
        <f ca="1">D9/1000+D13</f>
        <v>1.0509115325666667</v>
      </c>
      <c r="E33" s="17">
        <f t="shared" ref="E33:O33" ca="1" si="19">E9/1000+E13</f>
        <v>1.0467810555333332</v>
      </c>
      <c r="F33" s="17">
        <f t="shared" ca="1" si="19"/>
        <v>1.0336233142333333</v>
      </c>
      <c r="G33" s="17">
        <f t="shared" ca="1" si="19"/>
        <v>1.0249352628799999</v>
      </c>
      <c r="H33" s="17">
        <f t="shared" ca="1" si="19"/>
        <v>1.0359980254399999</v>
      </c>
      <c r="I33" s="17">
        <f t="shared" ca="1" si="19"/>
        <v>1.0328725003200001</v>
      </c>
      <c r="J33" s="17">
        <f t="shared" ca="1" si="19"/>
        <v>1.0347742394666666</v>
      </c>
      <c r="K33" s="17">
        <f t="shared" ca="1" si="19"/>
        <v>1.0339195722399999</v>
      </c>
      <c r="L33" s="17">
        <f t="shared" ca="1" si="19"/>
        <v>1.0361199061999999</v>
      </c>
      <c r="M33" s="17">
        <f t="shared" ca="1" si="19"/>
        <v>1.0325775498666667</v>
      </c>
      <c r="N33" s="17">
        <f t="shared" ca="1" si="19"/>
        <v>1.0323097797333332</v>
      </c>
      <c r="O33" s="17">
        <f t="shared" ca="1" si="19"/>
        <v>1.0323097797333332</v>
      </c>
    </row>
    <row r="34" spans="2:15" x14ac:dyDescent="0.25">
      <c r="C34" s="17" t="s">
        <v>32</v>
      </c>
      <c r="D34" s="17">
        <f>D11+273.15+$Q$3</f>
        <v>615.65</v>
      </c>
      <c r="E34" s="17">
        <f t="shared" ref="E34:O34" si="20">E11+273.15+$Q$3</f>
        <v>635.65</v>
      </c>
      <c r="F34" s="17">
        <f t="shared" si="20"/>
        <v>658.15</v>
      </c>
      <c r="G34" s="17">
        <f t="shared" si="20"/>
        <v>655.65</v>
      </c>
      <c r="H34" s="17">
        <f t="shared" si="20"/>
        <v>625.65</v>
      </c>
      <c r="I34" s="17">
        <f t="shared" si="20"/>
        <v>623.15</v>
      </c>
      <c r="J34" s="17">
        <f t="shared" si="20"/>
        <v>675.15</v>
      </c>
      <c r="K34" s="17">
        <f t="shared" si="20"/>
        <v>630.15</v>
      </c>
      <c r="L34" s="17">
        <f t="shared" si="20"/>
        <v>660.15</v>
      </c>
      <c r="M34" s="17">
        <f t="shared" si="20"/>
        <v>676.65</v>
      </c>
      <c r="N34" s="17">
        <f t="shared" si="20"/>
        <v>648.15</v>
      </c>
      <c r="O34" s="17">
        <f t="shared" si="20"/>
        <v>648.15</v>
      </c>
    </row>
    <row r="35" spans="2:15" x14ac:dyDescent="0.25">
      <c r="C35" s="17" t="s">
        <v>26</v>
      </c>
      <c r="D35" s="17">
        <f t="shared" ref="D35:O35" ca="1" si="21">D32/D33</f>
        <v>2.8927268431200241</v>
      </c>
      <c r="E35" s="17">
        <f t="shared" ca="1" si="21"/>
        <v>2.9948956216089737</v>
      </c>
      <c r="F35" s="17">
        <f t="shared" ca="1" si="21"/>
        <v>2.9265980733452448</v>
      </c>
      <c r="G35" s="17">
        <f t="shared" ca="1" si="21"/>
        <v>3.0421433557068061</v>
      </c>
      <c r="H35" s="17">
        <f t="shared" ca="1" si="21"/>
        <v>2.8272254657589921</v>
      </c>
      <c r="I35" s="17">
        <f t="shared" ca="1" si="21"/>
        <v>2.7844675883121783</v>
      </c>
      <c r="J35" s="17">
        <f t="shared" ca="1" si="21"/>
        <v>2.7290977029496974</v>
      </c>
      <c r="K35" s="17">
        <f t="shared" ca="1" si="21"/>
        <v>3.4112904859308446</v>
      </c>
      <c r="L35" s="17">
        <f t="shared" ca="1" si="21"/>
        <v>3.0189556066652861</v>
      </c>
      <c r="M35" s="17">
        <f t="shared" ca="1" si="21"/>
        <v>3.219128675060984</v>
      </c>
      <c r="N35" s="17">
        <f t="shared" ca="1" si="21"/>
        <v>2.9283845405212596</v>
      </c>
      <c r="O35" s="17">
        <f t="shared" ca="1" si="21"/>
        <v>2.9283845405212596</v>
      </c>
    </row>
    <row r="36" spans="2:15" x14ac:dyDescent="0.25">
      <c r="C36" s="17" t="s">
        <v>39</v>
      </c>
      <c r="D36" s="20">
        <f t="shared" ref="D36:O36" ca="1" si="22">1-(D35)^-$I$3</f>
        <v>0.24510037287482478</v>
      </c>
      <c r="E36" s="20">
        <f t="shared" ca="1" si="22"/>
        <v>0.25200453608801876</v>
      </c>
      <c r="F36" s="20">
        <f t="shared" ca="1" si="22"/>
        <v>0.24742298724442435</v>
      </c>
      <c r="G36" s="20">
        <f t="shared" ca="1" si="22"/>
        <v>0.25509738711963037</v>
      </c>
      <c r="H36" s="20">
        <f t="shared" ca="1" si="22"/>
        <v>0.24050969324520688</v>
      </c>
      <c r="I36" s="20">
        <f t="shared" ca="1" si="22"/>
        <v>0.23743980404516118</v>
      </c>
      <c r="J36" s="20">
        <f t="shared" ca="1" si="22"/>
        <v>0.23337463639888611</v>
      </c>
      <c r="K36" s="20">
        <f t="shared" ca="1" si="22"/>
        <v>0.27734121840947645</v>
      </c>
      <c r="L36" s="20">
        <f t="shared" ca="1" si="22"/>
        <v>0.25358715988744762</v>
      </c>
      <c r="M36" s="20">
        <f t="shared" ca="1" si="22"/>
        <v>0.26616457054921661</v>
      </c>
      <c r="N36" s="20">
        <f t="shared" ca="1" si="22"/>
        <v>0.24754454394555081</v>
      </c>
      <c r="O36" s="20">
        <f t="shared" ca="1" si="22"/>
        <v>0.24754454394555081</v>
      </c>
    </row>
    <row r="37" spans="2:15" x14ac:dyDescent="0.25">
      <c r="C37" s="17" t="s">
        <v>34</v>
      </c>
      <c r="D37" s="18">
        <f t="shared" ref="D37:O37" ca="1" si="23" xml:space="preserve"> (0.9055*D25*D27)/(D34*D36)</f>
        <v>0.71118997003778239</v>
      </c>
      <c r="E37" s="18">
        <f t="shared" ca="1" si="23"/>
        <v>0.66738751373262772</v>
      </c>
      <c r="F37" s="18">
        <f t="shared" ca="1" si="23"/>
        <v>0.65685768196349081</v>
      </c>
      <c r="G37" s="18">
        <f t="shared" ca="1" si="23"/>
        <v>0.6615901534175016</v>
      </c>
      <c r="H37" s="18">
        <f t="shared" ca="1" si="23"/>
        <v>0.70543095512980392</v>
      </c>
      <c r="I37" s="18">
        <f t="shared" ca="1" si="23"/>
        <v>0.7111447911310087</v>
      </c>
      <c r="J37" s="18">
        <f t="shared" ca="1" si="23"/>
        <v>0.6582292229129878</v>
      </c>
      <c r="K37" s="18">
        <f t="shared" ca="1" si="23"/>
        <v>0.59849797111553271</v>
      </c>
      <c r="L37" s="18">
        <f t="shared" ca="1" si="23"/>
        <v>0.62535873183800172</v>
      </c>
      <c r="M37" s="18">
        <f t="shared" ca="1" si="23"/>
        <v>0.63212861893128858</v>
      </c>
      <c r="N37" s="18">
        <f t="shared" ca="1" si="23"/>
        <v>0.7391999429553614</v>
      </c>
      <c r="O37" s="18">
        <f t="shared" ca="1" si="23"/>
        <v>0.7391999429553614</v>
      </c>
    </row>
    <row r="39" spans="2:15" ht="18.75" x14ac:dyDescent="0.3">
      <c r="C39" s="21" t="s">
        <v>35</v>
      </c>
    </row>
    <row r="40" spans="2:15" x14ac:dyDescent="0.25">
      <c r="C40" s="17" t="s">
        <v>36</v>
      </c>
      <c r="D40" s="22">
        <f ca="1">D37/D29</f>
        <v>0.87541979364710321</v>
      </c>
      <c r="E40" s="22">
        <f t="shared" ref="E40:O40" ca="1" si="24">E37/E29</f>
        <v>0.86496214921146408</v>
      </c>
      <c r="F40" s="22">
        <f t="shared" ca="1" si="24"/>
        <v>0.81120251060092607</v>
      </c>
      <c r="G40" s="22">
        <f t="shared" ca="1" si="24"/>
        <v>0.81428139403531263</v>
      </c>
      <c r="H40" s="22">
        <f t="shared" ca="1" si="24"/>
        <v>0.90674594923759599</v>
      </c>
      <c r="I40" s="22">
        <f t="shared" ca="1" si="24"/>
        <v>0.90386800631593522</v>
      </c>
      <c r="J40" s="22">
        <f t="shared" ca="1" si="24"/>
        <v>0.83100598669781478</v>
      </c>
      <c r="K40" s="22">
        <f t="shared" ca="1" si="24"/>
        <v>0.76407170883623643</v>
      </c>
      <c r="L40" s="22">
        <f t="shared" ca="1" si="24"/>
        <v>0.78501208435445635</v>
      </c>
      <c r="M40" s="22">
        <f t="shared" ca="1" si="24"/>
        <v>0.81132419814225087</v>
      </c>
      <c r="N40" s="22">
        <f t="shared" ca="1" si="24"/>
        <v>0.9268511153640383</v>
      </c>
      <c r="O40" s="22">
        <f t="shared" ca="1" si="24"/>
        <v>0.9268511153640383</v>
      </c>
    </row>
    <row r="41" spans="2:15" ht="15.75" thickBot="1" x14ac:dyDescent="0.3">
      <c r="C41" s="17" t="s">
        <v>47</v>
      </c>
      <c r="D41" s="22">
        <f ca="1">D37/D30</f>
        <v>0.7878778142823929</v>
      </c>
      <c r="E41" s="17">
        <f t="shared" ref="E41:O41" ca="1" si="25">E37/E30</f>
        <v>0.77846593429031763</v>
      </c>
      <c r="F41" s="17">
        <f t="shared" ca="1" si="25"/>
        <v>0.73008225954083339</v>
      </c>
      <c r="G41" s="17">
        <f t="shared" ca="1" si="25"/>
        <v>0.73285325463178141</v>
      </c>
      <c r="H41" s="17">
        <f t="shared" ca="1" si="25"/>
        <v>0.81607135431383648</v>
      </c>
      <c r="I41" s="17">
        <f t="shared" ca="1" si="25"/>
        <v>0.81348120568434179</v>
      </c>
      <c r="J41" s="17">
        <f t="shared" ca="1" si="25"/>
        <v>0.74790538802803341</v>
      </c>
      <c r="K41" s="17">
        <f t="shared" ca="1" si="25"/>
        <v>0.68766453795261284</v>
      </c>
      <c r="L41" s="17">
        <f t="shared" ca="1" si="25"/>
        <v>0.70651087591901063</v>
      </c>
      <c r="M41" s="17">
        <f t="shared" ca="1" si="25"/>
        <v>0.73019177832802573</v>
      </c>
      <c r="N41" s="17">
        <f t="shared" ca="1" si="25"/>
        <v>0.83416600382763462</v>
      </c>
      <c r="O41" s="17">
        <f t="shared" ca="1" si="25"/>
        <v>0.83416600382763462</v>
      </c>
    </row>
    <row r="42" spans="2:15" ht="15.75" x14ac:dyDescent="0.25">
      <c r="C42" s="23" t="str">
        <f t="shared" ref="C42:O42" si="26">C29</f>
        <v>ηc</v>
      </c>
      <c r="D42" s="24">
        <f t="shared" si="26"/>
        <v>0.81239877736243571</v>
      </c>
      <c r="E42" s="24">
        <f t="shared" si="26"/>
        <v>0.77158002155475391</v>
      </c>
      <c r="F42" s="24">
        <f t="shared" si="26"/>
        <v>0.80973329517545622</v>
      </c>
      <c r="G42" s="24">
        <f t="shared" si="26"/>
        <v>0.81248344646422155</v>
      </c>
      <c r="H42" s="24">
        <f t="shared" si="26"/>
        <v>0.77798081780562633</v>
      </c>
      <c r="I42" s="24">
        <f t="shared" si="26"/>
        <v>0.78677947019007255</v>
      </c>
      <c r="J42" s="45">
        <f t="shared" si="26"/>
        <v>0.79208722133110798</v>
      </c>
      <c r="K42" s="45">
        <f t="shared" si="26"/>
        <v>0.78330078733985531</v>
      </c>
      <c r="L42" s="45">
        <f t="shared" si="26"/>
        <v>0.79662306390131143</v>
      </c>
      <c r="M42" s="45">
        <f t="shared" si="26"/>
        <v>0.77913196768778781</v>
      </c>
      <c r="N42" s="45">
        <f t="shared" si="26"/>
        <v>0.79753903372606572</v>
      </c>
      <c r="O42" s="45">
        <f t="shared" si="26"/>
        <v>0.79753903372606572</v>
      </c>
    </row>
    <row r="43" spans="2:15" ht="15.75" x14ac:dyDescent="0.25">
      <c r="C43" s="26" t="str">
        <f>C40</f>
        <v>ηISt</v>
      </c>
      <c r="D43" s="27">
        <f t="shared" ref="D43:O43" ca="1" si="27">D40</f>
        <v>0.87541979364710321</v>
      </c>
      <c r="E43" s="27">
        <f t="shared" ca="1" si="27"/>
        <v>0.86496214921146408</v>
      </c>
      <c r="F43" s="27">
        <f t="shared" ca="1" si="27"/>
        <v>0.81120251060092607</v>
      </c>
      <c r="G43" s="27">
        <f t="shared" ca="1" si="27"/>
        <v>0.81428139403531263</v>
      </c>
      <c r="H43" s="27">
        <f t="shared" ca="1" si="27"/>
        <v>0.90674594923759599</v>
      </c>
      <c r="I43" s="27">
        <f t="shared" ca="1" si="27"/>
        <v>0.90386800631593522</v>
      </c>
      <c r="J43" s="46">
        <f t="shared" ca="1" si="27"/>
        <v>0.83100598669781478</v>
      </c>
      <c r="K43" s="46">
        <f t="shared" ca="1" si="27"/>
        <v>0.76407170883623643</v>
      </c>
      <c r="L43" s="46">
        <f t="shared" ca="1" si="27"/>
        <v>0.78501208435445635</v>
      </c>
      <c r="M43" s="46">
        <f t="shared" ca="1" si="27"/>
        <v>0.81132419814225087</v>
      </c>
      <c r="N43" s="46">
        <f t="shared" ca="1" si="27"/>
        <v>0.9268511153640383</v>
      </c>
      <c r="O43" s="46">
        <f t="shared" ca="1" si="27"/>
        <v>0.9268511153640383</v>
      </c>
    </row>
    <row r="44" spans="2:15" ht="16.5" thickBot="1" x14ac:dyDescent="0.3">
      <c r="C44" s="29" t="str">
        <f>C37</f>
        <v>ηIStc</v>
      </c>
      <c r="D44" s="30">
        <f t="shared" ref="D44:O44" ca="1" si="28">D37</f>
        <v>0.71118997003778239</v>
      </c>
      <c r="E44" s="30">
        <f t="shared" ca="1" si="28"/>
        <v>0.66738751373262772</v>
      </c>
      <c r="F44" s="30">
        <f t="shared" ca="1" si="28"/>
        <v>0.65685768196349081</v>
      </c>
      <c r="G44" s="30">
        <f t="shared" ca="1" si="28"/>
        <v>0.6615901534175016</v>
      </c>
      <c r="H44" s="30">
        <f t="shared" ca="1" si="28"/>
        <v>0.70543095512980392</v>
      </c>
      <c r="I44" s="30">
        <f t="shared" ca="1" si="28"/>
        <v>0.7111447911310087</v>
      </c>
      <c r="J44" s="47">
        <f t="shared" ca="1" si="28"/>
        <v>0.6582292229129878</v>
      </c>
      <c r="K44" s="47">
        <f t="shared" ca="1" si="28"/>
        <v>0.59849797111553271</v>
      </c>
      <c r="L44" s="47">
        <f t="shared" ca="1" si="28"/>
        <v>0.62535873183800172</v>
      </c>
      <c r="M44" s="47">
        <f t="shared" ca="1" si="28"/>
        <v>0.63212861893128858</v>
      </c>
      <c r="N44" s="47">
        <f t="shared" ca="1" si="28"/>
        <v>0.7391999429553614</v>
      </c>
      <c r="O44" s="47">
        <f t="shared" ca="1" si="28"/>
        <v>0.7391999429553614</v>
      </c>
    </row>
    <row r="46" spans="2:15" ht="18.75" x14ac:dyDescent="0.3">
      <c r="B46" s="21">
        <v>2</v>
      </c>
      <c r="C46" s="21" t="s">
        <v>37</v>
      </c>
    </row>
    <row r="47" spans="2:15" ht="18.75" x14ac:dyDescent="0.3">
      <c r="C47" s="21" t="s">
        <v>29</v>
      </c>
    </row>
    <row r="48" spans="2:15" x14ac:dyDescent="0.25">
      <c r="C48" s="17" t="str">
        <f t="shared" ref="C48:O50" si="29">C23</f>
        <v>p1</v>
      </c>
      <c r="D48" s="17">
        <f t="shared" si="29"/>
        <v>1.0350966750000001</v>
      </c>
      <c r="E48" s="17">
        <f t="shared" si="29"/>
        <v>1.03107734</v>
      </c>
      <c r="F48" s="17">
        <f t="shared" si="29"/>
        <v>1.0210283067499999</v>
      </c>
      <c r="G48" s="17">
        <f t="shared" si="29"/>
        <v>1.01402830675</v>
      </c>
      <c r="H48" s="17">
        <f t="shared" si="29"/>
        <v>1.0260580049999999</v>
      </c>
      <c r="I48" s="17">
        <f t="shared" si="29"/>
        <v>1.02330317125</v>
      </c>
      <c r="J48" s="17">
        <f t="shared" si="29"/>
        <v>1.020469606</v>
      </c>
      <c r="K48" s="17">
        <f t="shared" si="29"/>
        <v>1.0240580049999999</v>
      </c>
      <c r="L48" s="17">
        <f t="shared" si="29"/>
        <v>1.0260386699999999</v>
      </c>
      <c r="M48" s="17">
        <f t="shared" si="29"/>
        <v>1.021058005</v>
      </c>
      <c r="N48" s="17">
        <f t="shared" si="29"/>
        <v>1.0200580049999999</v>
      </c>
      <c r="O48" s="17">
        <f t="shared" si="29"/>
        <v>1.0200580049999999</v>
      </c>
    </row>
    <row r="49" spans="3:15" x14ac:dyDescent="0.25">
      <c r="C49" s="17" t="str">
        <f t="shared" si="29"/>
        <v>p2</v>
      </c>
      <c r="D49" s="17">
        <f t="shared" si="29"/>
        <v>3.2566713050000002</v>
      </c>
      <c r="E49" s="17">
        <f t="shared" si="29"/>
        <v>3.2526519700000005</v>
      </c>
      <c r="F49" s="17">
        <f t="shared" si="29"/>
        <v>3.1426519700000002</v>
      </c>
      <c r="G49" s="17">
        <f t="shared" si="29"/>
        <v>3.2361423024999998</v>
      </c>
      <c r="H49" s="17">
        <f t="shared" si="29"/>
        <v>3.1446906399999999</v>
      </c>
      <c r="I49" s="17">
        <f t="shared" si="29"/>
        <v>3.0912003074999994</v>
      </c>
      <c r="J49" s="17">
        <f t="shared" si="29"/>
        <v>3.0409164712500001</v>
      </c>
      <c r="K49" s="17">
        <f t="shared" si="29"/>
        <v>3.039748645</v>
      </c>
      <c r="L49" s="17">
        <f t="shared" si="29"/>
        <v>3.1417293100000001</v>
      </c>
      <c r="M49" s="17">
        <f t="shared" si="29"/>
        <v>3.34165197</v>
      </c>
      <c r="N49" s="17">
        <f t="shared" si="29"/>
        <v>3.5396713049999997</v>
      </c>
      <c r="O49" s="17">
        <f t="shared" si="29"/>
        <v>3.5396713049999997</v>
      </c>
    </row>
    <row r="50" spans="3:15" x14ac:dyDescent="0.25">
      <c r="C50" s="17" t="str">
        <f t="shared" si="29"/>
        <v>T1</v>
      </c>
      <c r="D50" s="17">
        <f t="shared" si="29"/>
        <v>307.14999999999998</v>
      </c>
      <c r="E50" s="17">
        <f t="shared" si="29"/>
        <v>305.14999999999998</v>
      </c>
      <c r="F50" s="17">
        <f t="shared" si="29"/>
        <v>313.14999999999998</v>
      </c>
      <c r="G50" s="17">
        <f t="shared" si="29"/>
        <v>312.14999999999998</v>
      </c>
      <c r="H50" s="17">
        <f t="shared" si="29"/>
        <v>312.14999999999998</v>
      </c>
      <c r="I50" s="17">
        <f t="shared" si="29"/>
        <v>314.14999999999998</v>
      </c>
      <c r="J50" s="17">
        <f t="shared" si="29"/>
        <v>314.14999999999998</v>
      </c>
      <c r="K50" s="17">
        <f t="shared" si="29"/>
        <v>318.14999999999998</v>
      </c>
      <c r="L50" s="17">
        <f t="shared" si="29"/>
        <v>308.14999999999998</v>
      </c>
      <c r="M50" s="17">
        <f t="shared" si="29"/>
        <v>313.14999999999998</v>
      </c>
      <c r="N50" s="17">
        <f t="shared" si="29"/>
        <v>308.14999999999998</v>
      </c>
      <c r="O50" s="17">
        <f t="shared" si="29"/>
        <v>308.14999999999998</v>
      </c>
    </row>
    <row r="51" spans="3:15" x14ac:dyDescent="0.25">
      <c r="C51" s="17" t="s">
        <v>25</v>
      </c>
      <c r="D51" s="17">
        <f t="shared" ref="D51:J51" si="30">D18+273.15</f>
        <v>503.15</v>
      </c>
      <c r="E51" s="17">
        <f t="shared" si="30"/>
        <v>495.65</v>
      </c>
      <c r="F51" s="17">
        <f t="shared" si="30"/>
        <v>515.65</v>
      </c>
      <c r="G51" s="17">
        <f t="shared" si="30"/>
        <v>513.15</v>
      </c>
      <c r="H51" s="17">
        <f t="shared" si="30"/>
        <v>505.65</v>
      </c>
      <c r="I51" s="17">
        <f t="shared" si="30"/>
        <v>515.65</v>
      </c>
      <c r="J51" s="17">
        <f t="shared" si="30"/>
        <v>529.65</v>
      </c>
      <c r="K51" s="17">
        <f t="shared" ref="K51:O51" si="31">K18+273.15</f>
        <v>508.15</v>
      </c>
      <c r="L51" s="17">
        <f t="shared" si="31"/>
        <v>483.15</v>
      </c>
      <c r="M51" s="17">
        <f t="shared" si="31"/>
        <v>518.15</v>
      </c>
      <c r="N51" s="17">
        <f t="shared" si="31"/>
        <v>490.65</v>
      </c>
      <c r="O51" s="17">
        <f t="shared" si="31"/>
        <v>490.65</v>
      </c>
    </row>
    <row r="52" spans="3:15" x14ac:dyDescent="0.25">
      <c r="C52" s="17" t="str">
        <f t="shared" ref="C52:O53" si="32">C26</f>
        <v>Πc</v>
      </c>
      <c r="D52" s="17">
        <f t="shared" si="32"/>
        <v>3.1462484458275357</v>
      </c>
      <c r="E52" s="17">
        <f t="shared" si="32"/>
        <v>3.1546149292738801</v>
      </c>
      <c r="F52" s="17">
        <f t="shared" si="32"/>
        <v>3.0779283485325375</v>
      </c>
      <c r="G52" s="17">
        <f t="shared" si="32"/>
        <v>3.1913727466563149</v>
      </c>
      <c r="H52" s="17">
        <f t="shared" si="32"/>
        <v>3.0648273534984023</v>
      </c>
      <c r="I52" s="17">
        <f t="shared" si="32"/>
        <v>3.0208059491538486</v>
      </c>
      <c r="J52" s="17">
        <f t="shared" si="32"/>
        <v>2.9799187093574249</v>
      </c>
      <c r="K52" s="17">
        <f t="shared" si="32"/>
        <v>2.9683363932104609</v>
      </c>
      <c r="L52" s="17">
        <f t="shared" si="32"/>
        <v>3.0619989303132216</v>
      </c>
      <c r="M52" s="17">
        <f t="shared" si="32"/>
        <v>3.2727347061933076</v>
      </c>
      <c r="N52" s="17">
        <f t="shared" si="32"/>
        <v>3.4700686506548224</v>
      </c>
      <c r="O52" s="17">
        <f t="shared" si="32"/>
        <v>3.4700686506548224</v>
      </c>
    </row>
    <row r="53" spans="3:15" x14ac:dyDescent="0.25">
      <c r="C53" s="17" t="str">
        <f t="shared" si="32"/>
        <v>(Πc^γ)-1</v>
      </c>
      <c r="D53" s="17">
        <f t="shared" si="32"/>
        <v>0.38585533074002321</v>
      </c>
      <c r="E53" s="17">
        <f t="shared" si="32"/>
        <v>0.38690349929236545</v>
      </c>
      <c r="F53" s="17">
        <f t="shared" si="32"/>
        <v>0.37722055032509716</v>
      </c>
      <c r="G53" s="17">
        <f t="shared" si="32"/>
        <v>0.3914851698114421</v>
      </c>
      <c r="H53" s="17">
        <f t="shared" si="32"/>
        <v>0.37554912330274037</v>
      </c>
      <c r="I53" s="17">
        <f t="shared" si="32"/>
        <v>0.36989515189180766</v>
      </c>
      <c r="J53" s="17">
        <f t="shared" si="32"/>
        <v>0.36459068371001235</v>
      </c>
      <c r="K53" s="17">
        <f t="shared" si="32"/>
        <v>0.36307860656697577</v>
      </c>
      <c r="L53" s="17">
        <f t="shared" si="32"/>
        <v>0.37518760209713586</v>
      </c>
      <c r="M53" s="17">
        <f t="shared" si="32"/>
        <v>0.40149386552790056</v>
      </c>
      <c r="N53" s="17">
        <f t="shared" si="32"/>
        <v>0.42505015801675672</v>
      </c>
      <c r="O53" s="17">
        <f t="shared" si="32"/>
        <v>0.42505015801675672</v>
      </c>
    </row>
    <row r="54" spans="3:15" x14ac:dyDescent="0.25">
      <c r="C54" s="17" t="s">
        <v>30</v>
      </c>
      <c r="D54" s="18">
        <f t="shared" ref="D54:O54" si="33">D53/(D51/D50-1)</f>
        <v>0.60467073896325563</v>
      </c>
      <c r="E54" s="18">
        <f t="shared" si="33"/>
        <v>0.61975644519194384</v>
      </c>
      <c r="F54" s="18">
        <f t="shared" si="33"/>
        <v>0.58334131029286007</v>
      </c>
      <c r="G54" s="18">
        <f t="shared" si="33"/>
        <v>0.60797062565493354</v>
      </c>
      <c r="H54" s="18">
        <f t="shared" si="33"/>
        <v>0.60582769425814154</v>
      </c>
      <c r="I54" s="18">
        <f t="shared" si="33"/>
        <v>0.57668765244075126</v>
      </c>
      <c r="J54" s="18">
        <f t="shared" si="33"/>
        <v>0.53149031687935211</v>
      </c>
      <c r="K54" s="18">
        <f t="shared" si="33"/>
        <v>0.60796557199622792</v>
      </c>
      <c r="L54" s="18">
        <f t="shared" si="33"/>
        <v>0.66065176906418521</v>
      </c>
      <c r="M54" s="18">
        <f t="shared" si="33"/>
        <v>0.61330636092713198</v>
      </c>
      <c r="N54" s="18">
        <f t="shared" si="33"/>
        <v>0.71769428050884154</v>
      </c>
      <c r="O54" s="18">
        <f t="shared" si="33"/>
        <v>0.71769428050884154</v>
      </c>
    </row>
    <row r="56" spans="3:15" ht="18.75" x14ac:dyDescent="0.3">
      <c r="C56" s="21" t="s">
        <v>35</v>
      </c>
    </row>
    <row r="57" spans="3:15" x14ac:dyDescent="0.25">
      <c r="C57" s="17" t="str">
        <f>C32</f>
        <v>p3</v>
      </c>
      <c r="D57" s="17">
        <f t="shared" ref="D57:O59" si="34">D32</f>
        <v>3.04</v>
      </c>
      <c r="E57" s="17">
        <f t="shared" si="34"/>
        <v>3.1349999999999998</v>
      </c>
      <c r="F57" s="17">
        <f t="shared" si="34"/>
        <v>3.0249999999999999</v>
      </c>
      <c r="G57" s="17">
        <f t="shared" si="34"/>
        <v>3.1180000000000003</v>
      </c>
      <c r="H57" s="17">
        <f t="shared" si="34"/>
        <v>2.9289999999999998</v>
      </c>
      <c r="I57" s="17">
        <f t="shared" si="34"/>
        <v>2.8760000000000003</v>
      </c>
      <c r="J57" s="17">
        <f t="shared" si="34"/>
        <v>2.8239999999999998</v>
      </c>
      <c r="K57" s="17">
        <f t="shared" si="34"/>
        <v>3.5270000000000001</v>
      </c>
      <c r="L57" s="17">
        <f t="shared" si="34"/>
        <v>3.1280000000000001</v>
      </c>
      <c r="M57" s="17">
        <f t="shared" si="34"/>
        <v>3.3239999999999998</v>
      </c>
      <c r="N57" s="17">
        <f t="shared" si="34"/>
        <v>3.0229999999999997</v>
      </c>
      <c r="O57" s="17">
        <f t="shared" si="34"/>
        <v>3.0229999999999997</v>
      </c>
    </row>
    <row r="58" spans="3:15" x14ac:dyDescent="0.25">
      <c r="C58" s="17" t="str">
        <f t="shared" ref="C58:I59" si="35">C33</f>
        <v>p4</v>
      </c>
      <c r="D58" s="17">
        <f t="shared" ca="1" si="35"/>
        <v>1.0509115325666667</v>
      </c>
      <c r="E58" s="17">
        <f t="shared" ca="1" si="35"/>
        <v>1.0467810555333332</v>
      </c>
      <c r="F58" s="17">
        <f t="shared" ca="1" si="35"/>
        <v>1.0336233142333333</v>
      </c>
      <c r="G58" s="17">
        <f t="shared" ca="1" si="35"/>
        <v>1.0249352628799999</v>
      </c>
      <c r="H58" s="17">
        <f t="shared" ca="1" si="35"/>
        <v>1.0359980254399999</v>
      </c>
      <c r="I58" s="17">
        <f t="shared" ca="1" si="35"/>
        <v>1.0328725003200001</v>
      </c>
      <c r="J58" s="17">
        <f t="shared" ca="1" si="34"/>
        <v>1.0347742394666666</v>
      </c>
      <c r="K58" s="17">
        <f t="shared" ca="1" si="34"/>
        <v>1.0339195722399999</v>
      </c>
      <c r="L58" s="17">
        <f t="shared" ca="1" si="34"/>
        <v>1.0361199061999999</v>
      </c>
      <c r="M58" s="17">
        <f t="shared" ca="1" si="34"/>
        <v>1.0325775498666667</v>
      </c>
      <c r="N58" s="17">
        <f t="shared" ca="1" si="34"/>
        <v>1.0323097797333332</v>
      </c>
      <c r="O58" s="17">
        <f t="shared" ca="1" si="34"/>
        <v>1.0323097797333332</v>
      </c>
    </row>
    <row r="59" spans="3:15" x14ac:dyDescent="0.25">
      <c r="C59" s="17" t="str">
        <f t="shared" si="35"/>
        <v>T3</v>
      </c>
      <c r="D59" s="17">
        <f>D34</f>
        <v>615.65</v>
      </c>
      <c r="E59" s="17">
        <f t="shared" si="35"/>
        <v>635.65</v>
      </c>
      <c r="F59" s="17">
        <f t="shared" si="35"/>
        <v>658.15</v>
      </c>
      <c r="G59" s="17">
        <f t="shared" si="35"/>
        <v>655.65</v>
      </c>
      <c r="H59" s="17">
        <f t="shared" si="35"/>
        <v>625.65</v>
      </c>
      <c r="I59" s="17">
        <f t="shared" si="35"/>
        <v>623.15</v>
      </c>
      <c r="J59" s="17">
        <f t="shared" si="34"/>
        <v>675.15</v>
      </c>
      <c r="K59" s="17">
        <f t="shared" si="34"/>
        <v>630.15</v>
      </c>
      <c r="L59" s="17">
        <f t="shared" si="34"/>
        <v>660.15</v>
      </c>
      <c r="M59" s="17">
        <f t="shared" si="34"/>
        <v>676.65</v>
      </c>
      <c r="N59" s="17">
        <f t="shared" si="34"/>
        <v>648.15</v>
      </c>
      <c r="O59" s="17">
        <f t="shared" si="34"/>
        <v>648.15</v>
      </c>
    </row>
    <row r="60" spans="3:15" x14ac:dyDescent="0.25">
      <c r="C60" s="17" t="s">
        <v>38</v>
      </c>
      <c r="D60" s="17">
        <f>D18+273.15-$S$3</f>
        <v>503.15</v>
      </c>
      <c r="E60" s="17">
        <f t="shared" ref="E60:O60" si="36">E18+273.15-$S$3</f>
        <v>495.65</v>
      </c>
      <c r="F60" s="17">
        <f t="shared" si="36"/>
        <v>515.65</v>
      </c>
      <c r="G60" s="17">
        <f t="shared" si="36"/>
        <v>513.15</v>
      </c>
      <c r="H60" s="17">
        <f t="shared" si="36"/>
        <v>505.65</v>
      </c>
      <c r="I60" s="17">
        <f t="shared" si="36"/>
        <v>515.65</v>
      </c>
      <c r="J60" s="17">
        <f t="shared" si="36"/>
        <v>529.65</v>
      </c>
      <c r="K60" s="17">
        <f t="shared" si="36"/>
        <v>508.15</v>
      </c>
      <c r="L60" s="17">
        <f t="shared" si="36"/>
        <v>483.15</v>
      </c>
      <c r="M60" s="17">
        <f t="shared" si="36"/>
        <v>518.15</v>
      </c>
      <c r="N60" s="17">
        <f t="shared" si="36"/>
        <v>490.65</v>
      </c>
      <c r="O60" s="17">
        <f t="shared" si="36"/>
        <v>490.65</v>
      </c>
    </row>
    <row r="61" spans="3:15" x14ac:dyDescent="0.25">
      <c r="C61" s="17" t="str">
        <f t="shared" ref="C61:O62" si="37">C35</f>
        <v>Πt</v>
      </c>
      <c r="D61" s="17">
        <f t="shared" ca="1" si="37"/>
        <v>2.8927268431200241</v>
      </c>
      <c r="E61" s="17">
        <f t="shared" ca="1" si="37"/>
        <v>2.9948956216089737</v>
      </c>
      <c r="F61" s="17">
        <f t="shared" ca="1" si="37"/>
        <v>2.9265980733452448</v>
      </c>
      <c r="G61" s="17">
        <f t="shared" ca="1" si="37"/>
        <v>3.0421433557068061</v>
      </c>
      <c r="H61" s="17">
        <f t="shared" ca="1" si="37"/>
        <v>2.8272254657589921</v>
      </c>
      <c r="I61" s="17">
        <f t="shared" ca="1" si="37"/>
        <v>2.7844675883121783</v>
      </c>
      <c r="J61" s="17">
        <f t="shared" ca="1" si="37"/>
        <v>2.7290977029496974</v>
      </c>
      <c r="K61" s="17">
        <f t="shared" ca="1" si="37"/>
        <v>3.4112904859308446</v>
      </c>
      <c r="L61" s="17">
        <f t="shared" ca="1" si="37"/>
        <v>3.0189556066652861</v>
      </c>
      <c r="M61" s="17">
        <f t="shared" ca="1" si="37"/>
        <v>3.219128675060984</v>
      </c>
      <c r="N61" s="17">
        <f t="shared" ca="1" si="37"/>
        <v>2.9283845405212596</v>
      </c>
      <c r="O61" s="17">
        <f t="shared" ca="1" si="37"/>
        <v>2.9283845405212596</v>
      </c>
    </row>
    <row r="62" spans="3:15" x14ac:dyDescent="0.25">
      <c r="C62" s="17" t="str">
        <f t="shared" si="37"/>
        <v>1-(Πt^-γ)</v>
      </c>
      <c r="D62" s="17">
        <f t="shared" ca="1" si="37"/>
        <v>0.24510037287482478</v>
      </c>
      <c r="E62" s="17">
        <f t="shared" ca="1" si="37"/>
        <v>0.25200453608801876</v>
      </c>
      <c r="F62" s="17">
        <f t="shared" ca="1" si="37"/>
        <v>0.24742298724442435</v>
      </c>
      <c r="G62" s="17">
        <f t="shared" ca="1" si="37"/>
        <v>0.25509738711963037</v>
      </c>
      <c r="H62" s="17">
        <f t="shared" ca="1" si="37"/>
        <v>0.24050969324520688</v>
      </c>
      <c r="I62" s="17">
        <f t="shared" ca="1" si="37"/>
        <v>0.23743980404516118</v>
      </c>
      <c r="J62" s="17">
        <f t="shared" ca="1" si="37"/>
        <v>0.23337463639888611</v>
      </c>
      <c r="K62" s="17">
        <f t="shared" ca="1" si="37"/>
        <v>0.27734121840947645</v>
      </c>
      <c r="L62" s="17">
        <f t="shared" ca="1" si="37"/>
        <v>0.25358715988744762</v>
      </c>
      <c r="M62" s="17">
        <f t="shared" ca="1" si="37"/>
        <v>0.26616457054921661</v>
      </c>
      <c r="N62" s="17">
        <f t="shared" ca="1" si="37"/>
        <v>0.24754454394555081</v>
      </c>
      <c r="O62" s="17">
        <f t="shared" ca="1" si="37"/>
        <v>0.24754454394555081</v>
      </c>
    </row>
    <row r="63" spans="3:15" x14ac:dyDescent="0.25">
      <c r="C63" s="17" t="s">
        <v>36</v>
      </c>
      <c r="D63" s="18">
        <f ca="1">(1-D60/D59)/D62</f>
        <v>0.74554638146912788</v>
      </c>
      <c r="E63" s="18">
        <f t="shared" ref="E63:O63" ca="1" si="38">(1-E60/E59)/E62</f>
        <v>0.87398026514829619</v>
      </c>
      <c r="F63" s="18">
        <f ca="1">(1-F60/F59)/F62</f>
        <v>0.8750843816354521</v>
      </c>
      <c r="G63" s="18">
        <f t="shared" ca="1" si="38"/>
        <v>0.85199449468679767</v>
      </c>
      <c r="H63" s="18">
        <f t="shared" ca="1" si="38"/>
        <v>0.79747524876639408</v>
      </c>
      <c r="I63" s="18">
        <f t="shared" ca="1" si="38"/>
        <v>0.72654470114175573</v>
      </c>
      <c r="J63" s="18">
        <f t="shared" ca="1" si="38"/>
        <v>0.92344081725742377</v>
      </c>
      <c r="K63" s="18">
        <f t="shared" ca="1" si="38"/>
        <v>0.69807401295991311</v>
      </c>
      <c r="L63" s="18">
        <f t="shared" ca="1" si="38"/>
        <v>1.0573125300855815</v>
      </c>
      <c r="M63" s="18">
        <f t="shared" ca="1" si="38"/>
        <v>0.88006537546112418</v>
      </c>
      <c r="N63" s="18">
        <f t="shared" ca="1" si="38"/>
        <v>0.98163870567762868</v>
      </c>
      <c r="O63" s="18">
        <f t="shared" ca="1" si="38"/>
        <v>0.98163870567762868</v>
      </c>
    </row>
    <row r="65" spans="2:17" ht="18.75" x14ac:dyDescent="0.3">
      <c r="C65" s="21" t="s">
        <v>33</v>
      </c>
    </row>
    <row r="66" spans="2:17" x14ac:dyDescent="0.25">
      <c r="C66" s="17" t="s">
        <v>34</v>
      </c>
      <c r="D66" s="22">
        <f t="shared" ref="D66:O66" ca="1" si="39">D54*D63*D19^2</f>
        <v>0.40685609847642273</v>
      </c>
      <c r="E66" s="22">
        <f t="shared" ca="1" si="39"/>
        <v>0.48884354932233909</v>
      </c>
      <c r="F66" s="22">
        <f t="shared" ca="1" si="39"/>
        <v>0.46070176499453769</v>
      </c>
      <c r="G66" s="22">
        <f t="shared" ca="1" si="39"/>
        <v>0.46748383245533548</v>
      </c>
      <c r="H66" s="22">
        <f t="shared" ca="1" si="39"/>
        <v>0.43602716354724436</v>
      </c>
      <c r="I66" s="22">
        <f t="shared" ca="1" si="39"/>
        <v>0.37813789568047246</v>
      </c>
      <c r="J66" s="22">
        <f t="shared" ca="1" si="39"/>
        <v>0.44294686695658708</v>
      </c>
      <c r="K66" s="22">
        <f t="shared" ca="1" si="39"/>
        <v>0.38302548234285039</v>
      </c>
      <c r="L66" s="22">
        <f t="shared" ca="1" si="39"/>
        <v>0.63041014259292893</v>
      </c>
      <c r="M66" s="22">
        <f t="shared" ca="1" si="39"/>
        <v>0.48712409775383397</v>
      </c>
      <c r="N66" s="22">
        <f t="shared" ca="1" si="39"/>
        <v>0.63582612734331989</v>
      </c>
      <c r="O66" s="22">
        <f t="shared" ca="1" si="39"/>
        <v>0.63582612734331989</v>
      </c>
    </row>
    <row r="68" spans="2:17" ht="15.75" thickBot="1" x14ac:dyDescent="0.3"/>
    <row r="69" spans="2:17" ht="15.75" x14ac:dyDescent="0.25">
      <c r="C69" s="23" t="str">
        <f>C54</f>
        <v>ηISc</v>
      </c>
      <c r="D69" s="24">
        <f t="shared" ref="D69:O69" si="40">D54</f>
        <v>0.60467073896325563</v>
      </c>
      <c r="E69" s="24">
        <f t="shared" si="40"/>
        <v>0.61975644519194384</v>
      </c>
      <c r="F69" s="24">
        <f t="shared" si="40"/>
        <v>0.58334131029286007</v>
      </c>
      <c r="G69" s="24">
        <f t="shared" si="40"/>
        <v>0.60797062565493354</v>
      </c>
      <c r="H69" s="24">
        <f t="shared" si="40"/>
        <v>0.60582769425814154</v>
      </c>
      <c r="I69" s="24">
        <f t="shared" si="40"/>
        <v>0.57668765244075126</v>
      </c>
      <c r="J69" s="24">
        <f t="shared" si="40"/>
        <v>0.53149031687935211</v>
      </c>
      <c r="K69" s="24">
        <f t="shared" si="40"/>
        <v>0.60796557199622792</v>
      </c>
      <c r="L69" s="24">
        <f t="shared" si="40"/>
        <v>0.66065176906418521</v>
      </c>
      <c r="M69" s="24">
        <f t="shared" si="40"/>
        <v>0.61330636092713198</v>
      </c>
      <c r="N69" s="24">
        <f t="shared" si="40"/>
        <v>0.71769428050884154</v>
      </c>
      <c r="O69" s="25">
        <f t="shared" si="40"/>
        <v>0.71769428050884154</v>
      </c>
    </row>
    <row r="70" spans="2:17" ht="15.75" x14ac:dyDescent="0.25">
      <c r="C70" s="26" t="str">
        <f>C63</f>
        <v>ηISt</v>
      </c>
      <c r="D70" s="27">
        <f ca="1">D63</f>
        <v>0.74554638146912788</v>
      </c>
      <c r="E70" s="27">
        <f t="shared" ref="E70:O70" ca="1" si="41">E63</f>
        <v>0.87398026514829619</v>
      </c>
      <c r="F70" s="27">
        <f t="shared" ca="1" si="41"/>
        <v>0.8750843816354521</v>
      </c>
      <c r="G70" s="27">
        <f t="shared" ca="1" si="41"/>
        <v>0.85199449468679767</v>
      </c>
      <c r="H70" s="27">
        <f t="shared" ca="1" si="41"/>
        <v>0.79747524876639408</v>
      </c>
      <c r="I70" s="27">
        <f t="shared" ca="1" si="41"/>
        <v>0.72654470114175573</v>
      </c>
      <c r="J70" s="27">
        <f t="shared" ca="1" si="41"/>
        <v>0.92344081725742377</v>
      </c>
      <c r="K70" s="27">
        <f t="shared" ca="1" si="41"/>
        <v>0.69807401295991311</v>
      </c>
      <c r="L70" s="27">
        <f t="shared" ca="1" si="41"/>
        <v>1.0573125300855815</v>
      </c>
      <c r="M70" s="27">
        <f t="shared" ca="1" si="41"/>
        <v>0.88006537546112418</v>
      </c>
      <c r="N70" s="27">
        <f t="shared" ca="1" si="41"/>
        <v>0.98163870567762868</v>
      </c>
      <c r="O70" s="28">
        <f t="shared" ca="1" si="41"/>
        <v>0.98163870567762868</v>
      </c>
    </row>
    <row r="71" spans="2:17" ht="16.5" thickBot="1" x14ac:dyDescent="0.3">
      <c r="C71" s="29" t="str">
        <f>C66</f>
        <v>ηIStc</v>
      </c>
      <c r="D71" s="30">
        <f t="shared" ref="D71:O71" ca="1" si="42">D66</f>
        <v>0.40685609847642273</v>
      </c>
      <c r="E71" s="30">
        <f t="shared" ca="1" si="42"/>
        <v>0.48884354932233909</v>
      </c>
      <c r="F71" s="30">
        <f t="shared" ca="1" si="42"/>
        <v>0.46070176499453769</v>
      </c>
      <c r="G71" s="30">
        <f t="shared" ca="1" si="42"/>
        <v>0.46748383245533548</v>
      </c>
      <c r="H71" s="30">
        <f t="shared" ca="1" si="42"/>
        <v>0.43602716354724436</v>
      </c>
      <c r="I71" s="30">
        <f t="shared" ca="1" si="42"/>
        <v>0.37813789568047246</v>
      </c>
      <c r="J71" s="30">
        <f t="shared" ca="1" si="42"/>
        <v>0.44294686695658708</v>
      </c>
      <c r="K71" s="30">
        <f t="shared" ca="1" si="42"/>
        <v>0.38302548234285039</v>
      </c>
      <c r="L71" s="30">
        <f t="shared" ca="1" si="42"/>
        <v>0.63041014259292893</v>
      </c>
      <c r="M71" s="30">
        <f t="shared" ca="1" si="42"/>
        <v>0.48712409775383397</v>
      </c>
      <c r="N71" s="30">
        <f t="shared" ca="1" si="42"/>
        <v>0.63582612734331989</v>
      </c>
      <c r="O71" s="31">
        <f t="shared" ca="1" si="42"/>
        <v>0.63582612734331989</v>
      </c>
    </row>
    <row r="73" spans="2:17" ht="18.75" x14ac:dyDescent="0.3">
      <c r="B73" s="21">
        <v>3</v>
      </c>
      <c r="C73" s="21" t="s">
        <v>41</v>
      </c>
      <c r="E73" s="21" t="s">
        <v>42</v>
      </c>
    </row>
    <row r="74" spans="2:17" x14ac:dyDescent="0.25">
      <c r="C74" s="17" t="s">
        <v>30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6" spans="2:17" x14ac:dyDescent="0.25">
      <c r="C76" s="17" t="s">
        <v>43</v>
      </c>
      <c r="D76" s="20" t="e">
        <f t="shared" ref="D76:O76" si="43">D42/D74</f>
        <v>#DIV/0!</v>
      </c>
      <c r="E76" s="20" t="e">
        <f t="shared" si="43"/>
        <v>#DIV/0!</v>
      </c>
      <c r="F76" s="20" t="e">
        <f t="shared" si="43"/>
        <v>#DIV/0!</v>
      </c>
      <c r="G76" s="20" t="e">
        <f t="shared" si="43"/>
        <v>#DIV/0!</v>
      </c>
      <c r="H76" s="20" t="e">
        <f t="shared" si="43"/>
        <v>#DIV/0!</v>
      </c>
      <c r="I76" s="20" t="e">
        <f t="shared" si="43"/>
        <v>#DIV/0!</v>
      </c>
      <c r="J76" s="20" t="e">
        <f t="shared" si="43"/>
        <v>#DIV/0!</v>
      </c>
      <c r="K76" s="20" t="e">
        <f t="shared" si="43"/>
        <v>#DIV/0!</v>
      </c>
      <c r="L76" s="20" t="e">
        <f t="shared" si="43"/>
        <v>#DIV/0!</v>
      </c>
      <c r="M76" s="20" t="e">
        <f t="shared" si="43"/>
        <v>#DIV/0!</v>
      </c>
      <c r="N76" s="20" t="e">
        <f t="shared" si="43"/>
        <v>#DIV/0!</v>
      </c>
      <c r="O76" s="20" t="e">
        <f t="shared" si="43"/>
        <v>#DIV/0!</v>
      </c>
    </row>
    <row r="77" spans="2:17" x14ac:dyDescent="0.25">
      <c r="D77" s="17">
        <v>1.75</v>
      </c>
      <c r="E77" s="17">
        <v>2.1</v>
      </c>
      <c r="F77" s="17">
        <v>2.5</v>
      </c>
      <c r="G77" s="17">
        <v>2.7</v>
      </c>
      <c r="H77" s="17">
        <v>3</v>
      </c>
      <c r="I77" s="17">
        <v>3.25</v>
      </c>
      <c r="J77" s="17">
        <v>3.25</v>
      </c>
      <c r="K77" s="17">
        <v>3.25</v>
      </c>
      <c r="L77" s="17">
        <v>3.25</v>
      </c>
      <c r="M77" s="17">
        <v>3.25</v>
      </c>
      <c r="N77" s="17">
        <v>3.25</v>
      </c>
      <c r="O77" s="17">
        <v>3.25</v>
      </c>
      <c r="P77" s="17">
        <v>3.85</v>
      </c>
      <c r="Q77" s="17">
        <v>4.2</v>
      </c>
    </row>
    <row r="78" spans="2:17" x14ac:dyDescent="0.25">
      <c r="C78" s="17" t="s">
        <v>34</v>
      </c>
      <c r="D78" s="38">
        <v>0.68</v>
      </c>
      <c r="E78" s="38">
        <v>0.7</v>
      </c>
      <c r="F78" s="38">
        <v>0.71199999999999997</v>
      </c>
      <c r="G78" s="38">
        <v>0.71799999999999997</v>
      </c>
      <c r="H78" s="38">
        <v>0.71299999999999997</v>
      </c>
      <c r="I78" s="38">
        <v>0.7</v>
      </c>
      <c r="J78" s="38">
        <v>0.7</v>
      </c>
      <c r="K78" s="38">
        <v>0.7</v>
      </c>
      <c r="L78" s="38">
        <v>0.7</v>
      </c>
      <c r="M78" s="38">
        <v>0.7</v>
      </c>
      <c r="N78" s="38">
        <v>0.7</v>
      </c>
      <c r="O78" s="38">
        <v>0.7</v>
      </c>
      <c r="P78" s="38">
        <v>0.67</v>
      </c>
      <c r="Q78" s="38">
        <v>0.65</v>
      </c>
    </row>
  </sheetData>
  <conditionalFormatting sqref="D30:O30">
    <cfRule type="cellIs" dxfId="2" priority="3" operator="greaterThan">
      <formula>0.86</formula>
    </cfRule>
  </conditionalFormatting>
  <conditionalFormatting sqref="D20:O20">
    <cfRule type="cellIs" dxfId="1" priority="2" operator="greaterThan">
      <formula>0.301</formula>
    </cfRule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27" sqref="M27"/>
    </sheetView>
  </sheetViews>
  <sheetFormatPr defaultRowHeight="15" x14ac:dyDescent="0.25"/>
  <sheetData>
    <row r="1" spans="1:7" x14ac:dyDescent="0.25">
      <c r="A1" t="s">
        <v>14</v>
      </c>
    </row>
    <row r="2" spans="1:7" x14ac:dyDescent="0.25">
      <c r="A2" t="s">
        <v>40</v>
      </c>
      <c r="B2">
        <v>0.25</v>
      </c>
      <c r="C2">
        <v>0.5</v>
      </c>
      <c r="D2">
        <v>0.75</v>
      </c>
      <c r="E2">
        <v>0.9</v>
      </c>
      <c r="F2">
        <v>1</v>
      </c>
      <c r="G2">
        <v>1.1000000000000001</v>
      </c>
    </row>
    <row r="3" spans="1:7" x14ac:dyDescent="0.25">
      <c r="A3" t="s">
        <v>11</v>
      </c>
      <c r="B3">
        <v>57.4</v>
      </c>
      <c r="C3">
        <v>72.3</v>
      </c>
      <c r="D3">
        <v>82.6</v>
      </c>
      <c r="E3">
        <v>87.9</v>
      </c>
      <c r="F3">
        <v>91</v>
      </c>
      <c r="G3">
        <v>93.9</v>
      </c>
    </row>
    <row r="4" spans="1:7" x14ac:dyDescent="0.25">
      <c r="A4" t="s">
        <v>2</v>
      </c>
      <c r="B4">
        <v>14.149999999999999</v>
      </c>
      <c r="C4">
        <v>15.2</v>
      </c>
      <c r="D4">
        <v>16.149999999999999</v>
      </c>
      <c r="E4">
        <v>18.350000000000001</v>
      </c>
      <c r="F4">
        <v>17.45</v>
      </c>
      <c r="G4">
        <v>18.55</v>
      </c>
    </row>
    <row r="5" spans="1:7" x14ac:dyDescent="0.25">
      <c r="A5" t="s">
        <v>3</v>
      </c>
      <c r="B5">
        <v>1010.5837162</v>
      </c>
      <c r="C5">
        <v>1010.31707142</v>
      </c>
      <c r="D5">
        <v>1009.65045947</v>
      </c>
      <c r="E5">
        <v>1008.98384752</v>
      </c>
      <c r="F5">
        <v>1008.98384752</v>
      </c>
      <c r="G5">
        <v>1008.98384752</v>
      </c>
    </row>
    <row r="6" spans="1:7" x14ac:dyDescent="0.25">
      <c r="A6" t="s">
        <v>4</v>
      </c>
      <c r="B6">
        <v>1.3805837162000001</v>
      </c>
      <c r="C6">
        <v>2.1303170714200004</v>
      </c>
      <c r="D6">
        <v>2.9396504594700001</v>
      </c>
      <c r="E6">
        <v>3.4389838475200003</v>
      </c>
      <c r="F6">
        <v>3.80898384752</v>
      </c>
      <c r="G6">
        <v>4.0689838475200002</v>
      </c>
    </row>
    <row r="7" spans="1:7" x14ac:dyDescent="0.25">
      <c r="A7" t="s">
        <v>5</v>
      </c>
      <c r="B7">
        <v>262.5</v>
      </c>
      <c r="C7">
        <v>314</v>
      </c>
      <c r="D7">
        <v>335</v>
      </c>
      <c r="E7">
        <v>353.5</v>
      </c>
      <c r="F7">
        <v>375</v>
      </c>
      <c r="G7">
        <v>395</v>
      </c>
    </row>
    <row r="8" spans="1:7" x14ac:dyDescent="0.25">
      <c r="A8" t="s">
        <v>6</v>
      </c>
      <c r="B8">
        <v>1.3105837162</v>
      </c>
      <c r="C8">
        <v>1.98031707142</v>
      </c>
      <c r="D8">
        <v>2.73965045947</v>
      </c>
      <c r="E8">
        <v>3.1489838475200003</v>
      </c>
      <c r="F8">
        <v>3.5289838475200002</v>
      </c>
      <c r="G8">
        <v>3.82898384752</v>
      </c>
    </row>
    <row r="9" spans="1:7" x14ac:dyDescent="0.25">
      <c r="A9" t="s">
        <v>7</v>
      </c>
      <c r="B9">
        <v>0</v>
      </c>
      <c r="C9">
        <v>3.9226599999999997E-3</v>
      </c>
      <c r="D9">
        <v>7.8453199999999994E-3</v>
      </c>
      <c r="E9">
        <v>1.4709975E-2</v>
      </c>
      <c r="F9">
        <v>1.5690639999999999E-2</v>
      </c>
      <c r="G9">
        <v>2.2555295E-2</v>
      </c>
    </row>
    <row r="10" spans="1:7" x14ac:dyDescent="0.25">
      <c r="A10" t="s">
        <v>9</v>
      </c>
      <c r="B10">
        <v>6.3743224999999997E-3</v>
      </c>
      <c r="C10">
        <v>1.12776475E-2</v>
      </c>
      <c r="D10">
        <v>1.5445473750000001E-2</v>
      </c>
      <c r="E10">
        <v>1.7406803750000002E-2</v>
      </c>
      <c r="F10">
        <v>1.9122967500000001E-2</v>
      </c>
      <c r="G10">
        <v>2.0593964999999999E-2</v>
      </c>
    </row>
    <row r="11" spans="1:7" x14ac:dyDescent="0.25">
      <c r="A11" t="s">
        <v>8</v>
      </c>
      <c r="B11">
        <v>4.9033249999999996E-4</v>
      </c>
      <c r="C11">
        <v>1.372931E-3</v>
      </c>
      <c r="D11">
        <v>2.745862E-3</v>
      </c>
      <c r="E11">
        <v>3.28522775E-3</v>
      </c>
      <c r="F11">
        <v>3.9226599999999997E-3</v>
      </c>
      <c r="G11">
        <v>4.5110590000000004E-3</v>
      </c>
    </row>
    <row r="12" spans="1:7" x14ac:dyDescent="0.25">
      <c r="A12" t="s">
        <v>10</v>
      </c>
      <c r="B12">
        <v>5620</v>
      </c>
      <c r="C12">
        <v>9240</v>
      </c>
      <c r="D12">
        <v>11451.5</v>
      </c>
      <c r="E12">
        <v>12285</v>
      </c>
      <c r="F12">
        <v>12994.5</v>
      </c>
      <c r="G12">
        <v>13552.5</v>
      </c>
    </row>
    <row r="13" spans="1:7" x14ac:dyDescent="0.25">
      <c r="A13" t="s">
        <v>12</v>
      </c>
      <c r="B13">
        <v>34</v>
      </c>
      <c r="C13">
        <v>88</v>
      </c>
      <c r="D13">
        <v>134</v>
      </c>
      <c r="E13">
        <v>158</v>
      </c>
      <c r="F13">
        <v>176</v>
      </c>
      <c r="G13">
        <v>193.5</v>
      </c>
    </row>
    <row r="14" spans="1:7" x14ac:dyDescent="0.25">
      <c r="A14" t="s">
        <v>13</v>
      </c>
      <c r="B14">
        <v>224</v>
      </c>
      <c r="C14">
        <v>220.5</v>
      </c>
      <c r="D14">
        <v>197</v>
      </c>
      <c r="E14">
        <v>197</v>
      </c>
      <c r="F14">
        <v>205</v>
      </c>
      <c r="G14">
        <v>214</v>
      </c>
    </row>
    <row r="15" spans="1:7" x14ac:dyDescent="0.25">
      <c r="A15" t="s">
        <v>60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</row>
    <row r="16" spans="1:7" x14ac:dyDescent="0.25">
      <c r="A16" t="s">
        <v>54</v>
      </c>
      <c r="B16">
        <v>7.0000000000000062E-2</v>
      </c>
      <c r="C16">
        <v>0.15000000000000036</v>
      </c>
      <c r="D16">
        <v>0.20000000000000018</v>
      </c>
      <c r="E16">
        <v>0.29000000000000004</v>
      </c>
      <c r="F16">
        <v>0.2799999999999998</v>
      </c>
      <c r="G16">
        <v>0.24000000000000021</v>
      </c>
    </row>
    <row r="18" spans="1:18" x14ac:dyDescent="0.25">
      <c r="A18">
        <v>0.85</v>
      </c>
      <c r="B18">
        <f ca="1">FORECAST(A18,OFFSET(pscexh,MATCH(A18,load,1)-1,0,2),OFFSET(load,MATCH(A18,load,1)-1,0,2))</f>
        <v>0.26000000000000012</v>
      </c>
    </row>
    <row r="20" spans="1:18" x14ac:dyDescent="0.25">
      <c r="C20" t="s">
        <v>61</v>
      </c>
      <c r="D20" t="s">
        <v>62</v>
      </c>
      <c r="E20" t="s">
        <v>63</v>
      </c>
    </row>
    <row r="21" spans="1:18" x14ac:dyDescent="0.25">
      <c r="B21" s="17">
        <v>0.25</v>
      </c>
      <c r="C21" s="17">
        <v>7.0000000000000062E-2</v>
      </c>
      <c r="D21">
        <v>0</v>
      </c>
      <c r="E21">
        <v>4.9033249999999996E-4</v>
      </c>
    </row>
    <row r="22" spans="1:18" x14ac:dyDescent="0.25">
      <c r="B22" s="17">
        <v>0.5</v>
      </c>
      <c r="C22" s="17">
        <v>0.15000000000000036</v>
      </c>
      <c r="D22">
        <v>3.9226599999999997E-3</v>
      </c>
      <c r="E22">
        <v>1.372931E-3</v>
      </c>
    </row>
    <row r="23" spans="1:18" x14ac:dyDescent="0.25">
      <c r="B23" s="17">
        <v>0.75</v>
      </c>
      <c r="C23" s="17">
        <v>0.20000000000000018</v>
      </c>
      <c r="D23">
        <v>7.8453199999999994E-3</v>
      </c>
      <c r="E23">
        <v>2.745862E-3</v>
      </c>
    </row>
    <row r="24" spans="1:18" x14ac:dyDescent="0.25">
      <c r="B24" s="17">
        <v>0.9</v>
      </c>
      <c r="C24" s="17">
        <v>0.29000000000000004</v>
      </c>
      <c r="D24">
        <v>1.4709975E-2</v>
      </c>
      <c r="E24">
        <v>3.28522775E-3</v>
      </c>
    </row>
    <row r="25" spans="1:18" x14ac:dyDescent="0.25">
      <c r="B25" s="17">
        <v>1</v>
      </c>
      <c r="C25" s="17">
        <v>0.2799999999999998</v>
      </c>
      <c r="D25">
        <v>1.5690639999999999E-2</v>
      </c>
      <c r="E25">
        <v>3.9226599999999997E-3</v>
      </c>
    </row>
    <row r="26" spans="1:18" x14ac:dyDescent="0.25">
      <c r="B26" s="17">
        <v>1.1000000000000001</v>
      </c>
      <c r="C26" s="17">
        <v>0.24000000000000021</v>
      </c>
      <c r="D26">
        <v>2.2555295E-2</v>
      </c>
      <c r="E26">
        <v>4.5110590000000004E-3</v>
      </c>
      <c r="F26" s="17"/>
      <c r="G26">
        <v>0.75900000000000001</v>
      </c>
      <c r="H26">
        <v>0.69499999999999995</v>
      </c>
      <c r="I26">
        <v>0.72</v>
      </c>
      <c r="J26">
        <v>0.57099999999999995</v>
      </c>
      <c r="K26">
        <v>0.71099999999999997</v>
      </c>
      <c r="L26">
        <v>0.75</v>
      </c>
      <c r="M26">
        <v>0.72</v>
      </c>
      <c r="N26">
        <v>0.753</v>
      </c>
      <c r="O26">
        <v>0.749</v>
      </c>
      <c r="P26">
        <v>0.745</v>
      </c>
      <c r="Q26">
        <v>0.75800000000000001</v>
      </c>
      <c r="R26">
        <v>0.77300000000000002</v>
      </c>
    </row>
    <row r="27" spans="1:18" x14ac:dyDescent="0.25">
      <c r="F27" s="17"/>
      <c r="G27">
        <v>0.26000000000000068</v>
      </c>
      <c r="H27">
        <v>0.19999999999999973</v>
      </c>
      <c r="I27">
        <v>0.29999999999999982</v>
      </c>
      <c r="J27">
        <v>0.44999999999999973</v>
      </c>
      <c r="K27">
        <v>0.25</v>
      </c>
      <c r="L27">
        <v>0.21999999999999975</v>
      </c>
      <c r="M27">
        <v>0.20000000000000018</v>
      </c>
      <c r="N27">
        <v>0.3400000000000003</v>
      </c>
      <c r="O27">
        <v>0.33000000000000007</v>
      </c>
      <c r="P27">
        <v>0.38999999999999968</v>
      </c>
      <c r="Q27">
        <v>0.33999999999999986</v>
      </c>
      <c r="R27">
        <v>0.29999999999999982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Shop</vt:lpstr>
      <vt:lpstr>Sea</vt:lpstr>
      <vt:lpstr>Operation 2007</vt:lpstr>
      <vt:lpstr>Operation 2014</vt:lpstr>
      <vt:lpstr>Correlations</vt:lpstr>
      <vt:lpstr>backpressure</vt:lpstr>
      <vt:lpstr>load</vt:lpstr>
      <vt:lpstr>'Operation 2014'!load2</vt:lpstr>
      <vt:lpstr>load2</vt:lpstr>
      <vt:lpstr>pscexh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Lourandos</dc:creator>
  <cp:lastModifiedBy>Dimitris Lourandos</cp:lastModifiedBy>
  <dcterms:created xsi:type="dcterms:W3CDTF">2015-10-16T06:57:29Z</dcterms:created>
  <dcterms:modified xsi:type="dcterms:W3CDTF">2015-10-22T16:17:38Z</dcterms:modified>
</cp:coreProperties>
</file>