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GitHub\Components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U21" i="1"/>
  <c r="T23" i="1"/>
  <c r="D25" i="1"/>
  <c r="E25" i="1"/>
  <c r="F25" i="1"/>
  <c r="G25" i="1"/>
  <c r="H25" i="1"/>
  <c r="I25" i="1"/>
  <c r="E13" i="1"/>
  <c r="F13" i="1"/>
  <c r="G13" i="1"/>
  <c r="H13" i="1"/>
  <c r="I13" i="1"/>
  <c r="D13" i="1"/>
  <c r="E28" i="1"/>
  <c r="F28" i="1"/>
  <c r="G28" i="1"/>
  <c r="H28" i="1"/>
  <c r="I28" i="1"/>
  <c r="D28" i="1"/>
  <c r="D24" i="1"/>
  <c r="D60" i="1"/>
  <c r="D34" i="1"/>
  <c r="D59" i="1" s="1"/>
  <c r="E34" i="1"/>
  <c r="E59" i="1" s="1"/>
  <c r="F34" i="1"/>
  <c r="F59" i="1" s="1"/>
  <c r="G34" i="1"/>
  <c r="G59" i="1" s="1"/>
  <c r="H34" i="1"/>
  <c r="H59" i="1" s="1"/>
  <c r="I34" i="1"/>
  <c r="I59" i="1" s="1"/>
  <c r="I20" i="1"/>
  <c r="E20" i="1"/>
  <c r="F20" i="1"/>
  <c r="G20" i="1"/>
  <c r="H20" i="1"/>
  <c r="D20" i="1"/>
  <c r="D33" i="1"/>
  <c r="D23" i="1"/>
  <c r="E32" i="1"/>
  <c r="F32" i="1"/>
  <c r="G32" i="1"/>
  <c r="H32" i="1"/>
  <c r="I32" i="1"/>
  <c r="D32" i="1"/>
  <c r="S16" i="1"/>
  <c r="S17" i="1"/>
  <c r="S15" i="1"/>
  <c r="S11" i="1"/>
  <c r="S12" i="1"/>
  <c r="S10" i="1"/>
  <c r="U23" i="1" l="1"/>
  <c r="V24" i="1" s="1"/>
  <c r="I23" i="1"/>
  <c r="E24" i="1" l="1"/>
  <c r="F24" i="1"/>
  <c r="G24" i="1"/>
  <c r="H24" i="1"/>
  <c r="I24" i="1"/>
  <c r="E60" i="1"/>
  <c r="F60" i="1"/>
  <c r="G60" i="1"/>
  <c r="H60" i="1"/>
  <c r="I60" i="1"/>
  <c r="C71" i="1" l="1"/>
  <c r="C70" i="1"/>
  <c r="C69" i="1"/>
  <c r="C58" i="1"/>
  <c r="C59" i="1"/>
  <c r="C61" i="1"/>
  <c r="C62" i="1"/>
  <c r="C57" i="1"/>
  <c r="C53" i="1" l="1"/>
  <c r="C49" i="1"/>
  <c r="C50" i="1"/>
  <c r="C52" i="1"/>
  <c r="C48" i="1"/>
  <c r="C44" i="1"/>
  <c r="C43" i="1"/>
  <c r="C42" i="1"/>
  <c r="E23" i="1"/>
  <c r="E48" i="1" s="1"/>
  <c r="F23" i="1"/>
  <c r="F48" i="1" s="1"/>
  <c r="G23" i="1"/>
  <c r="G48" i="1" s="1"/>
  <c r="H23" i="1"/>
  <c r="H48" i="1" s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7" i="1"/>
  <c r="F57" i="1"/>
  <c r="G57" i="1"/>
  <c r="H57" i="1"/>
  <c r="I57" i="1"/>
  <c r="E33" i="1"/>
  <c r="E58" i="1" s="1"/>
  <c r="F33" i="1"/>
  <c r="F58" i="1" s="1"/>
  <c r="G33" i="1"/>
  <c r="G58" i="1" s="1"/>
  <c r="H33" i="1"/>
  <c r="H58" i="1" s="1"/>
  <c r="I33" i="1"/>
  <c r="I58" i="1" s="1"/>
  <c r="D58" i="1"/>
  <c r="D49" i="1"/>
  <c r="D51" i="1"/>
  <c r="I3" i="1"/>
  <c r="I2" i="1"/>
  <c r="D48" i="1"/>
  <c r="D35" i="1" l="1"/>
  <c r="D61" i="1" s="1"/>
  <c r="D57" i="1"/>
  <c r="D50" i="1"/>
  <c r="G35" i="1"/>
  <c r="G61" i="1" s="1"/>
  <c r="E26" i="1"/>
  <c r="I35" i="1"/>
  <c r="I61" i="1" s="1"/>
  <c r="F35" i="1"/>
  <c r="F61" i="1" s="1"/>
  <c r="G26" i="1"/>
  <c r="E35" i="1"/>
  <c r="E61" i="1" s="1"/>
  <c r="I26" i="1"/>
  <c r="H26" i="1"/>
  <c r="H52" i="1" s="1"/>
  <c r="F26" i="1"/>
  <c r="H35" i="1"/>
  <c r="H61" i="1" s="1"/>
  <c r="D26" i="1"/>
  <c r="D52" i="1" s="1"/>
  <c r="G36" i="1" l="1"/>
  <c r="G62" i="1" s="1"/>
  <c r="G63" i="1" s="1"/>
  <c r="G70" i="1" s="1"/>
  <c r="D36" i="1"/>
  <c r="D62" i="1" s="1"/>
  <c r="D63" i="1" s="1"/>
  <c r="D70" i="1" s="1"/>
  <c r="I36" i="1"/>
  <c r="I62" i="1" s="1"/>
  <c r="I63" i="1" s="1"/>
  <c r="E36" i="1"/>
  <c r="E62" i="1" s="1"/>
  <c r="E63" i="1" s="1"/>
  <c r="F36" i="1"/>
  <c r="F62" i="1" s="1"/>
  <c r="F63" i="1" s="1"/>
  <c r="H36" i="1"/>
  <c r="H62" i="1" s="1"/>
  <c r="H63" i="1" s="1"/>
  <c r="I27" i="1"/>
  <c r="I52" i="1"/>
  <c r="G27" i="1"/>
  <c r="G29" i="1" s="1"/>
  <c r="G30" i="1" s="1"/>
  <c r="G52" i="1"/>
  <c r="E27" i="1"/>
  <c r="E53" i="1" s="1"/>
  <c r="E54" i="1" s="1"/>
  <c r="E69" i="1" s="1"/>
  <c r="E52" i="1"/>
  <c r="F27" i="1"/>
  <c r="F52" i="1"/>
  <c r="H27" i="1"/>
  <c r="D27" i="1"/>
  <c r="D37" i="1" l="1"/>
  <c r="I37" i="1"/>
  <c r="I44" i="1" s="1"/>
  <c r="Y12" i="1" s="1"/>
  <c r="Y17" i="1" s="1"/>
  <c r="H70" i="1"/>
  <c r="F70" i="1"/>
  <c r="E70" i="1"/>
  <c r="E66" i="1"/>
  <c r="I70" i="1"/>
  <c r="G42" i="1"/>
  <c r="E37" i="1"/>
  <c r="E44" i="1" s="1"/>
  <c r="U12" i="1" s="1"/>
  <c r="U17" i="1" s="1"/>
  <c r="I29" i="1"/>
  <c r="I53" i="1"/>
  <c r="I54" i="1" s="1"/>
  <c r="I69" i="1" s="1"/>
  <c r="F29" i="1"/>
  <c r="F30" i="1" s="1"/>
  <c r="F53" i="1"/>
  <c r="F54" i="1" s="1"/>
  <c r="F69" i="1" s="1"/>
  <c r="D53" i="1"/>
  <c r="D54" i="1" s="1"/>
  <c r="D69" i="1" s="1"/>
  <c r="D29" i="1"/>
  <c r="D30" i="1" s="1"/>
  <c r="H37" i="1"/>
  <c r="H44" i="1" s="1"/>
  <c r="X12" i="1" s="1"/>
  <c r="X17" i="1" s="1"/>
  <c r="H53" i="1"/>
  <c r="H54" i="1" s="1"/>
  <c r="H69" i="1" s="1"/>
  <c r="F37" i="1"/>
  <c r="F44" i="1" s="1"/>
  <c r="V12" i="1" s="1"/>
  <c r="V17" i="1" s="1"/>
  <c r="E29" i="1"/>
  <c r="G37" i="1"/>
  <c r="G44" i="1" s="1"/>
  <c r="W12" i="1" s="1"/>
  <c r="W17" i="1" s="1"/>
  <c r="G53" i="1"/>
  <c r="G54" i="1" s="1"/>
  <c r="H29" i="1"/>
  <c r="D44" i="1" l="1"/>
  <c r="T12" i="1" s="1"/>
  <c r="T17" i="1" s="1"/>
  <c r="D40" i="1"/>
  <c r="D43" i="1" s="1"/>
  <c r="T11" i="1" s="1"/>
  <c r="T16" i="1" s="1"/>
  <c r="D41" i="1"/>
  <c r="G76" i="1"/>
  <c r="W10" i="1"/>
  <c r="W15" i="1" s="1"/>
  <c r="D66" i="1"/>
  <c r="D71" i="1" s="1"/>
  <c r="F66" i="1"/>
  <c r="F71" i="1" s="1"/>
  <c r="G69" i="1"/>
  <c r="G66" i="1"/>
  <c r="G71" i="1" s="1"/>
  <c r="I66" i="1"/>
  <c r="I71" i="1" s="1"/>
  <c r="H66" i="1"/>
  <c r="H71" i="1" s="1"/>
  <c r="E30" i="1"/>
  <c r="E41" i="1" s="1"/>
  <c r="I30" i="1"/>
  <c r="I41" i="1" s="1"/>
  <c r="H30" i="1"/>
  <c r="H41" i="1" s="1"/>
  <c r="F41" i="1"/>
  <c r="G41" i="1"/>
  <c r="E71" i="1"/>
  <c r="F42" i="1"/>
  <c r="I42" i="1"/>
  <c r="G40" i="1"/>
  <c r="G43" i="1" s="1"/>
  <c r="W11" i="1" s="1"/>
  <c r="W16" i="1" s="1"/>
  <c r="E40" i="1"/>
  <c r="E43" i="1" s="1"/>
  <c r="U11" i="1" s="1"/>
  <c r="U16" i="1" s="1"/>
  <c r="F40" i="1"/>
  <c r="F43" i="1" s="1"/>
  <c r="V11" i="1" s="1"/>
  <c r="V16" i="1" s="1"/>
  <c r="E42" i="1"/>
  <c r="I40" i="1"/>
  <c r="I43" i="1" s="1"/>
  <c r="Y11" i="1" s="1"/>
  <c r="Y16" i="1" s="1"/>
  <c r="D42" i="1"/>
  <c r="H40" i="1"/>
  <c r="H43" i="1" s="1"/>
  <c r="X11" i="1" s="1"/>
  <c r="X16" i="1" s="1"/>
  <c r="H42" i="1"/>
  <c r="D76" i="1" l="1"/>
  <c r="T10" i="1"/>
  <c r="T15" i="1" s="1"/>
  <c r="F76" i="1"/>
  <c r="V10" i="1"/>
  <c r="V15" i="1" s="1"/>
  <c r="E76" i="1"/>
  <c r="U10" i="1"/>
  <c r="U15" i="1" s="1"/>
  <c r="H76" i="1"/>
  <c r="X10" i="1"/>
  <c r="X15" i="1" s="1"/>
  <c r="I76" i="1"/>
  <c r="Y10" i="1"/>
  <c r="Y15" i="1" s="1"/>
</calcChain>
</file>

<file path=xl/sharedStrings.xml><?xml version="1.0" encoding="utf-8"?>
<sst xmlns="http://schemas.openxmlformats.org/spreadsheetml/2006/main" count="82" uniqueCount="60">
  <si>
    <t>μ</t>
  </si>
  <si>
    <t>D</t>
  </si>
  <si>
    <t>Tamb</t>
  </si>
  <si>
    <t>Pamb</t>
  </si>
  <si>
    <t>Pscav</t>
  </si>
  <si>
    <t>Texh</t>
  </si>
  <si>
    <t>Pexh</t>
  </si>
  <si>
    <t>BackPr</t>
  </si>
  <si>
    <t>Dp-af</t>
  </si>
  <si>
    <t>Dp-ac</t>
  </si>
  <si>
    <t>n (rpm)</t>
  </si>
  <si>
    <t>N (rpm)</t>
  </si>
  <si>
    <t>Tcomp.del</t>
  </si>
  <si>
    <t>t.aft.turb.</t>
  </si>
  <si>
    <t>Philippe</t>
  </si>
  <si>
    <t>MAN</t>
  </si>
  <si>
    <t>Πc</t>
  </si>
  <si>
    <t>p1</t>
  </si>
  <si>
    <t>p2</t>
  </si>
  <si>
    <t>γAIR</t>
  </si>
  <si>
    <t>(γ-1)γAIR</t>
  </si>
  <si>
    <t>(γ-1)γG</t>
  </si>
  <si>
    <t>γG</t>
  </si>
  <si>
    <t>p3</t>
  </si>
  <si>
    <t>T1</t>
  </si>
  <si>
    <t>T2</t>
  </si>
  <si>
    <t>Πt</t>
  </si>
  <si>
    <t>(Πc^γ)-1</t>
  </si>
  <si>
    <t>U</t>
  </si>
  <si>
    <t>Compressor</t>
  </si>
  <si>
    <t>ηISc</t>
  </si>
  <si>
    <t>p4</t>
  </si>
  <si>
    <t>T3</t>
  </si>
  <si>
    <t xml:space="preserve">TC </t>
  </si>
  <si>
    <t>ηIStc</t>
  </si>
  <si>
    <t xml:space="preserve">Turbine </t>
  </si>
  <si>
    <t>ηISt</t>
  </si>
  <si>
    <t>Thermodynamics</t>
  </si>
  <si>
    <t>Τ4</t>
  </si>
  <si>
    <t>1-(Πt^-γ)</t>
  </si>
  <si>
    <t>Load</t>
  </si>
  <si>
    <t>Manufacturer</t>
  </si>
  <si>
    <t xml:space="preserve"> (from Compressor Map)</t>
  </si>
  <si>
    <t>MAN /Manu</t>
  </si>
  <si>
    <r>
      <t>η</t>
    </r>
    <r>
      <rPr>
        <b/>
        <vertAlign val="subscript"/>
        <sz val="11"/>
        <color theme="1"/>
        <rFont val="Calibri"/>
        <family val="2"/>
        <scheme val="minor"/>
      </rPr>
      <t>m</t>
    </r>
  </si>
  <si>
    <t>Parameters</t>
  </si>
  <si>
    <t>Ta.turb</t>
  </si>
  <si>
    <t>ηISt2</t>
  </si>
  <si>
    <t>Isc factor</t>
  </si>
  <si>
    <t>ηc</t>
  </si>
  <si>
    <t>Isc factor low</t>
  </si>
  <si>
    <t>MAN original</t>
  </si>
  <si>
    <t>Semsitivity analysis</t>
  </si>
  <si>
    <t>Difference</t>
  </si>
  <si>
    <t>psc-pexh</t>
  </si>
  <si>
    <t>Error table</t>
  </si>
  <si>
    <t>Tscav</t>
  </si>
  <si>
    <t>γ</t>
  </si>
  <si>
    <t>TC speed</t>
  </si>
  <si>
    <t>backpressure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</si>
</sst>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0"/>
    <numFmt numFmtId="166" formatCode="0.000"/>
    <numFmt numFmtId="168" formatCode="0.0000000000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164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/>
    <xf numFmtId="165" fontId="0" fillId="0" borderId="0" xfId="0" applyNumberFormat="1"/>
    <xf numFmtId="0" fontId="3" fillId="0" borderId="0" xfId="0" applyFont="1"/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3" fillId="0" borderId="0" xfId="0" applyFont="1"/>
    <xf numFmtId="10" fontId="0" fillId="0" borderId="0" xfId="0" applyNumberFormat="1"/>
    <xf numFmtId="164" fontId="4" fillId="2" borderId="2" xfId="1" applyNumberFormat="1" applyFont="1" applyFill="1" applyBorder="1"/>
    <xf numFmtId="164" fontId="4" fillId="2" borderId="3" xfId="1" applyNumberFormat="1" applyFont="1" applyFill="1" applyBorder="1"/>
    <xf numFmtId="164" fontId="4" fillId="2" borderId="4" xfId="1" applyNumberFormat="1" applyFont="1" applyFill="1" applyBorder="1"/>
    <xf numFmtId="164" fontId="4" fillId="2" borderId="5" xfId="1" applyNumberFormat="1" applyFont="1" applyFill="1" applyBorder="1"/>
    <xf numFmtId="164" fontId="4" fillId="2" borderId="1" xfId="1" applyNumberFormat="1" applyFont="1" applyFill="1" applyBorder="1"/>
    <xf numFmtId="164" fontId="4" fillId="2" borderId="6" xfId="1" applyNumberFormat="1" applyFont="1" applyFill="1" applyBorder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2" borderId="9" xfId="1" applyNumberFormat="1" applyFont="1" applyFill="1" applyBorder="1"/>
    <xf numFmtId="0" fontId="0" fillId="4" borderId="1" xfId="0" applyFill="1" applyBorder="1"/>
    <xf numFmtId="0" fontId="0" fillId="3" borderId="1" xfId="0" applyFill="1" applyBorder="1"/>
    <xf numFmtId="0" fontId="5" fillId="0" borderId="0" xfId="0" applyFont="1"/>
    <xf numFmtId="0" fontId="3" fillId="2" borderId="0" xfId="0" applyFont="1" applyFill="1"/>
    <xf numFmtId="0" fontId="0" fillId="2" borderId="0" xfId="0" applyFill="1"/>
    <xf numFmtId="0" fontId="0" fillId="5" borderId="0" xfId="0" applyFill="1"/>
    <xf numFmtId="9" fontId="0" fillId="0" borderId="0" xfId="0" applyNumberFormat="1"/>
    <xf numFmtId="164" fontId="4" fillId="6" borderId="8" xfId="1" applyNumberFormat="1" applyFont="1" applyFill="1" applyBorder="1"/>
    <xf numFmtId="9" fontId="0" fillId="0" borderId="0" xfId="1" applyFont="1"/>
    <xf numFmtId="10" fontId="7" fillId="7" borderId="0" xfId="1" applyNumberFormat="1" applyFont="1" applyFill="1"/>
    <xf numFmtId="168" fontId="0" fillId="0" borderId="0" xfId="0" applyNumberFormat="1"/>
    <xf numFmtId="2" fontId="0" fillId="0" borderId="0" xfId="1" applyNumberFormat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Sheet1!$D$42:$I$42</c:f>
              <c:numCache>
                <c:formatCode>0.0%</c:formatCode>
                <c:ptCount val="6"/>
                <c:pt idx="0">
                  <c:v>0.99188514380896475</c:v>
                </c:pt>
                <c:pt idx="1">
                  <c:v>0.86439148210697658</c:v>
                </c:pt>
                <c:pt idx="2">
                  <c:v>0.82922933064896165</c:v>
                </c:pt>
                <c:pt idx="3">
                  <c:v>0.84726298570809078</c:v>
                </c:pt>
                <c:pt idx="4">
                  <c:v>0.82678558734531837</c:v>
                </c:pt>
                <c:pt idx="5">
                  <c:v>0.80651687954801021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Sheet1!$D$69:$I$69</c:f>
              <c:numCache>
                <c:formatCode>0.0%</c:formatCode>
                <c:ptCount val="6"/>
                <c:pt idx="0">
                  <c:v>1.3724058003675725</c:v>
                </c:pt>
                <c:pt idx="1">
                  <c:v>0.95026276674433952</c:v>
                </c:pt>
                <c:pt idx="2">
                  <c:v>0.88416645061071053</c:v>
                </c:pt>
                <c:pt idx="3">
                  <c:v>0.88283230363653808</c:v>
                </c:pt>
                <c:pt idx="4">
                  <c:v>0.85291580504050357</c:v>
                </c:pt>
                <c:pt idx="5">
                  <c:v>0.82286514452561454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Sheet1!$C$73</c:f>
              <c:strCache>
                <c:ptCount val="1"/>
                <c:pt idx="0">
                  <c:v>Manufacturer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Sheet1!$D$74:$I$74</c:f>
              <c:numCache>
                <c:formatCode>0.00%</c:formatCode>
                <c:ptCount val="6"/>
                <c:pt idx="0">
                  <c:v>0.9</c:v>
                </c:pt>
                <c:pt idx="1">
                  <c:v>0.85499999999999998</c:v>
                </c:pt>
                <c:pt idx="2">
                  <c:v>0.86</c:v>
                </c:pt>
                <c:pt idx="3">
                  <c:v>0.86499999999999999</c:v>
                </c:pt>
                <c:pt idx="4">
                  <c:v>0.86</c:v>
                </c:pt>
                <c:pt idx="5">
                  <c:v>0.84499999999999997</c:v>
                </c:pt>
              </c:numCache>
            </c:numRef>
          </c:yVal>
          <c:smooth val="0"/>
        </c:ser>
        <c:ser>
          <c:idx val="3"/>
          <c:order val="3"/>
          <c:tx>
            <c:v>MAN/0.9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Sheet1!$D$30:$I$30</c:f>
              <c:numCache>
                <c:formatCode>0.00%</c:formatCode>
                <c:ptCount val="6"/>
                <c:pt idx="0">
                  <c:v>0.99188514380896475</c:v>
                </c:pt>
                <c:pt idx="1">
                  <c:v>0.96043498011886286</c:v>
                </c:pt>
                <c:pt idx="2">
                  <c:v>0.92136592294329067</c:v>
                </c:pt>
                <c:pt idx="3">
                  <c:v>0.9414033174534342</c:v>
                </c:pt>
                <c:pt idx="4">
                  <c:v>0.91865065260590928</c:v>
                </c:pt>
                <c:pt idx="5">
                  <c:v>0.89612986616445578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30800"/>
        <c:axId val="2100538416"/>
      </c:scatterChart>
      <c:valAx>
        <c:axId val="21005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Sheet1!$C$6</c:f>
              <c:strCache>
                <c:ptCount val="1"/>
                <c:pt idx="0">
                  <c:v>Load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38416"/>
        <c:crosses val="autoZero"/>
        <c:crossBetween val="midCat"/>
      </c:valAx>
      <c:valAx>
        <c:axId val="21005384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Sheet1!$C$42</c:f>
              <c:strCache>
                <c:ptCount val="1"/>
                <c:pt idx="0">
                  <c:v>ηc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3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Sheet1!$D$43:$I$43</c:f>
              <c:numCache>
                <c:formatCode>0.0%</c:formatCode>
                <c:ptCount val="6"/>
                <c:pt idx="0">
                  <c:v>0.69823357956551424</c:v>
                </c:pt>
                <c:pt idx="1">
                  <c:v>0.76038118727589343</c:v>
                </c:pt>
                <c:pt idx="2">
                  <c:v>0.81123166585395645</c:v>
                </c:pt>
                <c:pt idx="3">
                  <c:v>0.8172472160712847</c:v>
                </c:pt>
                <c:pt idx="4">
                  <c:v>0.81852508232591492</c:v>
                </c:pt>
                <c:pt idx="5">
                  <c:v>0.82471729708767871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Sheet1!$D$70:$I$70</c:f>
              <c:numCache>
                <c:formatCode>0.0%</c:formatCode>
                <c:ptCount val="6"/>
                <c:pt idx="0">
                  <c:v>1.0809144821092342</c:v>
                </c:pt>
                <c:pt idx="1">
                  <c:v>0.98104720732916006</c:v>
                </c:pt>
                <c:pt idx="2">
                  <c:v>0.98389003723176993</c:v>
                </c:pt>
                <c:pt idx="3">
                  <c:v>0.97068521534997099</c:v>
                </c:pt>
                <c:pt idx="4">
                  <c:v>0.93953496619176302</c:v>
                </c:pt>
                <c:pt idx="5">
                  <c:v>0.92356203337276888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37872"/>
        <c:axId val="2100538960"/>
      </c:scatterChart>
      <c:valAx>
        <c:axId val="21005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Sheet1!$C$6</c:f>
              <c:strCache>
                <c:ptCount val="1"/>
                <c:pt idx="0">
                  <c:v>Load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38960"/>
        <c:crosses val="autoZero"/>
        <c:crossBetween val="midCat"/>
      </c:valAx>
      <c:valAx>
        <c:axId val="210053896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Sheet1!$C$43</c:f>
              <c:strCache>
                <c:ptCount val="1"/>
                <c:pt idx="0">
                  <c:v>ηISt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3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Sheet1!$D$44:$I$44</c:f>
              <c:numCache>
                <c:formatCode>0.0%</c:formatCode>
                <c:ptCount val="6"/>
                <c:pt idx="0">
                  <c:v>0.62331076303162947</c:v>
                </c:pt>
                <c:pt idx="1">
                  <c:v>0.65726702143567206</c:v>
                </c:pt>
                <c:pt idx="2">
                  <c:v>0.67269709127731847</c:v>
                </c:pt>
                <c:pt idx="3">
                  <c:v>0.69242331635018184</c:v>
                </c:pt>
                <c:pt idx="4">
                  <c:v>0.67674474094770665</c:v>
                </c:pt>
                <c:pt idx="5">
                  <c:v>0.6651484209564239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Sheet1!$D$71:$I$71</c:f>
              <c:numCache>
                <c:formatCode>0.0%</c:formatCode>
                <c:ptCount val="6"/>
                <c:pt idx="0">
                  <c:v>1.3388166077155914</c:v>
                </c:pt>
                <c:pt idx="1">
                  <c:v>0.8413580017729323</c:v>
                </c:pt>
                <c:pt idx="2">
                  <c:v>0.78510511221443458</c:v>
                </c:pt>
                <c:pt idx="3">
                  <c:v>0.77339941895794295</c:v>
                </c:pt>
                <c:pt idx="4">
                  <c:v>0.72321316040296768</c:v>
                </c:pt>
                <c:pt idx="5">
                  <c:v>0.68587022297786271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45792"/>
        <c:axId val="2022756672"/>
      </c:scatterChart>
      <c:valAx>
        <c:axId val="20227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Sheet1!$C$6</c:f>
              <c:strCache>
                <c:ptCount val="1"/>
                <c:pt idx="0">
                  <c:v>Load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56672"/>
        <c:crosses val="autoZero"/>
        <c:crossBetween val="midCat"/>
      </c:valAx>
      <c:valAx>
        <c:axId val="2022756672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Sheet1!$C$44</c:f>
              <c:strCache>
                <c:ptCount val="1"/>
                <c:pt idx="0">
                  <c:v>ηIStc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4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Sheet1!$D$26:$I$26</c:f>
              <c:numCache>
                <c:formatCode>General</c:formatCode>
                <c:ptCount val="6"/>
                <c:pt idx="0">
                  <c:v>1.3730988253972465</c:v>
                </c:pt>
                <c:pt idx="1">
                  <c:v>2.1226097988224639</c:v>
                </c:pt>
                <c:pt idx="2">
                  <c:v>2.93483209893482</c:v>
                </c:pt>
                <c:pt idx="3">
                  <c:v>3.4368056029155785</c:v>
                </c:pt>
                <c:pt idx="4">
                  <c:v>3.8088296141112528</c:v>
                </c:pt>
                <c:pt idx="5">
                  <c:v>4.0713674469426122</c:v>
                </c:pt>
              </c:numCache>
            </c:numRef>
          </c:xVal>
          <c:yVal>
            <c:numRef>
              <c:f>Sheet1!$D$44:$I$44</c:f>
              <c:numCache>
                <c:formatCode>0.0%</c:formatCode>
                <c:ptCount val="6"/>
                <c:pt idx="0">
                  <c:v>0.62331076303162947</c:v>
                </c:pt>
                <c:pt idx="1">
                  <c:v>0.65726702143567206</c:v>
                </c:pt>
                <c:pt idx="2">
                  <c:v>0.67269709127731847</c:v>
                </c:pt>
                <c:pt idx="3">
                  <c:v>0.69242331635018184</c:v>
                </c:pt>
                <c:pt idx="4">
                  <c:v>0.67674474094770665</c:v>
                </c:pt>
                <c:pt idx="5">
                  <c:v>0.6651484209564239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Sheet1!$D$26:$I$26</c:f>
              <c:numCache>
                <c:formatCode>General</c:formatCode>
                <c:ptCount val="6"/>
                <c:pt idx="0">
                  <c:v>1.3730988253972465</c:v>
                </c:pt>
                <c:pt idx="1">
                  <c:v>2.1226097988224639</c:v>
                </c:pt>
                <c:pt idx="2">
                  <c:v>2.93483209893482</c:v>
                </c:pt>
                <c:pt idx="3">
                  <c:v>3.4368056029155785</c:v>
                </c:pt>
                <c:pt idx="4">
                  <c:v>3.8088296141112528</c:v>
                </c:pt>
                <c:pt idx="5">
                  <c:v>4.0713674469426122</c:v>
                </c:pt>
              </c:numCache>
            </c:numRef>
          </c:xVal>
          <c:yVal>
            <c:numRef>
              <c:f>Sheet1!$D$71:$I$71</c:f>
              <c:numCache>
                <c:formatCode>0.0%</c:formatCode>
                <c:ptCount val="6"/>
                <c:pt idx="0">
                  <c:v>1.3388166077155914</c:v>
                </c:pt>
                <c:pt idx="1">
                  <c:v>0.8413580017729323</c:v>
                </c:pt>
                <c:pt idx="2">
                  <c:v>0.78510511221443458</c:v>
                </c:pt>
                <c:pt idx="3">
                  <c:v>0.77339941895794295</c:v>
                </c:pt>
                <c:pt idx="4">
                  <c:v>0.72321316040296768</c:v>
                </c:pt>
                <c:pt idx="5">
                  <c:v>0.68587022297786271</c:v>
                </c:pt>
              </c:numCache>
            </c:numRef>
          </c:yVal>
          <c:smooth val="0"/>
        </c:ser>
        <c:ser>
          <c:idx val="2"/>
          <c:order val="2"/>
          <c:tx>
            <c:v>Diagram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Sheet1!$D$77:$K$77</c:f>
              <c:numCache>
                <c:formatCode>General</c:formatCode>
                <c:ptCount val="8"/>
                <c:pt idx="0">
                  <c:v>1.75</c:v>
                </c:pt>
                <c:pt idx="1">
                  <c:v>2.1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3.25</c:v>
                </c:pt>
                <c:pt idx="6">
                  <c:v>3.85</c:v>
                </c:pt>
                <c:pt idx="7">
                  <c:v>4.2</c:v>
                </c:pt>
              </c:numCache>
            </c:numRef>
          </c:xVal>
          <c:yVal>
            <c:numRef>
              <c:f>Sheet1!$D$78:$K$78</c:f>
              <c:numCache>
                <c:formatCode>0%</c:formatCode>
                <c:ptCount val="8"/>
                <c:pt idx="0">
                  <c:v>0.68</c:v>
                </c:pt>
                <c:pt idx="1">
                  <c:v>0.7</c:v>
                </c:pt>
                <c:pt idx="2">
                  <c:v>0.71199999999999997</c:v>
                </c:pt>
                <c:pt idx="3">
                  <c:v>0.71799999999999997</c:v>
                </c:pt>
                <c:pt idx="4">
                  <c:v>0.71299999999999997</c:v>
                </c:pt>
                <c:pt idx="5">
                  <c:v>0.7</c:v>
                </c:pt>
                <c:pt idx="6">
                  <c:v>0.67</c:v>
                </c:pt>
                <c:pt idx="7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50144"/>
        <c:axId val="2022752864"/>
      </c:scatterChart>
      <c:valAx>
        <c:axId val="202275014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Sheet1!$C$26</c:f>
              <c:strCache>
                <c:ptCount val="1"/>
                <c:pt idx="0">
                  <c:v>Πc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52864"/>
        <c:crosses val="autoZero"/>
        <c:crossBetween val="midCat"/>
      </c:valAx>
      <c:valAx>
        <c:axId val="2022752864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Sheet1!$C$44</c:f>
              <c:strCache>
                <c:ptCount val="1"/>
                <c:pt idx="0">
                  <c:v>ηIStc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5</xdr:row>
      <xdr:rowOff>52387</xdr:rowOff>
    </xdr:from>
    <xdr:to>
      <xdr:col>16</xdr:col>
      <xdr:colOff>495300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19</xdr:row>
      <xdr:rowOff>95250</xdr:rowOff>
    </xdr:from>
    <xdr:to>
      <xdr:col>16</xdr:col>
      <xdr:colOff>504825</xdr:colOff>
      <xdr:row>33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33</xdr:row>
      <xdr:rowOff>38100</xdr:rowOff>
    </xdr:from>
    <xdr:to>
      <xdr:col>16</xdr:col>
      <xdr:colOff>504825</xdr:colOff>
      <xdr:row>46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542925</xdr:colOff>
      <xdr:row>80</xdr:row>
      <xdr:rowOff>123825</xdr:rowOff>
    </xdr:from>
    <xdr:to>
      <xdr:col>15</xdr:col>
      <xdr:colOff>228600</xdr:colOff>
      <xdr:row>95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123825</xdr:colOff>
      <xdr:row>80</xdr:row>
      <xdr:rowOff>123826</xdr:rowOff>
    </xdr:from>
    <xdr:to>
      <xdr:col>8</xdr:col>
      <xdr:colOff>527585</xdr:colOff>
      <xdr:row>98</xdr:row>
      <xdr:rowOff>123826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3025" y="15973426"/>
          <a:ext cx="680456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"/>
  <sheetViews>
    <sheetView tabSelected="1" topLeftCell="F1" workbookViewId="0">
      <selection activeCell="K3" sqref="K3"/>
    </sheetView>
  </sheetViews>
  <sheetFormatPr defaultRowHeight="15" x14ac:dyDescent="0.25"/>
  <cols>
    <col min="3" max="3" width="10.28515625" bestFit="1" customWidth="1"/>
    <col min="4" max="4" width="12" customWidth="1"/>
    <col min="5" max="9" width="18.42578125" bestFit="1" customWidth="1"/>
    <col min="19" max="19" width="18.5703125" bestFit="1" customWidth="1"/>
    <col min="27" max="27" width="10.28515625" bestFit="1" customWidth="1"/>
    <col min="28" max="28" width="10.28515625" style="17" customWidth="1"/>
  </cols>
  <sheetData>
    <row r="1" spans="3:33" x14ac:dyDescent="0.25">
      <c r="D1" s="17">
        <v>4.9033249999999996E-4</v>
      </c>
      <c r="E1" s="17">
        <v>1.372931E-3</v>
      </c>
      <c r="F1" s="17">
        <v>2.745862E-3</v>
      </c>
      <c r="G1" s="17">
        <v>3.28522775E-3</v>
      </c>
      <c r="H1" s="17">
        <v>3.9226599999999997E-3</v>
      </c>
      <c r="I1" s="17">
        <v>4.5110590000000004E-3</v>
      </c>
      <c r="J1" t="s">
        <v>45</v>
      </c>
    </row>
    <row r="2" spans="3:33" x14ac:dyDescent="0.25">
      <c r="C2" s="33" t="s">
        <v>0</v>
      </c>
      <c r="D2" s="33">
        <v>0.72</v>
      </c>
      <c r="F2" s="32" t="s">
        <v>19</v>
      </c>
      <c r="G2" s="32">
        <v>1.4</v>
      </c>
      <c r="H2" t="s">
        <v>20</v>
      </c>
      <c r="I2" s="13">
        <f>(G2-1)/G2</f>
        <v>0.28571428571428564</v>
      </c>
      <c r="J2" t="s">
        <v>4</v>
      </c>
      <c r="K2" s="37">
        <v>0</v>
      </c>
      <c r="L2" t="s">
        <v>6</v>
      </c>
      <c r="M2" s="37">
        <v>0</v>
      </c>
      <c r="N2" t="s">
        <v>48</v>
      </c>
      <c r="O2" s="36">
        <v>0.9</v>
      </c>
      <c r="P2" t="s">
        <v>58</v>
      </c>
      <c r="Q2" s="37">
        <v>-500</v>
      </c>
    </row>
    <row r="3" spans="3:33" x14ac:dyDescent="0.25">
      <c r="C3" s="33" t="s">
        <v>1</v>
      </c>
      <c r="D3" s="33">
        <v>0.73</v>
      </c>
      <c r="F3" s="32" t="s">
        <v>22</v>
      </c>
      <c r="G3" s="32">
        <v>1.36</v>
      </c>
      <c r="H3" s="11" t="s">
        <v>21</v>
      </c>
      <c r="I3" s="13">
        <f>(G3-1)/G3</f>
        <v>0.26470588235294124</v>
      </c>
      <c r="J3" t="s">
        <v>5</v>
      </c>
      <c r="K3" s="37">
        <v>0</v>
      </c>
      <c r="L3" t="s">
        <v>46</v>
      </c>
      <c r="M3" s="37">
        <v>0</v>
      </c>
      <c r="N3" t="s">
        <v>50</v>
      </c>
      <c r="O3" s="36">
        <v>1</v>
      </c>
      <c r="P3" t="s">
        <v>2</v>
      </c>
      <c r="Q3" s="37">
        <v>0</v>
      </c>
      <c r="S3" t="s">
        <v>52</v>
      </c>
    </row>
    <row r="4" spans="3:33" x14ac:dyDescent="0.25">
      <c r="C4" t="s">
        <v>59</v>
      </c>
      <c r="D4" s="17">
        <v>0</v>
      </c>
      <c r="E4" s="17">
        <v>3.9226599999999997E-3</v>
      </c>
      <c r="F4" s="17">
        <v>7.8453199999999994E-3</v>
      </c>
      <c r="G4" s="17">
        <v>1.4709975E-2</v>
      </c>
      <c r="H4" s="17">
        <v>1.5690639999999999E-2</v>
      </c>
      <c r="I4" s="17">
        <v>2.2555295E-2</v>
      </c>
      <c r="L4" s="17"/>
      <c r="M4" s="17"/>
      <c r="N4" s="17"/>
      <c r="O4" s="17"/>
      <c r="P4" s="17"/>
      <c r="AE4" t="s">
        <v>5</v>
      </c>
    </row>
    <row r="5" spans="3:33" ht="18.75" x14ac:dyDescent="0.3">
      <c r="C5" s="35" t="s">
        <v>14</v>
      </c>
      <c r="S5" t="s">
        <v>51</v>
      </c>
      <c r="AA5" s="14" t="s">
        <v>55</v>
      </c>
      <c r="AF5" t="s">
        <v>56</v>
      </c>
      <c r="AG5" t="s">
        <v>57</v>
      </c>
    </row>
    <row r="6" spans="3:33" x14ac:dyDescent="0.25">
      <c r="C6" s="34" t="s">
        <v>40</v>
      </c>
      <c r="D6" s="1">
        <v>0.25</v>
      </c>
      <c r="E6" s="1">
        <v>0.5</v>
      </c>
      <c r="F6" s="1">
        <v>0.75</v>
      </c>
      <c r="G6" s="1">
        <v>0.9</v>
      </c>
      <c r="H6" s="1">
        <v>1</v>
      </c>
      <c r="I6" s="1">
        <v>1.1000000000000001</v>
      </c>
      <c r="S6" t="s">
        <v>49</v>
      </c>
      <c r="T6" s="18">
        <v>0.82324419377495617</v>
      </c>
      <c r="U6" s="18">
        <v>0.7733737043275386</v>
      </c>
      <c r="V6" s="18">
        <v>0.75839788862565871</v>
      </c>
      <c r="W6" s="18">
        <v>0.77969919517434116</v>
      </c>
      <c r="X6" s="18">
        <v>0.76438386855207641</v>
      </c>
      <c r="Y6" s="18">
        <v>0.74810409672059253</v>
      </c>
      <c r="AA6" t="s">
        <v>6</v>
      </c>
      <c r="AB6" s="17" t="s">
        <v>49</v>
      </c>
      <c r="AC6" s="19" t="s">
        <v>36</v>
      </c>
      <c r="AD6" s="19" t="s">
        <v>34</v>
      </c>
      <c r="AE6" s="19"/>
      <c r="AF6" s="19"/>
      <c r="AG6" s="19"/>
    </row>
    <row r="7" spans="3:33" x14ac:dyDescent="0.25">
      <c r="C7" s="34" t="s">
        <v>11</v>
      </c>
      <c r="D7" s="2">
        <v>57.4</v>
      </c>
      <c r="E7" s="2">
        <v>72.3</v>
      </c>
      <c r="F7" s="2">
        <v>82.6</v>
      </c>
      <c r="G7" s="2">
        <v>87.9</v>
      </c>
      <c r="H7" s="2">
        <v>91</v>
      </c>
      <c r="I7" s="2">
        <v>93.9</v>
      </c>
      <c r="S7" t="s">
        <v>36</v>
      </c>
      <c r="T7" s="18">
        <v>0.84126619989124407</v>
      </c>
      <c r="U7" s="18">
        <v>0.84986988535791597</v>
      </c>
      <c r="V7" s="18">
        <v>0.88699757919468347</v>
      </c>
      <c r="W7" s="18">
        <v>0.88806468011725426</v>
      </c>
      <c r="X7" s="18">
        <v>0.88534670705390606</v>
      </c>
      <c r="Y7" s="18">
        <v>0.88911212205919588</v>
      </c>
      <c r="AA7" s="43">
        <v>-0.2</v>
      </c>
      <c r="AC7" s="19"/>
      <c r="AD7" s="19"/>
      <c r="AE7" s="19"/>
      <c r="AF7" s="19"/>
      <c r="AG7" s="19"/>
    </row>
    <row r="8" spans="3:33" x14ac:dyDescent="0.25">
      <c r="C8" s="34" t="s">
        <v>2</v>
      </c>
      <c r="D8" s="17">
        <v>14.149999999999999</v>
      </c>
      <c r="E8" s="17">
        <v>15.2</v>
      </c>
      <c r="F8" s="17">
        <v>16.149999999999999</v>
      </c>
      <c r="G8" s="17">
        <v>18.350000000000001</v>
      </c>
      <c r="H8" s="17">
        <v>17.45</v>
      </c>
      <c r="I8" s="17">
        <v>18.55</v>
      </c>
      <c r="S8" t="s">
        <v>34</v>
      </c>
      <c r="T8" s="18">
        <v>0.62331076303162947</v>
      </c>
      <c r="U8" s="18">
        <v>0.65726702143567206</v>
      </c>
      <c r="V8" s="18">
        <v>0.67269709127731847</v>
      </c>
      <c r="W8" s="18">
        <v>0.69242331635018184</v>
      </c>
      <c r="X8" s="18">
        <v>0.67674474094770665</v>
      </c>
      <c r="Y8" s="18">
        <v>0.6651484209564239</v>
      </c>
      <c r="AA8" s="19">
        <v>0.1</v>
      </c>
      <c r="AC8" s="19"/>
      <c r="AD8" s="19"/>
      <c r="AE8" s="19"/>
      <c r="AF8" s="19"/>
      <c r="AG8" s="19"/>
    </row>
    <row r="9" spans="3:33" x14ac:dyDescent="0.25">
      <c r="C9" s="34" t="s">
        <v>3</v>
      </c>
      <c r="D9" s="3">
        <v>1010.5837162</v>
      </c>
      <c r="E9" s="3">
        <v>1010.31707142</v>
      </c>
      <c r="F9" s="3">
        <v>1009.65045947</v>
      </c>
      <c r="G9" s="3">
        <v>1008.98384752</v>
      </c>
      <c r="H9" s="3">
        <v>1008.98384752</v>
      </c>
      <c r="I9" s="3">
        <v>1008.98384752</v>
      </c>
      <c r="AA9" s="19">
        <v>0</v>
      </c>
      <c r="AC9" s="19"/>
      <c r="AD9" s="19"/>
      <c r="AE9" s="19"/>
      <c r="AF9" s="19"/>
      <c r="AG9" s="19"/>
    </row>
    <row r="10" spans="3:33" x14ac:dyDescent="0.25">
      <c r="C10" s="34" t="s">
        <v>4</v>
      </c>
      <c r="D10" s="7">
        <v>1.3805837162000001</v>
      </c>
      <c r="E10" s="7">
        <v>2.1303170714200004</v>
      </c>
      <c r="F10" s="7">
        <v>2.9396504594700001</v>
      </c>
      <c r="G10" s="7">
        <v>3.4389838475200003</v>
      </c>
      <c r="H10" s="7">
        <v>3.80898384752</v>
      </c>
      <c r="I10" s="7">
        <v>4.0689838475200002</v>
      </c>
      <c r="S10" t="str">
        <f>S6</f>
        <v>ηc</v>
      </c>
      <c r="T10" s="22">
        <f>D42</f>
        <v>0.99188514380896475</v>
      </c>
      <c r="U10" s="22">
        <f t="shared" ref="U10:Y12" si="0">E42</f>
        <v>0.86439148210697658</v>
      </c>
      <c r="V10" s="22">
        <f t="shared" si="0"/>
        <v>0.82922933064896165</v>
      </c>
      <c r="W10" s="22">
        <f t="shared" si="0"/>
        <v>0.84726298570809078</v>
      </c>
      <c r="X10" s="22">
        <f t="shared" si="0"/>
        <v>0.82678558734531837</v>
      </c>
      <c r="Y10" s="22">
        <f t="shared" si="0"/>
        <v>0.80651687954801021</v>
      </c>
      <c r="AA10" s="19">
        <v>0.1</v>
      </c>
      <c r="AC10" s="19"/>
      <c r="AD10" s="19"/>
      <c r="AE10" s="19"/>
      <c r="AF10" s="19"/>
      <c r="AG10" s="19"/>
    </row>
    <row r="11" spans="3:33" x14ac:dyDescent="0.25">
      <c r="C11" s="34" t="s">
        <v>5</v>
      </c>
      <c r="D11" s="11">
        <v>262.5</v>
      </c>
      <c r="E11" s="11">
        <v>314</v>
      </c>
      <c r="F11" s="11">
        <v>335</v>
      </c>
      <c r="G11" s="11">
        <v>353.5</v>
      </c>
      <c r="H11" s="11">
        <v>375</v>
      </c>
      <c r="I11" s="11">
        <v>395</v>
      </c>
      <c r="S11" s="17" t="str">
        <f t="shared" ref="S11:S12" si="1">S7</f>
        <v>ηISt</v>
      </c>
      <c r="T11" s="22">
        <f t="shared" ref="T11:T12" si="2">D43</f>
        <v>0.69823357956551424</v>
      </c>
      <c r="U11" s="22">
        <f t="shared" si="0"/>
        <v>0.76038118727589343</v>
      </c>
      <c r="V11" s="22">
        <f t="shared" si="0"/>
        <v>0.81123166585395645</v>
      </c>
      <c r="W11" s="22">
        <f t="shared" si="0"/>
        <v>0.8172472160712847</v>
      </c>
      <c r="X11" s="22">
        <f t="shared" si="0"/>
        <v>0.81852508232591492</v>
      </c>
      <c r="Y11" s="22">
        <f t="shared" si="0"/>
        <v>0.82471729708767871</v>
      </c>
      <c r="AA11" s="19">
        <v>0.2</v>
      </c>
      <c r="AB11" s="19"/>
      <c r="AC11" s="19"/>
      <c r="AD11" s="19"/>
      <c r="AE11" s="19"/>
      <c r="AF11" s="19"/>
      <c r="AG11" s="19"/>
    </row>
    <row r="12" spans="3:33" x14ac:dyDescent="0.25">
      <c r="C12" s="34" t="s">
        <v>6</v>
      </c>
      <c r="D12" s="8">
        <v>1.3105837162</v>
      </c>
      <c r="E12" s="8">
        <v>1.98031707142</v>
      </c>
      <c r="F12" s="8">
        <v>2.73965045947</v>
      </c>
      <c r="G12" s="8">
        <v>3.1489838475200003</v>
      </c>
      <c r="H12" s="8">
        <v>3.5289838475200002</v>
      </c>
      <c r="I12" s="8">
        <v>3.82898384752</v>
      </c>
      <c r="S12" s="17" t="str">
        <f t="shared" si="1"/>
        <v>ηIStc</v>
      </c>
      <c r="T12" s="22">
        <f t="shared" si="2"/>
        <v>0.62331076303162947</v>
      </c>
      <c r="U12" s="22">
        <f t="shared" si="0"/>
        <v>0.65726702143567206</v>
      </c>
      <c r="V12" s="22">
        <f t="shared" si="0"/>
        <v>0.67269709127731847</v>
      </c>
      <c r="W12" s="22">
        <f t="shared" si="0"/>
        <v>0.69242331635018184</v>
      </c>
      <c r="X12" s="22">
        <f t="shared" si="0"/>
        <v>0.67674474094770665</v>
      </c>
      <c r="Y12" s="22">
        <f t="shared" si="0"/>
        <v>0.6651484209564239</v>
      </c>
      <c r="AB12" s="19"/>
      <c r="AC12" s="19"/>
      <c r="AD12" s="19"/>
      <c r="AE12" s="19"/>
      <c r="AF12" s="19"/>
      <c r="AG12" s="19"/>
    </row>
    <row r="13" spans="3:33" x14ac:dyDescent="0.25">
      <c r="C13" s="34" t="s">
        <v>7</v>
      </c>
      <c r="D13" s="4">
        <f>D4</f>
        <v>0</v>
      </c>
      <c r="E13" s="17">
        <f t="shared" ref="E13:I13" si="3">E4</f>
        <v>3.9226599999999997E-3</v>
      </c>
      <c r="F13" s="17">
        <f t="shared" si="3"/>
        <v>7.8453199999999994E-3</v>
      </c>
      <c r="G13" s="17">
        <f t="shared" si="3"/>
        <v>1.4709975E-2</v>
      </c>
      <c r="H13" s="17">
        <f t="shared" si="3"/>
        <v>1.5690639999999999E-2</v>
      </c>
      <c r="I13" s="17">
        <f t="shared" si="3"/>
        <v>2.2555295E-2</v>
      </c>
      <c r="AA13" s="11" t="s">
        <v>4</v>
      </c>
      <c r="AB13" s="19"/>
      <c r="AC13" s="19"/>
      <c r="AD13" s="19"/>
      <c r="AE13" s="19"/>
      <c r="AF13" s="19"/>
      <c r="AG13" s="19"/>
    </row>
    <row r="14" spans="3:33" x14ac:dyDescent="0.25">
      <c r="C14" s="34" t="s">
        <v>9</v>
      </c>
      <c r="D14" s="6">
        <v>6.3743224999999997E-3</v>
      </c>
      <c r="E14" s="6">
        <v>1.12776475E-2</v>
      </c>
      <c r="F14" s="6">
        <v>1.5445473750000001E-2</v>
      </c>
      <c r="G14" s="6">
        <v>1.7406803750000002E-2</v>
      </c>
      <c r="H14" s="6">
        <v>1.9122967500000001E-2</v>
      </c>
      <c r="I14" s="6">
        <v>2.0593964999999999E-2</v>
      </c>
      <c r="S14" t="s">
        <v>53</v>
      </c>
      <c r="AB14" s="19"/>
      <c r="AC14" s="19"/>
      <c r="AD14" s="19"/>
      <c r="AE14" s="19"/>
      <c r="AF14" s="19"/>
      <c r="AG14" s="19"/>
    </row>
    <row r="15" spans="3:33" x14ac:dyDescent="0.25">
      <c r="C15" s="34" t="s">
        <v>8</v>
      </c>
      <c r="D15" s="17">
        <v>4.9033249999999996E-4</v>
      </c>
      <c r="E15" s="17">
        <v>1.372931E-3</v>
      </c>
      <c r="F15" s="17">
        <v>2.745862E-3</v>
      </c>
      <c r="G15" s="17">
        <v>3.28522775E-3</v>
      </c>
      <c r="H15" s="17">
        <v>3.9226599999999997E-3</v>
      </c>
      <c r="I15" s="17">
        <v>4.5110590000000004E-3</v>
      </c>
      <c r="S15" t="str">
        <f>S6</f>
        <v>ηc</v>
      </c>
      <c r="T15" s="41">
        <f>T10-T6</f>
        <v>0.16864095003400859</v>
      </c>
      <c r="U15" s="41">
        <f t="shared" ref="U15:Y15" si="4">U10-U6</f>
        <v>9.1017777779437981E-2</v>
      </c>
      <c r="V15" s="41">
        <f t="shared" si="4"/>
        <v>7.0831442023302937E-2</v>
      </c>
      <c r="W15" s="41">
        <f t="shared" si="4"/>
        <v>6.7563790533749613E-2</v>
      </c>
      <c r="X15" s="41">
        <f t="shared" si="4"/>
        <v>6.2401718793241967E-2</v>
      </c>
      <c r="Y15" s="41">
        <f t="shared" si="4"/>
        <v>5.8412782827417686E-2</v>
      </c>
      <c r="AB15" s="19"/>
      <c r="AC15" s="19"/>
      <c r="AD15" s="19"/>
      <c r="AE15" s="19"/>
      <c r="AF15" s="19"/>
      <c r="AG15" s="19"/>
    </row>
    <row r="16" spans="3:33" x14ac:dyDescent="0.25">
      <c r="C16" s="34" t="s">
        <v>10</v>
      </c>
      <c r="D16" s="5">
        <v>5620</v>
      </c>
      <c r="E16" s="5">
        <v>9240</v>
      </c>
      <c r="F16" s="5">
        <v>11451.5</v>
      </c>
      <c r="G16" s="5">
        <v>12285</v>
      </c>
      <c r="H16" s="5">
        <v>12994.5</v>
      </c>
      <c r="I16" s="5">
        <v>13552.5</v>
      </c>
      <c r="S16" s="17" t="str">
        <f t="shared" ref="S16:S17" si="5">S7</f>
        <v>ηISt</v>
      </c>
      <c r="T16" s="41">
        <f t="shared" ref="T16:Y17" si="6">T11-T7</f>
        <v>-0.14303262032572983</v>
      </c>
      <c r="U16" s="41">
        <f t="shared" si="6"/>
        <v>-8.9488698082022533E-2</v>
      </c>
      <c r="V16" s="41">
        <f t="shared" si="6"/>
        <v>-7.576591334072702E-2</v>
      </c>
      <c r="W16" s="41">
        <f t="shared" si="6"/>
        <v>-7.0817464045969558E-2</v>
      </c>
      <c r="X16" s="41">
        <f t="shared" si="6"/>
        <v>-6.6821624727991136E-2</v>
      </c>
      <c r="Y16" s="41">
        <f t="shared" si="6"/>
        <v>-6.4394824971517162E-2</v>
      </c>
      <c r="AB16" s="19"/>
      <c r="AC16" s="19"/>
      <c r="AD16" s="19"/>
      <c r="AE16" s="19"/>
      <c r="AF16" s="19"/>
      <c r="AG16" s="19"/>
    </row>
    <row r="17" spans="1:33" x14ac:dyDescent="0.25">
      <c r="C17" s="34" t="s">
        <v>12</v>
      </c>
      <c r="D17" s="9">
        <v>34</v>
      </c>
      <c r="E17" s="9">
        <v>88</v>
      </c>
      <c r="F17" s="9">
        <v>134</v>
      </c>
      <c r="G17" s="9">
        <v>158</v>
      </c>
      <c r="H17" s="9">
        <v>176</v>
      </c>
      <c r="I17" s="9">
        <v>193.5</v>
      </c>
      <c r="S17" s="17" t="str">
        <f t="shared" si="5"/>
        <v>ηIStc</v>
      </c>
      <c r="T17" s="41">
        <f t="shared" si="6"/>
        <v>0</v>
      </c>
      <c r="U17" s="41">
        <f t="shared" si="6"/>
        <v>0</v>
      </c>
      <c r="V17" s="41">
        <f t="shared" si="6"/>
        <v>0</v>
      </c>
      <c r="W17" s="41">
        <f t="shared" si="6"/>
        <v>0</v>
      </c>
      <c r="X17" s="41">
        <f t="shared" si="6"/>
        <v>0</v>
      </c>
      <c r="Y17" s="41">
        <f t="shared" si="6"/>
        <v>0</v>
      </c>
      <c r="AB17" s="19"/>
      <c r="AC17" s="19"/>
      <c r="AD17" s="19"/>
      <c r="AE17" s="19"/>
      <c r="AF17" s="19"/>
      <c r="AG17" s="19"/>
    </row>
    <row r="18" spans="1:33" x14ac:dyDescent="0.25">
      <c r="C18" s="34" t="s">
        <v>13</v>
      </c>
      <c r="D18" s="10">
        <v>224</v>
      </c>
      <c r="E18" s="10">
        <v>220.5</v>
      </c>
      <c r="F18" s="10">
        <v>197</v>
      </c>
      <c r="G18" s="10">
        <v>197</v>
      </c>
      <c r="H18" s="10">
        <v>205</v>
      </c>
      <c r="I18" s="10">
        <v>214</v>
      </c>
    </row>
    <row r="19" spans="1:33" ht="18" x14ac:dyDescent="0.35">
      <c r="C19" s="34" t="s">
        <v>44</v>
      </c>
      <c r="D19">
        <v>0.95</v>
      </c>
      <c r="E19" s="10">
        <v>0.95</v>
      </c>
      <c r="F19" s="10">
        <v>0.95</v>
      </c>
      <c r="G19" s="10">
        <v>0.95</v>
      </c>
      <c r="H19" s="10">
        <v>0.95</v>
      </c>
      <c r="I19" s="10">
        <v>0.95</v>
      </c>
    </row>
    <row r="20" spans="1:33" s="17" customFormat="1" x14ac:dyDescent="0.25">
      <c r="C20" s="34" t="s">
        <v>54</v>
      </c>
      <c r="D20" s="17">
        <f>D10-D12</f>
        <v>7.0000000000000062E-2</v>
      </c>
      <c r="E20" s="17">
        <f t="shared" ref="E20:H20" si="7">E10-E12</f>
        <v>0.15000000000000036</v>
      </c>
      <c r="F20" s="17">
        <f t="shared" si="7"/>
        <v>0.20000000000000018</v>
      </c>
      <c r="G20" s="17">
        <f t="shared" si="7"/>
        <v>0.29000000000000004</v>
      </c>
      <c r="H20" s="17">
        <f t="shared" si="7"/>
        <v>0.2799999999999998</v>
      </c>
      <c r="I20" s="17">
        <f>I10-I12</f>
        <v>0.24000000000000021</v>
      </c>
    </row>
    <row r="21" spans="1:33" s="11" customFormat="1" ht="18.75" x14ac:dyDescent="0.3">
      <c r="B21" s="21">
        <v>1</v>
      </c>
      <c r="C21" s="21" t="s">
        <v>15</v>
      </c>
      <c r="T21" s="11">
        <v>5000</v>
      </c>
      <c r="U21" s="11">
        <f>T21+Q2</f>
        <v>4500</v>
      </c>
      <c r="AB21" s="17"/>
    </row>
    <row r="22" spans="1:33" s="14" customFormat="1" ht="18.75" x14ac:dyDescent="0.3">
      <c r="B22" s="16"/>
      <c r="C22" s="16" t="s">
        <v>29</v>
      </c>
      <c r="T22" s="14">
        <v>2.5</v>
      </c>
      <c r="U22" s="14">
        <f>T22+K2</f>
        <v>2.5</v>
      </c>
      <c r="AB22" s="17"/>
    </row>
    <row r="23" spans="1:33" x14ac:dyDescent="0.25">
      <c r="C23" t="s">
        <v>17</v>
      </c>
      <c r="D23" s="12">
        <f>D9/1000-D15</f>
        <v>1.0100933836999999</v>
      </c>
      <c r="E23" s="19">
        <f t="shared" ref="E23:H23" si="8">E9/1000-E15</f>
        <v>1.0089441404200001</v>
      </c>
      <c r="F23" s="19">
        <f t="shared" si="8"/>
        <v>1.0069045974699999</v>
      </c>
      <c r="G23" s="19">
        <f t="shared" si="8"/>
        <v>1.0056986197700002</v>
      </c>
      <c r="H23" s="19">
        <f t="shared" si="8"/>
        <v>1.0050611875200002</v>
      </c>
      <c r="I23" s="19">
        <f>I9/1000-I15</f>
        <v>1.0044727885200002</v>
      </c>
      <c r="T23">
        <f>T21/T22</f>
        <v>2000</v>
      </c>
      <c r="U23" s="17">
        <f>U21/U22</f>
        <v>1800</v>
      </c>
    </row>
    <row r="24" spans="1:33" x14ac:dyDescent="0.25">
      <c r="C24" t="s">
        <v>18</v>
      </c>
      <c r="D24">
        <f>D10+D14+$K$2</f>
        <v>1.3869580387</v>
      </c>
      <c r="E24" s="17">
        <f t="shared" ref="E24:I24" si="9">E10+E14+$K$2</f>
        <v>2.1415947189200004</v>
      </c>
      <c r="F24" s="17">
        <f t="shared" si="9"/>
        <v>2.95509593322</v>
      </c>
      <c r="G24" s="17">
        <f t="shared" si="9"/>
        <v>3.4563906512700004</v>
      </c>
      <c r="H24" s="17">
        <f t="shared" si="9"/>
        <v>3.8281068150199999</v>
      </c>
      <c r="I24" s="17">
        <f t="shared" si="9"/>
        <v>4.08957781252</v>
      </c>
      <c r="V24" s="40">
        <f>(U23-T23)/T23</f>
        <v>-0.1</v>
      </c>
    </row>
    <row r="25" spans="1:33" s="11" customFormat="1" x14ac:dyDescent="0.25">
      <c r="C25" t="s">
        <v>24</v>
      </c>
      <c r="D25" s="12">
        <f>D8+273.15+$Q$3</f>
        <v>287.29999999999995</v>
      </c>
      <c r="E25" s="19">
        <f t="shared" ref="E25:I25" si="10">E8+273.15+$Q$3</f>
        <v>288.34999999999997</v>
      </c>
      <c r="F25" s="19">
        <f t="shared" si="10"/>
        <v>289.29999999999995</v>
      </c>
      <c r="G25" s="19">
        <f t="shared" si="10"/>
        <v>291.5</v>
      </c>
      <c r="H25" s="19">
        <f t="shared" si="10"/>
        <v>290.59999999999997</v>
      </c>
      <c r="I25" s="19">
        <f t="shared" si="10"/>
        <v>291.7</v>
      </c>
      <c r="AB25" s="17"/>
    </row>
    <row r="26" spans="1:33" x14ac:dyDescent="0.25">
      <c r="C26" t="s">
        <v>16</v>
      </c>
      <c r="D26">
        <f t="shared" ref="D26:I26" si="11">D24/D23</f>
        <v>1.3730988253972465</v>
      </c>
      <c r="E26" s="17">
        <f t="shared" si="11"/>
        <v>2.1226097988224639</v>
      </c>
      <c r="F26" s="17">
        <f t="shared" si="11"/>
        <v>2.93483209893482</v>
      </c>
      <c r="G26" s="17">
        <f t="shared" si="11"/>
        <v>3.4368056029155785</v>
      </c>
      <c r="H26" s="17">
        <f t="shared" si="11"/>
        <v>3.8088296141112528</v>
      </c>
      <c r="I26" s="17">
        <f t="shared" si="11"/>
        <v>4.0713674469426122</v>
      </c>
    </row>
    <row r="27" spans="1:33" x14ac:dyDescent="0.25">
      <c r="C27" s="14" t="s">
        <v>27</v>
      </c>
      <c r="D27" s="15">
        <f t="shared" ref="D27:I27" si="12">D26^$I$2-1</f>
        <v>9.4821632917843068E-2</v>
      </c>
      <c r="E27" s="20">
        <f t="shared" si="12"/>
        <v>0.23991374863529713</v>
      </c>
      <c r="F27" s="20">
        <f t="shared" si="12"/>
        <v>0.36017634360342998</v>
      </c>
      <c r="G27" s="20">
        <f t="shared" si="12"/>
        <v>0.42294178800289028</v>
      </c>
      <c r="H27" s="20">
        <f t="shared" si="12"/>
        <v>0.46534687160761146</v>
      </c>
      <c r="I27" s="20">
        <f t="shared" si="12"/>
        <v>0.49352162164811886</v>
      </c>
    </row>
    <row r="28" spans="1:33" x14ac:dyDescent="0.25">
      <c r="C28" t="s">
        <v>28</v>
      </c>
      <c r="D28">
        <f>(PI()*$D$3*(D16+$Q$2))^2</f>
        <v>137874956.23139048</v>
      </c>
      <c r="E28" s="17">
        <f t="shared" ref="E28:I28" si="13">(PI()*$D$3*(E16+$Q$2))^2</f>
        <v>401761513.00891733</v>
      </c>
      <c r="F28" s="17">
        <f t="shared" si="13"/>
        <v>630801446.61198235</v>
      </c>
      <c r="G28" s="17">
        <f t="shared" si="13"/>
        <v>730473792.7634449</v>
      </c>
      <c r="H28" s="17">
        <f t="shared" si="13"/>
        <v>821075755.13421524</v>
      </c>
      <c r="I28" s="17">
        <f t="shared" si="13"/>
        <v>896051289.98599815</v>
      </c>
    </row>
    <row r="29" spans="1:33" x14ac:dyDescent="0.25">
      <c r="C29" t="s">
        <v>49</v>
      </c>
      <c r="D29" s="18">
        <f t="shared" ref="D29:I29" si="14">(3614400*D25*D27)/($D$2*D28)</f>
        <v>0.99188514380896475</v>
      </c>
      <c r="E29" s="18">
        <f t="shared" si="14"/>
        <v>0.86439148210697658</v>
      </c>
      <c r="F29" s="18">
        <f t="shared" si="14"/>
        <v>0.82922933064896165</v>
      </c>
      <c r="G29" s="18">
        <f t="shared" si="14"/>
        <v>0.84726298570809078</v>
      </c>
      <c r="H29" s="18">
        <f t="shared" si="14"/>
        <v>0.82678558734531837</v>
      </c>
      <c r="I29" s="18">
        <f t="shared" si="14"/>
        <v>0.80651687954801021</v>
      </c>
    </row>
    <row r="30" spans="1:33" x14ac:dyDescent="0.25">
      <c r="C30" s="17" t="s">
        <v>30</v>
      </c>
      <c r="D30" s="18">
        <f>D29/$O$3</f>
        <v>0.99188514380896475</v>
      </c>
      <c r="E30" s="18">
        <f t="shared" ref="D30:I30" si="15">E29/$O$2</f>
        <v>0.96043498011886286</v>
      </c>
      <c r="F30" s="18">
        <f t="shared" si="15"/>
        <v>0.92136592294329067</v>
      </c>
      <c r="G30" s="18">
        <f t="shared" si="15"/>
        <v>0.9414033174534342</v>
      </c>
      <c r="H30" s="18">
        <f t="shared" si="15"/>
        <v>0.91865065260590928</v>
      </c>
      <c r="I30" s="18">
        <f t="shared" si="15"/>
        <v>0.89612986616445578</v>
      </c>
    </row>
    <row r="31" spans="1:33" ht="18.75" x14ac:dyDescent="0.3">
      <c r="C31" s="16" t="s">
        <v>33</v>
      </c>
      <c r="E31" s="17"/>
      <c r="F31" s="17"/>
      <c r="G31" s="17"/>
      <c r="H31" s="17"/>
      <c r="I31" s="17"/>
    </row>
    <row r="32" spans="1:33" x14ac:dyDescent="0.25">
      <c r="A32" s="17" t="s">
        <v>30</v>
      </c>
      <c r="C32" t="s">
        <v>23</v>
      </c>
      <c r="D32">
        <f>D12+$M$2</f>
        <v>1.3105837162</v>
      </c>
      <c r="E32" s="17">
        <f t="shared" ref="E32:I32" si="16">E12+$M$2</f>
        <v>1.98031707142</v>
      </c>
      <c r="F32" s="17">
        <f t="shared" si="16"/>
        <v>2.73965045947</v>
      </c>
      <c r="G32" s="17">
        <f t="shared" si="16"/>
        <v>3.1489838475200003</v>
      </c>
      <c r="H32" s="17">
        <f t="shared" si="16"/>
        <v>3.5289838475200002</v>
      </c>
      <c r="I32" s="17">
        <f t="shared" si="16"/>
        <v>3.82898384752</v>
      </c>
    </row>
    <row r="33" spans="2:9" x14ac:dyDescent="0.25">
      <c r="C33" t="s">
        <v>31</v>
      </c>
      <c r="D33">
        <f>D9/1000+D13</f>
        <v>1.0105837162</v>
      </c>
      <c r="E33" s="17">
        <f t="shared" ref="E33:I33" si="17">E9/1000+E13</f>
        <v>1.01423973142</v>
      </c>
      <c r="F33" s="17">
        <f t="shared" si="17"/>
        <v>1.0174957794699999</v>
      </c>
      <c r="G33" s="17">
        <f t="shared" si="17"/>
        <v>1.0236938225200001</v>
      </c>
      <c r="H33" s="17">
        <f t="shared" si="17"/>
        <v>1.0246744875200002</v>
      </c>
      <c r="I33" s="17">
        <f t="shared" si="17"/>
        <v>1.0315391425200002</v>
      </c>
    </row>
    <row r="34" spans="2:9" x14ac:dyDescent="0.25">
      <c r="C34" t="s">
        <v>32</v>
      </c>
      <c r="D34">
        <f>D11+273.15+$K$3</f>
        <v>535.65</v>
      </c>
      <c r="E34" s="17">
        <f t="shared" ref="E34:I34" si="18">E11+273.15+$K$3</f>
        <v>587.15</v>
      </c>
      <c r="F34" s="17">
        <f t="shared" si="18"/>
        <v>608.15</v>
      </c>
      <c r="G34" s="17">
        <f t="shared" si="18"/>
        <v>626.65</v>
      </c>
      <c r="H34" s="17">
        <f t="shared" si="18"/>
        <v>648.15</v>
      </c>
      <c r="I34" s="17">
        <f t="shared" si="18"/>
        <v>668.15</v>
      </c>
    </row>
    <row r="35" spans="2:9" x14ac:dyDescent="0.25">
      <c r="C35" s="17" t="s">
        <v>26</v>
      </c>
      <c r="D35">
        <f t="shared" ref="D35:I35" si="19">D32/D33</f>
        <v>1.2968581377187245</v>
      </c>
      <c r="E35" s="17">
        <f t="shared" si="19"/>
        <v>1.9525137993237855</v>
      </c>
      <c r="F35" s="17">
        <f t="shared" si="19"/>
        <v>2.6925423326051021</v>
      </c>
      <c r="G35" s="17">
        <f t="shared" si="19"/>
        <v>3.0760992967293967</v>
      </c>
      <c r="H35" s="17">
        <f t="shared" si="19"/>
        <v>3.4440047942065304</v>
      </c>
      <c r="I35" s="17">
        <f t="shared" si="19"/>
        <v>3.7119132853901964</v>
      </c>
    </row>
    <row r="36" spans="2:9" x14ac:dyDescent="0.25">
      <c r="C36" s="17" t="s">
        <v>39</v>
      </c>
      <c r="D36" s="20">
        <f t="shared" ref="D36:I36" si="20">1-(D35)^-$I$3</f>
        <v>6.6494891956131008E-2</v>
      </c>
      <c r="E36" s="20">
        <f t="shared" si="20"/>
        <v>0.1623202264174668</v>
      </c>
      <c r="F36" s="20">
        <f t="shared" si="20"/>
        <v>0.23063319338355381</v>
      </c>
      <c r="G36" s="20">
        <f t="shared" si="20"/>
        <v>0.25728287671779759</v>
      </c>
      <c r="H36" s="20">
        <f t="shared" si="20"/>
        <v>0.27916466585935118</v>
      </c>
      <c r="I36" s="20">
        <f t="shared" si="20"/>
        <v>0.29331787559675093</v>
      </c>
    </row>
    <row r="37" spans="2:9" x14ac:dyDescent="0.25">
      <c r="C37" s="17" t="s">
        <v>34</v>
      </c>
      <c r="D37" s="18">
        <f t="shared" ref="D37:I37" si="21" xml:space="preserve"> (0.9055*D25*D27)/(D34*D36)</f>
        <v>0.69256751447958831</v>
      </c>
      <c r="E37" s="18">
        <f t="shared" si="21"/>
        <v>0.65726702143567206</v>
      </c>
      <c r="F37" s="18">
        <f t="shared" si="21"/>
        <v>0.67269709127731847</v>
      </c>
      <c r="G37" s="18">
        <f t="shared" si="21"/>
        <v>0.69242331635018184</v>
      </c>
      <c r="H37" s="18">
        <f t="shared" si="21"/>
        <v>0.67674474094770665</v>
      </c>
      <c r="I37" s="18">
        <f t="shared" si="21"/>
        <v>0.6651484209564239</v>
      </c>
    </row>
    <row r="38" spans="2:9" x14ac:dyDescent="0.25">
      <c r="E38" s="17"/>
      <c r="F38" s="17"/>
      <c r="G38" s="17"/>
      <c r="H38" s="17"/>
      <c r="I38" s="17"/>
    </row>
    <row r="39" spans="2:9" ht="18.75" x14ac:dyDescent="0.3">
      <c r="C39" s="21" t="s">
        <v>35</v>
      </c>
      <c r="E39" s="17"/>
      <c r="F39" s="17"/>
      <c r="G39" s="17"/>
      <c r="H39" s="17"/>
      <c r="I39" s="17"/>
    </row>
    <row r="40" spans="2:9" x14ac:dyDescent="0.25">
      <c r="C40" s="17" t="s">
        <v>36</v>
      </c>
      <c r="D40" s="42">
        <f>D37/D29</f>
        <v>0.69823357956551424</v>
      </c>
      <c r="E40" s="22">
        <f t="shared" ref="E40:I40" si="22">E37/E29</f>
        <v>0.76038118727589343</v>
      </c>
      <c r="F40" s="22">
        <f t="shared" si="22"/>
        <v>0.81123166585395645</v>
      </c>
      <c r="G40" s="22">
        <f t="shared" si="22"/>
        <v>0.8172472160712847</v>
      </c>
      <c r="H40" s="22">
        <f t="shared" si="22"/>
        <v>0.81852508232591492</v>
      </c>
      <c r="I40" s="22">
        <f t="shared" si="22"/>
        <v>0.82471729708767871</v>
      </c>
    </row>
    <row r="41" spans="2:9" ht="15.75" thickBot="1" x14ac:dyDescent="0.3">
      <c r="C41" s="17" t="s">
        <v>47</v>
      </c>
      <c r="D41" s="22">
        <f>D37/D30</f>
        <v>0.69823357956551424</v>
      </c>
      <c r="E41" s="17">
        <f t="shared" ref="E41:I41" si="23">E37/E30</f>
        <v>0.68434306854830407</v>
      </c>
      <c r="F41" s="17">
        <f t="shared" si="23"/>
        <v>0.73010849926856092</v>
      </c>
      <c r="G41" s="17">
        <f t="shared" si="23"/>
        <v>0.73552249446415618</v>
      </c>
      <c r="H41" s="17">
        <f t="shared" si="23"/>
        <v>0.73667257409332343</v>
      </c>
      <c r="I41" s="17">
        <f t="shared" si="23"/>
        <v>0.74224556737891079</v>
      </c>
    </row>
    <row r="42" spans="2:9" ht="15.75" x14ac:dyDescent="0.25">
      <c r="C42" s="23" t="str">
        <f t="shared" ref="C42:I42" si="24">C29</f>
        <v>ηc</v>
      </c>
      <c r="D42" s="24">
        <f t="shared" si="24"/>
        <v>0.99188514380896475</v>
      </c>
      <c r="E42" s="24">
        <f t="shared" si="24"/>
        <v>0.86439148210697658</v>
      </c>
      <c r="F42" s="24">
        <f t="shared" si="24"/>
        <v>0.82922933064896165</v>
      </c>
      <c r="G42" s="24">
        <f t="shared" si="24"/>
        <v>0.84726298570809078</v>
      </c>
      <c r="H42" s="24">
        <f t="shared" si="24"/>
        <v>0.82678558734531837</v>
      </c>
      <c r="I42" s="25">
        <f t="shared" si="24"/>
        <v>0.80651687954801021</v>
      </c>
    </row>
    <row r="43" spans="2:9" ht="15.75" x14ac:dyDescent="0.25">
      <c r="C43" s="26" t="str">
        <f>C40</f>
        <v>ηISt</v>
      </c>
      <c r="D43" s="27">
        <f t="shared" ref="D43:I43" si="25">D40</f>
        <v>0.69823357956551424</v>
      </c>
      <c r="E43" s="27">
        <f t="shared" si="25"/>
        <v>0.76038118727589343</v>
      </c>
      <c r="F43" s="27">
        <f t="shared" si="25"/>
        <v>0.81123166585395645</v>
      </c>
      <c r="G43" s="27">
        <f t="shared" si="25"/>
        <v>0.8172472160712847</v>
      </c>
      <c r="H43" s="27">
        <f t="shared" si="25"/>
        <v>0.81852508232591492</v>
      </c>
      <c r="I43" s="28">
        <f t="shared" si="25"/>
        <v>0.82471729708767871</v>
      </c>
    </row>
    <row r="44" spans="2:9" ht="16.5" thickBot="1" x14ac:dyDescent="0.3">
      <c r="C44" s="29" t="str">
        <f>C37</f>
        <v>ηIStc</v>
      </c>
      <c r="D44" s="39">
        <f>D37*O2/O3</f>
        <v>0.62331076303162947</v>
      </c>
      <c r="E44" s="30">
        <f t="shared" ref="D44:I44" si="26">E37</f>
        <v>0.65726702143567206</v>
      </c>
      <c r="F44" s="30">
        <f t="shared" si="26"/>
        <v>0.67269709127731847</v>
      </c>
      <c r="G44" s="30">
        <f t="shared" si="26"/>
        <v>0.69242331635018184</v>
      </c>
      <c r="H44" s="30">
        <f t="shared" si="26"/>
        <v>0.67674474094770665</v>
      </c>
      <c r="I44" s="31">
        <f t="shared" si="26"/>
        <v>0.6651484209564239</v>
      </c>
    </row>
    <row r="46" spans="2:9" ht="18.75" x14ac:dyDescent="0.3">
      <c r="B46" s="21">
        <v>2</v>
      </c>
      <c r="C46" s="21" t="s">
        <v>37</v>
      </c>
    </row>
    <row r="47" spans="2:9" ht="18.75" x14ac:dyDescent="0.3">
      <c r="C47" s="21" t="s">
        <v>29</v>
      </c>
    </row>
    <row r="48" spans="2:9" x14ac:dyDescent="0.25">
      <c r="C48" t="str">
        <f t="shared" ref="C48:I50" si="27">C23</f>
        <v>p1</v>
      </c>
      <c r="D48" s="17">
        <f t="shared" si="27"/>
        <v>1.0100933836999999</v>
      </c>
      <c r="E48" s="17">
        <f t="shared" si="27"/>
        <v>1.0089441404200001</v>
      </c>
      <c r="F48" s="17">
        <f t="shared" si="27"/>
        <v>1.0069045974699999</v>
      </c>
      <c r="G48" s="17">
        <f t="shared" si="27"/>
        <v>1.0056986197700002</v>
      </c>
      <c r="H48" s="17">
        <f t="shared" si="27"/>
        <v>1.0050611875200002</v>
      </c>
      <c r="I48" s="17">
        <f t="shared" si="27"/>
        <v>1.0044727885200002</v>
      </c>
    </row>
    <row r="49" spans="3:9" x14ac:dyDescent="0.25">
      <c r="C49" s="17" t="str">
        <f t="shared" si="27"/>
        <v>p2</v>
      </c>
      <c r="D49" s="17">
        <f t="shared" si="27"/>
        <v>1.3869580387</v>
      </c>
      <c r="E49" s="17">
        <f t="shared" si="27"/>
        <v>2.1415947189200004</v>
      </c>
      <c r="F49" s="17">
        <f t="shared" si="27"/>
        <v>2.95509593322</v>
      </c>
      <c r="G49" s="17">
        <f t="shared" si="27"/>
        <v>3.4563906512700004</v>
      </c>
      <c r="H49" s="17">
        <f t="shared" si="27"/>
        <v>3.8281068150199999</v>
      </c>
      <c r="I49" s="17">
        <f t="shared" si="27"/>
        <v>4.08957781252</v>
      </c>
    </row>
    <row r="50" spans="3:9" x14ac:dyDescent="0.25">
      <c r="C50" s="17" t="str">
        <f t="shared" si="27"/>
        <v>T1</v>
      </c>
      <c r="D50" s="17">
        <f t="shared" si="27"/>
        <v>287.29999999999995</v>
      </c>
      <c r="E50" s="17">
        <f t="shared" si="27"/>
        <v>288.34999999999997</v>
      </c>
      <c r="F50" s="17">
        <f t="shared" si="27"/>
        <v>289.29999999999995</v>
      </c>
      <c r="G50" s="17">
        <f t="shared" si="27"/>
        <v>291.5</v>
      </c>
      <c r="H50" s="17">
        <f t="shared" si="27"/>
        <v>290.59999999999997</v>
      </c>
      <c r="I50" s="17">
        <f t="shared" si="27"/>
        <v>291.7</v>
      </c>
    </row>
    <row r="51" spans="3:9" s="17" customFormat="1" x14ac:dyDescent="0.25">
      <c r="C51" s="11" t="s">
        <v>25</v>
      </c>
      <c r="D51" s="11">
        <f t="shared" ref="D51:I51" si="28">D17+273.15</f>
        <v>307.14999999999998</v>
      </c>
      <c r="E51" s="17">
        <f t="shared" si="28"/>
        <v>361.15</v>
      </c>
      <c r="F51" s="17">
        <f t="shared" si="28"/>
        <v>407.15</v>
      </c>
      <c r="G51" s="17">
        <f t="shared" si="28"/>
        <v>431.15</v>
      </c>
      <c r="H51" s="17">
        <f t="shared" si="28"/>
        <v>449.15</v>
      </c>
      <c r="I51" s="17">
        <f t="shared" si="28"/>
        <v>466.65</v>
      </c>
    </row>
    <row r="52" spans="3:9" x14ac:dyDescent="0.25">
      <c r="C52" s="17" t="str">
        <f t="shared" ref="C52:I53" si="29">C26</f>
        <v>Πc</v>
      </c>
      <c r="D52" s="17">
        <f t="shared" si="29"/>
        <v>1.3730988253972465</v>
      </c>
      <c r="E52" s="17">
        <f t="shared" si="29"/>
        <v>2.1226097988224639</v>
      </c>
      <c r="F52" s="17">
        <f t="shared" si="29"/>
        <v>2.93483209893482</v>
      </c>
      <c r="G52" s="17">
        <f t="shared" si="29"/>
        <v>3.4368056029155785</v>
      </c>
      <c r="H52" s="17">
        <f t="shared" si="29"/>
        <v>3.8088296141112528</v>
      </c>
      <c r="I52" s="17">
        <f t="shared" si="29"/>
        <v>4.0713674469426122</v>
      </c>
    </row>
    <row r="53" spans="3:9" x14ac:dyDescent="0.25">
      <c r="C53" s="17" t="str">
        <f t="shared" si="29"/>
        <v>(Πc^γ)-1</v>
      </c>
      <c r="D53" s="17">
        <f t="shared" si="29"/>
        <v>9.4821632917843068E-2</v>
      </c>
      <c r="E53" s="17">
        <f t="shared" si="29"/>
        <v>0.23991374863529713</v>
      </c>
      <c r="F53" s="17">
        <f t="shared" si="29"/>
        <v>0.36017634360342998</v>
      </c>
      <c r="G53" s="17">
        <f t="shared" si="29"/>
        <v>0.42294178800289028</v>
      </c>
      <c r="H53" s="17">
        <f t="shared" si="29"/>
        <v>0.46534687160761146</v>
      </c>
      <c r="I53" s="17">
        <f t="shared" si="29"/>
        <v>0.49352162164811886</v>
      </c>
    </row>
    <row r="54" spans="3:9" x14ac:dyDescent="0.25">
      <c r="C54" s="17" t="s">
        <v>30</v>
      </c>
      <c r="D54" s="18">
        <f t="shared" ref="D54:I54" si="30">D53/(D51/D50-1)</f>
        <v>1.3724058003675725</v>
      </c>
      <c r="E54" s="18">
        <f t="shared" si="30"/>
        <v>0.95026276674433952</v>
      </c>
      <c r="F54" s="18">
        <f t="shared" si="30"/>
        <v>0.88416645061071053</v>
      </c>
      <c r="G54" s="18">
        <f t="shared" si="30"/>
        <v>0.88283230363653808</v>
      </c>
      <c r="H54" s="18">
        <f t="shared" si="30"/>
        <v>0.85291580504050357</v>
      </c>
      <c r="I54" s="18">
        <f t="shared" si="30"/>
        <v>0.82286514452561454</v>
      </c>
    </row>
    <row r="56" spans="3:9" ht="18.75" x14ac:dyDescent="0.3">
      <c r="C56" s="21" t="s">
        <v>35</v>
      </c>
    </row>
    <row r="57" spans="3:9" x14ac:dyDescent="0.25">
      <c r="C57" t="str">
        <f>C32</f>
        <v>p3</v>
      </c>
      <c r="D57" s="17">
        <f t="shared" ref="D57:I57" si="31">D32</f>
        <v>1.3105837162</v>
      </c>
      <c r="E57" s="17">
        <f t="shared" si="31"/>
        <v>1.98031707142</v>
      </c>
      <c r="F57" s="17">
        <f t="shared" si="31"/>
        <v>2.73965045947</v>
      </c>
      <c r="G57" s="17">
        <f t="shared" si="31"/>
        <v>3.1489838475200003</v>
      </c>
      <c r="H57" s="17">
        <f t="shared" si="31"/>
        <v>3.5289838475200002</v>
      </c>
      <c r="I57" s="17">
        <f t="shared" si="31"/>
        <v>3.82898384752</v>
      </c>
    </row>
    <row r="58" spans="3:9" x14ac:dyDescent="0.25">
      <c r="C58" s="17" t="str">
        <f t="shared" ref="C58:I59" si="32">C33</f>
        <v>p4</v>
      </c>
      <c r="D58" s="17">
        <f t="shared" si="32"/>
        <v>1.0105837162</v>
      </c>
      <c r="E58" s="17">
        <f t="shared" si="32"/>
        <v>1.01423973142</v>
      </c>
      <c r="F58" s="17">
        <f t="shared" si="32"/>
        <v>1.0174957794699999</v>
      </c>
      <c r="G58" s="17">
        <f t="shared" si="32"/>
        <v>1.0236938225200001</v>
      </c>
      <c r="H58" s="17">
        <f t="shared" si="32"/>
        <v>1.0246744875200002</v>
      </c>
      <c r="I58" s="17">
        <f t="shared" si="32"/>
        <v>1.0315391425200002</v>
      </c>
    </row>
    <row r="59" spans="3:9" x14ac:dyDescent="0.25">
      <c r="C59" s="17" t="str">
        <f t="shared" si="32"/>
        <v>T3</v>
      </c>
      <c r="D59" s="17">
        <f>D34</f>
        <v>535.65</v>
      </c>
      <c r="E59" s="17">
        <f t="shared" ref="E59:I59" si="33">E34</f>
        <v>587.15</v>
      </c>
      <c r="F59" s="17">
        <f t="shared" si="33"/>
        <v>608.15</v>
      </c>
      <c r="G59" s="17">
        <f t="shared" si="33"/>
        <v>626.65</v>
      </c>
      <c r="H59" s="17">
        <f t="shared" si="33"/>
        <v>648.15</v>
      </c>
      <c r="I59" s="17">
        <f t="shared" si="33"/>
        <v>668.15</v>
      </c>
    </row>
    <row r="60" spans="3:9" s="17" customFormat="1" x14ac:dyDescent="0.25">
      <c r="C60" s="17" t="s">
        <v>38</v>
      </c>
      <c r="D60" s="17">
        <f>D18+273.15-$M$3</f>
        <v>497.15</v>
      </c>
      <c r="E60" s="17">
        <f t="shared" ref="E60:I60" si="34">E18+273.15-$M$3</f>
        <v>493.65</v>
      </c>
      <c r="F60" s="17">
        <f t="shared" si="34"/>
        <v>470.15</v>
      </c>
      <c r="G60" s="17">
        <f t="shared" si="34"/>
        <v>470.15</v>
      </c>
      <c r="H60" s="17">
        <f t="shared" si="34"/>
        <v>478.15</v>
      </c>
      <c r="I60" s="17">
        <f t="shared" si="34"/>
        <v>487.15</v>
      </c>
    </row>
    <row r="61" spans="3:9" x14ac:dyDescent="0.25">
      <c r="C61" s="17" t="str">
        <f t="shared" ref="C61:I62" si="35">C35</f>
        <v>Πt</v>
      </c>
      <c r="D61" s="17">
        <f t="shared" si="35"/>
        <v>1.2968581377187245</v>
      </c>
      <c r="E61" s="17">
        <f t="shared" si="35"/>
        <v>1.9525137993237855</v>
      </c>
      <c r="F61" s="17">
        <f t="shared" si="35"/>
        <v>2.6925423326051021</v>
      </c>
      <c r="G61" s="17">
        <f t="shared" si="35"/>
        <v>3.0760992967293967</v>
      </c>
      <c r="H61" s="17">
        <f t="shared" si="35"/>
        <v>3.4440047942065304</v>
      </c>
      <c r="I61" s="17">
        <f t="shared" si="35"/>
        <v>3.7119132853901964</v>
      </c>
    </row>
    <row r="62" spans="3:9" x14ac:dyDescent="0.25">
      <c r="C62" s="17" t="str">
        <f t="shared" si="35"/>
        <v>1-(Πt^-γ)</v>
      </c>
      <c r="D62" s="17">
        <f t="shared" si="35"/>
        <v>6.6494891956131008E-2</v>
      </c>
      <c r="E62" s="17">
        <f t="shared" si="35"/>
        <v>0.1623202264174668</v>
      </c>
      <c r="F62" s="17">
        <f t="shared" si="35"/>
        <v>0.23063319338355381</v>
      </c>
      <c r="G62" s="17">
        <f t="shared" si="35"/>
        <v>0.25728287671779759</v>
      </c>
      <c r="H62" s="17">
        <f t="shared" si="35"/>
        <v>0.27916466585935118</v>
      </c>
      <c r="I62" s="17">
        <f t="shared" si="35"/>
        <v>0.29331787559675093</v>
      </c>
    </row>
    <row r="63" spans="3:9" x14ac:dyDescent="0.25">
      <c r="C63" s="17" t="s">
        <v>36</v>
      </c>
      <c r="D63" s="18">
        <f>(1-D60/D59)/D62</f>
        <v>1.0809144821092342</v>
      </c>
      <c r="E63" s="18">
        <f t="shared" ref="E63:I63" si="36">(1-E60/E59)/E62</f>
        <v>0.98104720732916006</v>
      </c>
      <c r="F63" s="18">
        <f>(1-F60/F59)/F62</f>
        <v>0.98389003723176993</v>
      </c>
      <c r="G63" s="18">
        <f t="shared" si="36"/>
        <v>0.97068521534997099</v>
      </c>
      <c r="H63" s="18">
        <f t="shared" si="36"/>
        <v>0.93953496619176302</v>
      </c>
      <c r="I63" s="18">
        <f t="shared" si="36"/>
        <v>0.92356203337276888</v>
      </c>
    </row>
    <row r="65" spans="2:11" ht="18.75" x14ac:dyDescent="0.3">
      <c r="C65" s="21" t="s">
        <v>33</v>
      </c>
    </row>
    <row r="66" spans="2:11" x14ac:dyDescent="0.25">
      <c r="C66" s="17" t="s">
        <v>34</v>
      </c>
      <c r="D66" s="22">
        <f t="shared" ref="D66:I66" si="37">D54*D63*D19^2</f>
        <v>1.3388166077155914</v>
      </c>
      <c r="E66" s="22">
        <f t="shared" si="37"/>
        <v>0.8413580017729323</v>
      </c>
      <c r="F66" s="22">
        <f t="shared" si="37"/>
        <v>0.78510511221443458</v>
      </c>
      <c r="G66" s="22">
        <f t="shared" si="37"/>
        <v>0.77339941895794295</v>
      </c>
      <c r="H66" s="22">
        <f t="shared" si="37"/>
        <v>0.72321316040296768</v>
      </c>
      <c r="I66" s="22">
        <f t="shared" si="37"/>
        <v>0.68587022297786271</v>
      </c>
    </row>
    <row r="68" spans="2:11" ht="15.75" thickBot="1" x14ac:dyDescent="0.3"/>
    <row r="69" spans="2:11" ht="15.75" x14ac:dyDescent="0.25">
      <c r="C69" s="23" t="str">
        <f>C54</f>
        <v>ηISc</v>
      </c>
      <c r="D69" s="23">
        <f t="shared" ref="D69:I69" si="38">D54</f>
        <v>1.3724058003675725</v>
      </c>
      <c r="E69" s="23">
        <f t="shared" si="38"/>
        <v>0.95026276674433952</v>
      </c>
      <c r="F69" s="23">
        <f t="shared" si="38"/>
        <v>0.88416645061071053</v>
      </c>
      <c r="G69" s="23">
        <f t="shared" si="38"/>
        <v>0.88283230363653808</v>
      </c>
      <c r="H69" s="23">
        <f t="shared" si="38"/>
        <v>0.85291580504050357</v>
      </c>
      <c r="I69" s="23">
        <f t="shared" si="38"/>
        <v>0.82286514452561454</v>
      </c>
    </row>
    <row r="70" spans="2:11" ht="15.75" x14ac:dyDescent="0.25">
      <c r="C70" s="26" t="str">
        <f>C63</f>
        <v>ηISt</v>
      </c>
      <c r="D70" s="26">
        <f>D63</f>
        <v>1.0809144821092342</v>
      </c>
      <c r="E70" s="26">
        <f t="shared" ref="E70:I70" si="39">E63</f>
        <v>0.98104720732916006</v>
      </c>
      <c r="F70" s="26">
        <f t="shared" si="39"/>
        <v>0.98389003723176993</v>
      </c>
      <c r="G70" s="26">
        <f t="shared" si="39"/>
        <v>0.97068521534997099</v>
      </c>
      <c r="H70" s="26">
        <f t="shared" si="39"/>
        <v>0.93953496619176302</v>
      </c>
      <c r="I70" s="26">
        <f t="shared" si="39"/>
        <v>0.92356203337276888</v>
      </c>
    </row>
    <row r="71" spans="2:11" ht="16.5" thickBot="1" x14ac:dyDescent="0.3">
      <c r="C71" s="29" t="str">
        <f>C66</f>
        <v>ηIStc</v>
      </c>
      <c r="D71" s="29">
        <f t="shared" ref="D71:I71" si="40">D66</f>
        <v>1.3388166077155914</v>
      </c>
      <c r="E71" s="29">
        <f t="shared" si="40"/>
        <v>0.8413580017729323</v>
      </c>
      <c r="F71" s="29">
        <f t="shared" si="40"/>
        <v>0.78510511221443458</v>
      </c>
      <c r="G71" s="29">
        <f t="shared" si="40"/>
        <v>0.77339941895794295</v>
      </c>
      <c r="H71" s="29">
        <f t="shared" si="40"/>
        <v>0.72321316040296768</v>
      </c>
      <c r="I71" s="29">
        <f t="shared" si="40"/>
        <v>0.68587022297786271</v>
      </c>
    </row>
    <row r="73" spans="2:11" ht="18.75" x14ac:dyDescent="0.3">
      <c r="B73" s="21">
        <v>3</v>
      </c>
      <c r="C73" s="21" t="s">
        <v>41</v>
      </c>
      <c r="E73" s="21" t="s">
        <v>42</v>
      </c>
    </row>
    <row r="74" spans="2:11" x14ac:dyDescent="0.25">
      <c r="C74" s="17" t="s">
        <v>30</v>
      </c>
      <c r="D74" s="18">
        <v>0.9</v>
      </c>
      <c r="E74" s="18">
        <v>0.85499999999999998</v>
      </c>
      <c r="F74" s="18">
        <v>0.86</v>
      </c>
      <c r="G74" s="18">
        <v>0.86499999999999999</v>
      </c>
      <c r="H74" s="18">
        <v>0.86</v>
      </c>
      <c r="I74" s="18">
        <v>0.84499999999999997</v>
      </c>
    </row>
    <row r="76" spans="2:11" x14ac:dyDescent="0.25">
      <c r="C76" t="s">
        <v>43</v>
      </c>
      <c r="D76" s="20">
        <f t="shared" ref="D76:I76" si="41">D42/D74</f>
        <v>1.1020946042321831</v>
      </c>
      <c r="E76" s="20">
        <f t="shared" si="41"/>
        <v>1.010984189598803</v>
      </c>
      <c r="F76" s="20">
        <f t="shared" si="41"/>
        <v>0.96422015191739729</v>
      </c>
      <c r="G76" s="20">
        <f t="shared" si="41"/>
        <v>0.97949478116542288</v>
      </c>
      <c r="H76" s="20">
        <f t="shared" si="41"/>
        <v>0.96137858993641678</v>
      </c>
      <c r="I76" s="20">
        <f t="shared" si="41"/>
        <v>0.95445784561894698</v>
      </c>
    </row>
    <row r="77" spans="2:11" x14ac:dyDescent="0.25">
      <c r="D77">
        <v>1.75</v>
      </c>
      <c r="E77">
        <v>2.1</v>
      </c>
      <c r="F77">
        <v>2.5</v>
      </c>
      <c r="G77">
        <v>2.7</v>
      </c>
      <c r="H77">
        <v>3</v>
      </c>
      <c r="I77">
        <v>3.25</v>
      </c>
      <c r="J77">
        <v>3.85</v>
      </c>
      <c r="K77">
        <v>4.2</v>
      </c>
    </row>
    <row r="78" spans="2:11" x14ac:dyDescent="0.25">
      <c r="C78" s="17" t="s">
        <v>34</v>
      </c>
      <c r="D78" s="38">
        <v>0.68</v>
      </c>
      <c r="E78" s="38">
        <v>0.7</v>
      </c>
      <c r="F78" s="38">
        <v>0.71199999999999997</v>
      </c>
      <c r="G78" s="38">
        <v>0.71799999999999997</v>
      </c>
      <c r="H78" s="38">
        <v>0.71299999999999997</v>
      </c>
      <c r="I78" s="38">
        <v>0.7</v>
      </c>
      <c r="J78" s="38">
        <v>0.67</v>
      </c>
      <c r="K78" s="38">
        <v>0.65</v>
      </c>
    </row>
  </sheetData>
  <pageMargins left="0.7" right="0.7" top="0.75" bottom="0.75" header="0.3" footer="0.3"/>
  <ignoredErrors>
    <ignoredError sqref="D51:I5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Lourandos</dc:creator>
  <cp:lastModifiedBy>Dimitris Lourandos</cp:lastModifiedBy>
  <dcterms:created xsi:type="dcterms:W3CDTF">2015-10-16T06:57:29Z</dcterms:created>
  <dcterms:modified xsi:type="dcterms:W3CDTF">2015-10-19T13:58:40Z</dcterms:modified>
</cp:coreProperties>
</file>