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Lopes\Documents\FCT\CP\proj\cp2020-2021_g06_46731_49873_50054\Templates\DRAFT\"/>
    </mc:Choice>
  </mc:AlternateContent>
  <xr:revisionPtr revIDLastSave="0" documentId="13_ncr:1_{2E5F341E-322C-4CB7-A3BA-E87F44715490}" xr6:coauthVersionLast="47" xr6:coauthVersionMax="47" xr10:uidLastSave="{00000000-0000-0000-0000-000000000000}"/>
  <bookViews>
    <workbookView xWindow="-120" yWindow="-120" windowWidth="20730" windowHeight="11160" xr2:uid="{9508C17D-558A-4668-97FC-8A4F96BC612B}"/>
  </bookViews>
  <sheets>
    <sheet name="Table + Dashs" sheetId="1" r:id="rId1"/>
    <sheet name="Folha1" sheetId="4" r:id="rId2"/>
    <sheet name="Not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S45" i="1"/>
  <c r="Q43" i="1"/>
  <c r="R43" i="1"/>
  <c r="S43" i="1"/>
  <c r="T43" i="1"/>
  <c r="U43" i="1"/>
  <c r="Q44" i="1"/>
  <c r="R44" i="1"/>
  <c r="S44" i="1"/>
  <c r="T44" i="1"/>
  <c r="U44" i="1"/>
  <c r="Q45" i="1"/>
  <c r="R45" i="1"/>
  <c r="T45" i="1"/>
  <c r="U45" i="1"/>
  <c r="Q46" i="1"/>
  <c r="R46" i="1"/>
  <c r="S46" i="1"/>
  <c r="T46" i="1"/>
  <c r="U46" i="1"/>
  <c r="Q47" i="1"/>
  <c r="R47" i="1"/>
  <c r="S47" i="1"/>
  <c r="T47" i="1"/>
  <c r="U47" i="1"/>
  <c r="R42" i="1"/>
  <c r="S42" i="1"/>
  <c r="T42" i="1"/>
  <c r="U42" i="1"/>
  <c r="Q4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R32" i="1"/>
  <c r="S32" i="1"/>
  <c r="T32" i="1"/>
  <c r="U32" i="1"/>
  <c r="Q32" i="1"/>
  <c r="P6" i="1"/>
  <c r="J11" i="1"/>
  <c r="I11" i="1"/>
  <c r="H11" i="1"/>
  <c r="G11" i="1"/>
  <c r="F11" i="1"/>
  <c r="E11" i="1"/>
  <c r="J10" i="1"/>
  <c r="I10" i="1"/>
  <c r="H10" i="1"/>
  <c r="G10" i="1"/>
  <c r="F10" i="1"/>
  <c r="E10" i="1"/>
  <c r="Y10" i="1" s="1"/>
  <c r="J9" i="1"/>
  <c r="I9" i="1"/>
  <c r="H9" i="1"/>
  <c r="G9" i="1"/>
  <c r="F9" i="1"/>
  <c r="E9" i="1"/>
  <c r="O9" i="1" s="1"/>
  <c r="J8" i="1"/>
  <c r="I8" i="1"/>
  <c r="H8" i="1"/>
  <c r="G8" i="1"/>
  <c r="F8" i="1"/>
  <c r="E8" i="1"/>
  <c r="O8" i="1" s="1"/>
  <c r="E7" i="1"/>
  <c r="Y7" i="1" s="1"/>
  <c r="J7" i="1"/>
  <c r="I7" i="1"/>
  <c r="H7" i="1"/>
  <c r="G7" i="1"/>
  <c r="F7" i="1"/>
  <c r="J6" i="1"/>
  <c r="I6" i="1"/>
  <c r="H6" i="1"/>
  <c r="G6" i="1"/>
  <c r="F6" i="1"/>
  <c r="E6" i="1"/>
  <c r="T7" i="1" l="1"/>
  <c r="T11" i="1"/>
  <c r="AD11" i="1"/>
  <c r="S10" i="1"/>
  <c r="O10" i="1"/>
  <c r="S7" i="1"/>
  <c r="P11" i="1"/>
  <c r="R10" i="1"/>
  <c r="T10" i="1"/>
  <c r="Y9" i="1"/>
  <c r="R9" i="1"/>
  <c r="AA8" i="1"/>
  <c r="Z9" i="1"/>
  <c r="T9" i="1"/>
  <c r="AB7" i="1"/>
  <c r="P8" i="1"/>
  <c r="AD8" i="1"/>
  <c r="AB9" i="1"/>
  <c r="P9" i="1"/>
  <c r="AC6" i="1"/>
  <c r="S8" i="1"/>
  <c r="AC7" i="1"/>
  <c r="AA6" i="1"/>
  <c r="Z7" i="1"/>
  <c r="AC11" i="1"/>
  <c r="S6" i="1"/>
  <c r="AB10" i="1"/>
  <c r="Z11" i="1"/>
  <c r="AB11" i="1"/>
  <c r="AA11" i="1"/>
  <c r="R11" i="1"/>
  <c r="S11" i="1"/>
  <c r="O11" i="1"/>
  <c r="Q11" i="1"/>
  <c r="Y11" i="1"/>
  <c r="Q6" i="1"/>
  <c r="T8" i="1"/>
  <c r="P7" i="1"/>
  <c r="AB6" i="1"/>
  <c r="T6" i="1"/>
  <c r="Y8" i="1"/>
  <c r="Z8" i="1"/>
  <c r="Q7" i="1"/>
  <c r="AD9" i="1"/>
  <c r="Z10" i="1"/>
  <c r="AD10" i="1"/>
  <c r="AA10" i="1"/>
  <c r="AC10" i="1"/>
  <c r="AC9" i="1"/>
  <c r="S9" i="1"/>
  <c r="Q9" i="1"/>
  <c r="AA9" i="1"/>
  <c r="O7" i="1"/>
  <c r="AB8" i="1"/>
  <c r="AA7" i="1"/>
  <c r="R7" i="1"/>
  <c r="AD6" i="1"/>
  <c r="AD7" i="1"/>
  <c r="R6" i="1"/>
  <c r="R8" i="1"/>
  <c r="AC8" i="1"/>
  <c r="Q8" i="1"/>
  <c r="Q10" i="1"/>
  <c r="P10" i="1"/>
  <c r="Z6" i="1"/>
  <c r="Y6" i="1"/>
</calcChain>
</file>

<file path=xl/sharedStrings.xml><?xml version="1.0" encoding="utf-8"?>
<sst xmlns="http://schemas.openxmlformats.org/spreadsheetml/2006/main" count="86" uniqueCount="31">
  <si>
    <t>Average Execution Time</t>
  </si>
  <si>
    <t>Test Number</t>
  </si>
  <si>
    <t>Number of Threads</t>
  </si>
  <si>
    <t>Test 1</t>
  </si>
  <si>
    <t>Test 6</t>
  </si>
  <si>
    <t>Test 7</t>
  </si>
  <si>
    <t>Test 8</t>
  </si>
  <si>
    <t>Test 10</t>
  </si>
  <si>
    <t>1</t>
  </si>
  <si>
    <t>2</t>
  </si>
  <si>
    <t>4</t>
  </si>
  <si>
    <t>8</t>
  </si>
  <si>
    <t>16</t>
  </si>
  <si>
    <t>32</t>
  </si>
  <si>
    <t>Esta tabela é optima para analizar o quanto o aumento de threads fez beneficiar em termos de ganhos. E permite ao mesmo tempo ver esta informação ao nível dos testes que indicam que com o aumento da quantidade de dados a processar houve ou não grandes ganhos.</t>
  </si>
  <si>
    <t>ESTA TABELA ESTÁ AUTOMATIZADA PARA FUNCIONAR A PARTIR DOS DADOS DA OUTRA</t>
  </si>
  <si>
    <t>Gain per Thread [READ-ONLY] (related to the previous thread [n] related to [n-1]</t>
  </si>
  <si>
    <t>Test 11</t>
  </si>
  <si>
    <t>Tabela 2</t>
  </si>
  <si>
    <t>CLUSTER</t>
  </si>
  <si>
    <t>Layer Size | NrWaves | Total Nr Particles</t>
  </si>
  <si>
    <t>35 | 4 | 5 + 7 + 8 + 8</t>
  </si>
  <si>
    <t>35 | 10 | 4^10</t>
  </si>
  <si>
    <t>35 | 4 | 5k^4</t>
  </si>
  <si>
    <t>35 | 3 |100M^3</t>
  </si>
  <si>
    <t>35 | 1 | 10k</t>
  </si>
  <si>
    <t>35 | 2 | 10k^2</t>
  </si>
  <si>
    <t>Speed-Up per Thread [READ-ONLY] (comparision to Seq Thread1)</t>
  </si>
  <si>
    <t>EFICIENCIA</t>
  </si>
  <si>
    <t>CUSTO</t>
  </si>
  <si>
    <t>Test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</si>
</sst>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FB95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/>
    <xf numFmtId="9" fontId="0" fillId="0" borderId="1" xfId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7FB957"/>
        </patternFill>
      </fill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</dxfs>
  <tableStyles count="1" defaultTableStyle="TableStyleMedium2" defaultPivotStyle="PivotStyleLight16">
    <tableStyle name="Estilo de Tabela 1" pivot="0" count="1" xr9:uid="{1DE41EEB-F53C-48FB-AA1E-6DEFFB0D834E}">
      <tableStyleElement type="firstColumnStripe" dxfId="27"/>
    </tableStyle>
  </tableStyles>
  <colors>
    <mruColors>
      <color rgb="FF7FB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Tempo Total por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+ Dashs'!$E$5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Dashs'!$E$6:$E$11</c:f>
              <c:numCache>
                <c:formatCode>General</c:formatCode>
                <c:ptCount val="6"/>
                <c:pt idx="0">
                  <c:v>118.1693545</c:v>
                </c:pt>
                <c:pt idx="1">
                  <c:v>4.4499999999999997E-5</c:v>
                </c:pt>
                <c:pt idx="2">
                  <c:v>641.60140000000001</c:v>
                </c:pt>
                <c:pt idx="3">
                  <c:v>19.3734675</c:v>
                </c:pt>
                <c:pt idx="4">
                  <c:v>322.04199549999998</c:v>
                </c:pt>
                <c:pt idx="5">
                  <c:v>643.52096449999999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E4-86B3-7DF06C6D8EF7}"/>
            </c:ext>
          </c:extLst>
        </c:ser>
        <c:ser>
          <c:idx val="1"/>
          <c:order val="1"/>
          <c:tx>
            <c:strRef>
              <c:f>'Table + Dashs'!$F$5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Dashs'!$F$6:$F$11</c:f>
              <c:numCache>
                <c:formatCode>General</c:formatCode>
                <c:ptCount val="6"/>
                <c:pt idx="0">
                  <c:v>66.706873999999999</c:v>
                </c:pt>
                <c:pt idx="1">
                  <c:v>4.3150000000000003E-4</c:v>
                </c:pt>
                <c:pt idx="2">
                  <c:v>341.70538799999997</c:v>
                </c:pt>
                <c:pt idx="3">
                  <c:v>11.097861999999999</c:v>
                </c:pt>
                <c:pt idx="4">
                  <c:v>166.57549749999998</c:v>
                </c:pt>
                <c:pt idx="5">
                  <c:v>341.23911349999997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E4-86B3-7DF06C6D8EF7}"/>
            </c:ext>
          </c:extLst>
        </c:ser>
        <c:ser>
          <c:idx val="2"/>
          <c:order val="2"/>
          <c:tx>
            <c:strRef>
              <c:f>'Table + Dashs'!$G$5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Dashs'!$G$6:$G$11</c:f>
              <c:numCache>
                <c:formatCode>General</c:formatCode>
                <c:ptCount val="6"/>
                <c:pt idx="0">
                  <c:v>31.669708</c:v>
                </c:pt>
                <c:pt idx="1">
                  <c:v>6.2800000000000009E-4</c:v>
                </c:pt>
                <c:pt idx="2">
                  <c:v>168.95200449999999</c:v>
                </c:pt>
                <c:pt idx="3">
                  <c:v>5.0323270000000004</c:v>
                </c:pt>
                <c:pt idx="4">
                  <c:v>84.899140000000003</c:v>
                </c:pt>
                <c:pt idx="5">
                  <c:v>169.337267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9-4EE4-86B3-7DF06C6D8EF7}"/>
            </c:ext>
          </c:extLst>
        </c:ser>
        <c:ser>
          <c:idx val="3"/>
          <c:order val="3"/>
          <c:tx>
            <c:strRef>
              <c:f>'Table + Dashs'!$H$5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Dashs'!$H$6:$H$11</c:f>
              <c:numCache>
                <c:formatCode>General</c:formatCode>
                <c:ptCount val="6"/>
                <c:pt idx="0">
                  <c:v>17.637049000000001</c:v>
                </c:pt>
                <c:pt idx="1">
                  <c:v>9.9100000000000013E-4</c:v>
                </c:pt>
                <c:pt idx="2">
                  <c:v>87.953926499999994</c:v>
                </c:pt>
                <c:pt idx="3">
                  <c:v>3.0752600000000001</c:v>
                </c:pt>
                <c:pt idx="4">
                  <c:v>44.486370000000001</c:v>
                </c:pt>
                <c:pt idx="5">
                  <c:v>87.65991249999999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9-4EE4-86B3-7DF06C6D8EF7}"/>
            </c:ext>
          </c:extLst>
        </c:ser>
        <c:ser>
          <c:idx val="4"/>
          <c:order val="4"/>
          <c:tx>
            <c:strRef>
              <c:f>'Table + Dashs'!$I$5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Dashs'!$I$6:$I$11</c:f>
              <c:numCache>
                <c:formatCode>General</c:formatCode>
                <c:ptCount val="6"/>
                <c:pt idx="0">
                  <c:v>11.2209355</c:v>
                </c:pt>
                <c:pt idx="1">
                  <c:v>2.4499999999999999E-3</c:v>
                </c:pt>
                <c:pt idx="2">
                  <c:v>49.230483500000005</c:v>
                </c:pt>
                <c:pt idx="3">
                  <c:v>1.7248595</c:v>
                </c:pt>
                <c:pt idx="4">
                  <c:v>28.867197500000003</c:v>
                </c:pt>
                <c:pt idx="5">
                  <c:v>46.898286999999996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9-4EE4-86B3-7DF06C6D8EF7}"/>
            </c:ext>
          </c:extLst>
        </c:ser>
        <c:ser>
          <c:idx val="5"/>
          <c:order val="5"/>
          <c:tx>
            <c:strRef>
              <c:f>'Table + Dashs'!$J$5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Dashs'!$J$6:$J$11</c:f>
              <c:numCache>
                <c:formatCode>General</c:formatCode>
                <c:ptCount val="6"/>
                <c:pt idx="0">
                  <c:v>8.3911425000000008</c:v>
                </c:pt>
                <c:pt idx="1">
                  <c:v>4.8459999999999996E-3</c:v>
                </c:pt>
                <c:pt idx="2">
                  <c:v>32.919527000000002</c:v>
                </c:pt>
                <c:pt idx="3">
                  <c:v>1.0182375000000001</c:v>
                </c:pt>
                <c:pt idx="4">
                  <c:v>20.645721500000001</c:v>
                </c:pt>
                <c:pt idx="5">
                  <c:v>31.709721000000002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9-4EE4-86B3-7DF06C6D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754144"/>
        <c:axId val="563752176"/>
      </c:barChart>
      <c:catAx>
        <c:axId val="56375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2176"/>
        <c:crosses val="autoZero"/>
        <c:auto val="1"/>
        <c:lblAlgn val="ctr"/>
        <c:lblOffset val="100"/>
        <c:noMultiLvlLbl val="0"/>
      </c:catAx>
      <c:valAx>
        <c:axId val="5637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dos tempos por thread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Dashs'!$E$5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Dashs'!$E$6:$E$11</c:f>
              <c:numCache>
                <c:formatCode>General</c:formatCode>
                <c:ptCount val="6"/>
                <c:pt idx="0">
                  <c:v>118.1693545</c:v>
                </c:pt>
                <c:pt idx="1">
                  <c:v>4.4499999999999997E-5</c:v>
                </c:pt>
                <c:pt idx="2">
                  <c:v>641.60140000000001</c:v>
                </c:pt>
                <c:pt idx="3">
                  <c:v>19.3734675</c:v>
                </c:pt>
                <c:pt idx="4">
                  <c:v>322.04199549999998</c:v>
                </c:pt>
                <c:pt idx="5">
                  <c:v>643.52096449999999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7-4BE4-A795-EAB182460F68}"/>
            </c:ext>
          </c:extLst>
        </c:ser>
        <c:ser>
          <c:idx val="1"/>
          <c:order val="1"/>
          <c:tx>
            <c:strRef>
              <c:f>'Table + Dashs'!$F$5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Dashs'!$F$6:$F$11</c:f>
              <c:numCache>
                <c:formatCode>General</c:formatCode>
                <c:ptCount val="6"/>
                <c:pt idx="0">
                  <c:v>66.706873999999999</c:v>
                </c:pt>
                <c:pt idx="1">
                  <c:v>4.3150000000000003E-4</c:v>
                </c:pt>
                <c:pt idx="2">
                  <c:v>341.70538799999997</c:v>
                </c:pt>
                <c:pt idx="3">
                  <c:v>11.097861999999999</c:v>
                </c:pt>
                <c:pt idx="4">
                  <c:v>166.57549749999998</c:v>
                </c:pt>
                <c:pt idx="5">
                  <c:v>341.23911349999997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7-4BE4-A795-EAB182460F68}"/>
            </c:ext>
          </c:extLst>
        </c:ser>
        <c:ser>
          <c:idx val="2"/>
          <c:order val="2"/>
          <c:tx>
            <c:strRef>
              <c:f>'Table + Dashs'!$G$5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Dashs'!$G$6:$G$11</c:f>
              <c:numCache>
                <c:formatCode>General</c:formatCode>
                <c:ptCount val="6"/>
                <c:pt idx="0">
                  <c:v>31.669708</c:v>
                </c:pt>
                <c:pt idx="1">
                  <c:v>6.2800000000000009E-4</c:v>
                </c:pt>
                <c:pt idx="2">
                  <c:v>168.95200449999999</c:v>
                </c:pt>
                <c:pt idx="3">
                  <c:v>5.0323270000000004</c:v>
                </c:pt>
                <c:pt idx="4">
                  <c:v>84.899140000000003</c:v>
                </c:pt>
                <c:pt idx="5">
                  <c:v>169.337267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7-4BE4-A795-EAB182460F68}"/>
            </c:ext>
          </c:extLst>
        </c:ser>
        <c:ser>
          <c:idx val="3"/>
          <c:order val="3"/>
          <c:tx>
            <c:strRef>
              <c:f>'Table + Dashs'!$H$5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Dashs'!$H$6:$H$11</c:f>
              <c:numCache>
                <c:formatCode>General</c:formatCode>
                <c:ptCount val="6"/>
                <c:pt idx="0">
                  <c:v>17.637049000000001</c:v>
                </c:pt>
                <c:pt idx="1">
                  <c:v>9.9100000000000013E-4</c:v>
                </c:pt>
                <c:pt idx="2">
                  <c:v>87.953926499999994</c:v>
                </c:pt>
                <c:pt idx="3">
                  <c:v>3.0752600000000001</c:v>
                </c:pt>
                <c:pt idx="4">
                  <c:v>44.486370000000001</c:v>
                </c:pt>
                <c:pt idx="5">
                  <c:v>87.65991249999999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7-4BE4-A795-EAB182460F68}"/>
            </c:ext>
          </c:extLst>
        </c:ser>
        <c:ser>
          <c:idx val="4"/>
          <c:order val="4"/>
          <c:tx>
            <c:strRef>
              <c:f>'Table + Dashs'!$I$5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Dashs'!$I$6:$I$11</c:f>
              <c:numCache>
                <c:formatCode>General</c:formatCode>
                <c:ptCount val="6"/>
                <c:pt idx="0">
                  <c:v>11.2209355</c:v>
                </c:pt>
                <c:pt idx="1">
                  <c:v>2.4499999999999999E-3</c:v>
                </c:pt>
                <c:pt idx="2">
                  <c:v>49.230483500000005</c:v>
                </c:pt>
                <c:pt idx="3">
                  <c:v>1.7248595</c:v>
                </c:pt>
                <c:pt idx="4">
                  <c:v>28.867197500000003</c:v>
                </c:pt>
                <c:pt idx="5">
                  <c:v>46.898286999999996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7-4BE4-A795-EAB182460F68}"/>
            </c:ext>
          </c:extLst>
        </c:ser>
        <c:ser>
          <c:idx val="5"/>
          <c:order val="5"/>
          <c:tx>
            <c:strRef>
              <c:f>'Table + Dashs'!$J$5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 + Dashs'!$D$6:$D$11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Dashs'!$J$6:$J$11</c:f>
              <c:numCache>
                <c:formatCode>General</c:formatCode>
                <c:ptCount val="6"/>
                <c:pt idx="0">
                  <c:v>8.3911425000000008</c:v>
                </c:pt>
                <c:pt idx="1">
                  <c:v>4.8459999999999996E-3</c:v>
                </c:pt>
                <c:pt idx="2">
                  <c:v>32.919527000000002</c:v>
                </c:pt>
                <c:pt idx="3">
                  <c:v>1.0182375000000001</c:v>
                </c:pt>
                <c:pt idx="4">
                  <c:v>20.645721500000001</c:v>
                </c:pt>
                <c:pt idx="5">
                  <c:v>31.709721000000002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7-4BE4-A795-EAB18246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08728"/>
        <c:axId val="568406432"/>
      </c:lineChart>
      <c:catAx>
        <c:axId val="5684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432"/>
        <c:crosses val="autoZero"/>
        <c:auto val="1"/>
        <c:lblAlgn val="ctr"/>
        <c:lblOffset val="100"/>
        <c:noMultiLvlLbl val="0"/>
      </c:catAx>
      <c:valAx>
        <c:axId val="568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+ Dashs'!$O$5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Dashs'!$O$6:$O$11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0-4CF6-AB79-64E0F15A2BC2}"/>
            </c:ext>
          </c:extLst>
        </c:ser>
        <c:ser>
          <c:idx val="1"/>
          <c:order val="1"/>
          <c:tx>
            <c:strRef>
              <c:f>'Table + Dashs'!$P$5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Dashs'!$P$6:$P$11</c:f>
              <c:numCache>
                <c:formatCode>0%</c:formatCode>
                <c:ptCount val="6"/>
                <c:pt idx="0">
                  <c:v>0.43549768650043696</c:v>
                </c:pt>
                <c:pt idx="1">
                  <c:v>-8.6966292134831473</c:v>
                </c:pt>
                <c:pt idx="2">
                  <c:v>0.46741795139474451</c:v>
                </c:pt>
                <c:pt idx="3">
                  <c:v>0.42716181292791289</c:v>
                </c:pt>
                <c:pt idx="4">
                  <c:v>0.48275225024184776</c:v>
                </c:pt>
                <c:pt idx="5">
                  <c:v>0.46973116289205219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0-4CF6-AB79-64E0F15A2BC2}"/>
            </c:ext>
          </c:extLst>
        </c:ser>
        <c:ser>
          <c:idx val="2"/>
          <c:order val="2"/>
          <c:tx>
            <c:strRef>
              <c:f>'Table + Dashs'!$Q$5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Dashs'!$Q$6:$Q$11</c:f>
              <c:numCache>
                <c:formatCode>0%</c:formatCode>
                <c:ptCount val="6"/>
                <c:pt idx="0">
                  <c:v>0.73199728361044736</c:v>
                </c:pt>
                <c:pt idx="1">
                  <c:v>-13.1123595505618</c:v>
                </c:pt>
                <c:pt idx="2">
                  <c:v>0.73667139052377384</c:v>
                </c:pt>
                <c:pt idx="3">
                  <c:v>0.74024644788032912</c:v>
                </c:pt>
                <c:pt idx="4">
                  <c:v>0.73637245705117982</c:v>
                </c:pt>
                <c:pt idx="5">
                  <c:v>0.73685819679305875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0-4CF6-AB79-64E0F15A2BC2}"/>
            </c:ext>
          </c:extLst>
        </c:ser>
        <c:ser>
          <c:idx val="3"/>
          <c:order val="3"/>
          <c:tx>
            <c:strRef>
              <c:f>'Table + Dashs'!$R$5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Dashs'!$R$6:$R$11</c:f>
              <c:numCache>
                <c:formatCode>0%</c:formatCode>
                <c:ptCount val="6"/>
                <c:pt idx="0">
                  <c:v>0.85074769110294157</c:v>
                </c:pt>
                <c:pt idx="1">
                  <c:v>-21.269662921348317</c:v>
                </c:pt>
                <c:pt idx="2">
                  <c:v>0.86291500221165351</c:v>
                </c:pt>
                <c:pt idx="3">
                  <c:v>0.84126434774776382</c:v>
                </c:pt>
                <c:pt idx="4">
                  <c:v>0.86186158755186326</c:v>
                </c:pt>
                <c:pt idx="5">
                  <c:v>0.8637807976184434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0-4CF6-AB79-64E0F15A2BC2}"/>
            </c:ext>
          </c:extLst>
        </c:ser>
        <c:ser>
          <c:idx val="4"/>
          <c:order val="4"/>
          <c:tx>
            <c:strRef>
              <c:f>'Table + Dashs'!$S$5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Dashs'!$S$6:$S$11</c:f>
              <c:numCache>
                <c:formatCode>0%</c:formatCode>
                <c:ptCount val="6"/>
                <c:pt idx="0">
                  <c:v>0.90504360840864206</c:v>
                </c:pt>
                <c:pt idx="1">
                  <c:v>-54.056179775280903</c:v>
                </c:pt>
                <c:pt idx="2">
                  <c:v>0.92326936396959236</c:v>
                </c:pt>
                <c:pt idx="3">
                  <c:v>0.9109679514005431</c:v>
                </c:pt>
                <c:pt idx="4">
                  <c:v>0.91036200898214836</c:v>
                </c:pt>
                <c:pt idx="5">
                  <c:v>0.92712236339271592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E0-4CF6-AB79-64E0F15A2BC2}"/>
            </c:ext>
          </c:extLst>
        </c:ser>
        <c:ser>
          <c:idx val="5"/>
          <c:order val="5"/>
          <c:tx>
            <c:strRef>
              <c:f>'Table + Dashs'!$T$5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+ Dashs'!$N$6:$N$11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Dashs'!$T$6:$T$11</c:f>
              <c:numCache>
                <c:formatCode>0%</c:formatCode>
                <c:ptCount val="6"/>
                <c:pt idx="0">
                  <c:v>0.92899053620539151</c:v>
                </c:pt>
                <c:pt idx="1">
                  <c:v>-107.89887640449437</c:v>
                </c:pt>
                <c:pt idx="2">
                  <c:v>0.94869162224396641</c:v>
                </c:pt>
                <c:pt idx="3">
                  <c:v>0.94744164925561214</c:v>
                </c:pt>
                <c:pt idx="4">
                  <c:v>0.93589121360415861</c:v>
                </c:pt>
                <c:pt idx="5">
                  <c:v>0.95072464962406056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0-4CF6-AB79-64E0F15A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51816"/>
        <c:axId val="411449848"/>
      </c:barChart>
      <c:catAx>
        <c:axId val="411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9848"/>
        <c:crosses val="autoZero"/>
        <c:auto val="1"/>
        <c:lblAlgn val="ctr"/>
        <c:lblOffset val="100"/>
        <c:noMultiLvlLbl val="0"/>
      </c:catAx>
      <c:valAx>
        <c:axId val="4114498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+ Dashs'!$Y$5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Dashs'!$Y$6:$Y$11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319-A1BF-3E97DBA8237E}"/>
            </c:ext>
          </c:extLst>
        </c:ser>
        <c:ser>
          <c:idx val="1"/>
          <c:order val="1"/>
          <c:tx>
            <c:strRef>
              <c:f>'Table + Dashs'!$Z$5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Dashs'!$Z$6:$Z$11</c:f>
              <c:numCache>
                <c:formatCode>0%</c:formatCode>
                <c:ptCount val="6"/>
                <c:pt idx="0">
                  <c:v>0.43549768650043696</c:v>
                </c:pt>
                <c:pt idx="1">
                  <c:v>-8.6966292134831473</c:v>
                </c:pt>
                <c:pt idx="2">
                  <c:v>0.46741795139474451</c:v>
                </c:pt>
                <c:pt idx="3">
                  <c:v>0.42716181292791289</c:v>
                </c:pt>
                <c:pt idx="4">
                  <c:v>0.48275225024184776</c:v>
                </c:pt>
                <c:pt idx="5">
                  <c:v>0.46973116289205219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319-A1BF-3E97DBA8237E}"/>
            </c:ext>
          </c:extLst>
        </c:ser>
        <c:ser>
          <c:idx val="2"/>
          <c:order val="2"/>
          <c:tx>
            <c:strRef>
              <c:f>'Table + Dashs'!$AA$5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Dashs'!$AA$6:$AA$11</c:f>
              <c:numCache>
                <c:formatCode>0%</c:formatCode>
                <c:ptCount val="6"/>
                <c:pt idx="0">
                  <c:v>0.52524071207414091</c:v>
                </c:pt>
                <c:pt idx="1">
                  <c:v>-0.45538818076477416</c:v>
                </c:pt>
                <c:pt idx="2">
                  <c:v>0.5055623632718369</c:v>
                </c:pt>
                <c:pt idx="3">
                  <c:v>0.54654986699239894</c:v>
                </c:pt>
                <c:pt idx="4">
                  <c:v>0.4903263608742936</c:v>
                </c:pt>
                <c:pt idx="5">
                  <c:v>0.50375774551998997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319-A1BF-3E97DBA8237E}"/>
            </c:ext>
          </c:extLst>
        </c:ser>
        <c:ser>
          <c:idx val="3"/>
          <c:order val="3"/>
          <c:tx>
            <c:strRef>
              <c:f>'Table + Dashs'!$AB$5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Dashs'!$AB$6:$AB$11</c:f>
              <c:numCache>
                <c:formatCode>0%</c:formatCode>
                <c:ptCount val="6"/>
                <c:pt idx="0">
                  <c:v>0.44309404431515442</c:v>
                </c:pt>
                <c:pt idx="1">
                  <c:v>-0.57802547770700641</c:v>
                </c:pt>
                <c:pt idx="2">
                  <c:v>0.4794147204095468</c:v>
                </c:pt>
                <c:pt idx="3">
                  <c:v>0.38889901232570934</c:v>
                </c:pt>
                <c:pt idx="4">
                  <c:v>0.47600917983385937</c:v>
                </c:pt>
                <c:pt idx="5" formatCode="0.00%">
                  <c:v>0.48233537689019157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1-4319-A1BF-3E97DBA8237E}"/>
            </c:ext>
          </c:extLst>
        </c:ser>
        <c:ser>
          <c:idx val="4"/>
          <c:order val="4"/>
          <c:tx>
            <c:strRef>
              <c:f>'Table + Dashs'!$AC$5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Dashs'!$AC$6:$AC$11</c:f>
              <c:numCache>
                <c:formatCode>0%</c:formatCode>
                <c:ptCount val="6"/>
                <c:pt idx="0">
                  <c:v>0.36378611297162022</c:v>
                </c:pt>
                <c:pt idx="1">
                  <c:v>-1.4722502522704337</c:v>
                </c:pt>
                <c:pt idx="2">
                  <c:v>0.44026963367007832</c:v>
                </c:pt>
                <c:pt idx="3">
                  <c:v>0.43911750551172912</c:v>
                </c:pt>
                <c:pt idx="4">
                  <c:v>0.35110017967300988</c:v>
                </c:pt>
                <c:pt idx="5" formatCode="0.00%">
                  <c:v>0.46499733273176602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1-4319-A1BF-3E97DBA8237E}"/>
            </c:ext>
          </c:extLst>
        </c:ser>
        <c:ser>
          <c:idx val="5"/>
          <c:order val="5"/>
          <c:tx>
            <c:strRef>
              <c:f>'Table + Dashs'!$AD$5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+ Dashs'!$X$6:$X$11</c:f>
              <c:strCache>
                <c:ptCount val="6"/>
                <c:pt idx="0">
                  <c:v>Test 1</c:v>
                </c:pt>
                <c:pt idx="1">
                  <c:v>Test 6</c:v>
                </c:pt>
                <c:pt idx="2">
                  <c:v>Test 7</c:v>
                </c:pt>
                <c:pt idx="3">
                  <c:v>Test 8</c:v>
                </c:pt>
                <c:pt idx="4">
                  <c:v>Test 10</c:v>
                </c:pt>
                <c:pt idx="5">
                  <c:v>Test 11</c:v>
                </c:pt>
              </c:strCache>
            </c:strRef>
          </c:cat>
          <c:val>
            <c:numRef>
              <c:f>'Table + Dashs'!$AD$6:$AD$11</c:f>
              <c:numCache>
                <c:formatCode>0%</c:formatCode>
                <c:ptCount val="6"/>
                <c:pt idx="0">
                  <c:v>0.25218868783266768</c:v>
                </c:pt>
                <c:pt idx="1">
                  <c:v>-0.97795918367346935</c:v>
                </c:pt>
                <c:pt idx="2">
                  <c:v>0.33131822684617751</c:v>
                </c:pt>
                <c:pt idx="3">
                  <c:v>0.40966930929736589</c:v>
                </c:pt>
                <c:pt idx="4">
                  <c:v>0.28480340012223226</c:v>
                </c:pt>
                <c:pt idx="5" formatCode="0.00%">
                  <c:v>0.32386185022067004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1-4319-A1BF-3E97DBA8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48112"/>
        <c:axId val="410841552"/>
      </c:barChart>
      <c:catAx>
        <c:axId val="4108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1552"/>
        <c:crosses val="autoZero"/>
        <c:auto val="1"/>
        <c:lblAlgn val="ctr"/>
        <c:lblOffset val="100"/>
        <c:noMultiLvlLbl val="0"/>
      </c:catAx>
      <c:valAx>
        <c:axId val="4108415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dos tempos por thread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Dashs'!$D$6</c:f>
              <c:strCache>
                <c:ptCount val="1"/>
                <c:pt idx="0">
                  <c:v>Test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Dashs'!$E$6:$J$6</c:f>
              <c:numCache>
                <c:formatCode>General</c:formatCode>
                <c:ptCount val="6"/>
                <c:pt idx="0">
                  <c:v>118.1693545</c:v>
                </c:pt>
                <c:pt idx="1">
                  <c:v>66.706873999999999</c:v>
                </c:pt>
                <c:pt idx="2">
                  <c:v>31.669708</c:v>
                </c:pt>
                <c:pt idx="3">
                  <c:v>17.637049000000001</c:v>
                </c:pt>
                <c:pt idx="4">
                  <c:v>11.2209355</c:v>
                </c:pt>
                <c:pt idx="5">
                  <c:v>8.3911425000000008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282-97FE-30F470159571}"/>
            </c:ext>
          </c:extLst>
        </c:ser>
        <c:ser>
          <c:idx val="1"/>
          <c:order val="1"/>
          <c:tx>
            <c:strRef>
              <c:f>'Table + Dashs'!$D$7</c:f>
              <c:strCache>
                <c:ptCount val="1"/>
                <c:pt idx="0">
                  <c:v>Test 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Dashs'!$E$7:$J$7</c:f>
              <c:numCache>
                <c:formatCode>General</c:formatCode>
                <c:ptCount val="6"/>
                <c:pt idx="0">
                  <c:v>4.4499999999999997E-5</c:v>
                </c:pt>
                <c:pt idx="1">
                  <c:v>4.3150000000000003E-4</c:v>
                </c:pt>
                <c:pt idx="2">
                  <c:v>6.2800000000000009E-4</c:v>
                </c:pt>
                <c:pt idx="3">
                  <c:v>9.9100000000000013E-4</c:v>
                </c:pt>
                <c:pt idx="4">
                  <c:v>2.4499999999999999E-3</c:v>
                </c:pt>
                <c:pt idx="5">
                  <c:v>4.8459999999999996E-3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9-4282-97FE-30F470159571}"/>
            </c:ext>
          </c:extLst>
        </c:ser>
        <c:ser>
          <c:idx val="2"/>
          <c:order val="2"/>
          <c:tx>
            <c:strRef>
              <c:f>'Table + Dashs'!$D$8</c:f>
              <c:strCache>
                <c:ptCount val="1"/>
                <c:pt idx="0">
                  <c:v>Test 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Dashs'!$E$8:$J$8</c:f>
              <c:numCache>
                <c:formatCode>General</c:formatCode>
                <c:ptCount val="6"/>
                <c:pt idx="0">
                  <c:v>641.60140000000001</c:v>
                </c:pt>
                <c:pt idx="1">
                  <c:v>341.70538799999997</c:v>
                </c:pt>
                <c:pt idx="2">
                  <c:v>168.95200449999999</c:v>
                </c:pt>
                <c:pt idx="3">
                  <c:v>87.953926499999994</c:v>
                </c:pt>
                <c:pt idx="4">
                  <c:v>49.230483500000005</c:v>
                </c:pt>
                <c:pt idx="5">
                  <c:v>32.919527000000002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9-4282-97FE-30F470159571}"/>
            </c:ext>
          </c:extLst>
        </c:ser>
        <c:ser>
          <c:idx val="3"/>
          <c:order val="3"/>
          <c:tx>
            <c:strRef>
              <c:f>'Table + Dashs'!$D$9</c:f>
              <c:strCache>
                <c:ptCount val="1"/>
                <c:pt idx="0">
                  <c:v>Test 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Dashs'!$E$9:$J$9</c:f>
              <c:numCache>
                <c:formatCode>General</c:formatCode>
                <c:ptCount val="6"/>
                <c:pt idx="0">
                  <c:v>19.3734675</c:v>
                </c:pt>
                <c:pt idx="1">
                  <c:v>11.097861999999999</c:v>
                </c:pt>
                <c:pt idx="2">
                  <c:v>5.0323270000000004</c:v>
                </c:pt>
                <c:pt idx="3">
                  <c:v>3.0752600000000001</c:v>
                </c:pt>
                <c:pt idx="4">
                  <c:v>1.7248595</c:v>
                </c:pt>
                <c:pt idx="5">
                  <c:v>1.0182375000000001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9-4282-97FE-30F470159571}"/>
            </c:ext>
          </c:extLst>
        </c:ser>
        <c:ser>
          <c:idx val="4"/>
          <c:order val="4"/>
          <c:tx>
            <c:strRef>
              <c:f>'Table + Dashs'!$D$10</c:f>
              <c:strCache>
                <c:ptCount val="1"/>
                <c:pt idx="0">
                  <c:v>Test 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Dashs'!$E$10:$J$10</c:f>
              <c:numCache>
                <c:formatCode>General</c:formatCode>
                <c:ptCount val="6"/>
                <c:pt idx="0">
                  <c:v>322.04199549999998</c:v>
                </c:pt>
                <c:pt idx="1">
                  <c:v>166.57549749999998</c:v>
                </c:pt>
                <c:pt idx="2">
                  <c:v>84.899140000000003</c:v>
                </c:pt>
                <c:pt idx="3">
                  <c:v>44.486370000000001</c:v>
                </c:pt>
                <c:pt idx="4">
                  <c:v>28.867197500000003</c:v>
                </c:pt>
                <c:pt idx="5">
                  <c:v>20.645721500000001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9-4282-97FE-30F470159571}"/>
            </c:ext>
          </c:extLst>
        </c:ser>
        <c:ser>
          <c:idx val="5"/>
          <c:order val="5"/>
          <c:tx>
            <c:strRef>
              <c:f>'Table + Dashs'!$D$11</c:f>
              <c:strCache>
                <c:ptCount val="1"/>
                <c:pt idx="0">
                  <c:v>Test 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Dashs'!$E$11:$J$11</c:f>
              <c:numCache>
                <c:formatCode>General</c:formatCode>
                <c:ptCount val="6"/>
                <c:pt idx="0">
                  <c:v>643.52096449999999</c:v>
                </c:pt>
                <c:pt idx="1">
                  <c:v>341.23911349999997</c:v>
                </c:pt>
                <c:pt idx="2">
                  <c:v>169.337267</c:v>
                </c:pt>
                <c:pt idx="3">
                  <c:v>87.65991249999999</c:v>
                </c:pt>
                <c:pt idx="4">
                  <c:v>46.898286999999996</c:v>
                </c:pt>
                <c:pt idx="5">
                  <c:v>31.709721000000002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9-4282-97FE-30F47015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08728"/>
        <c:axId val="568406432"/>
      </c:lineChart>
      <c:catAx>
        <c:axId val="5684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432"/>
        <c:crosses val="autoZero"/>
        <c:auto val="1"/>
        <c:lblAlgn val="ctr"/>
        <c:lblOffset val="100"/>
        <c:noMultiLvlLbl val="0"/>
      </c:catAx>
      <c:valAx>
        <c:axId val="568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dos tempos por thread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Dashs'!$D$6</c:f>
              <c:strCache>
                <c:ptCount val="1"/>
                <c:pt idx="0">
                  <c:v>Test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Dashs'!$E$6:$J$6</c:f>
              <c:numCache>
                <c:formatCode>General</c:formatCode>
                <c:ptCount val="6"/>
                <c:pt idx="0">
                  <c:v>118.1693545</c:v>
                </c:pt>
                <c:pt idx="1">
                  <c:v>66.706873999999999</c:v>
                </c:pt>
                <c:pt idx="2">
                  <c:v>31.669708</c:v>
                </c:pt>
                <c:pt idx="3">
                  <c:v>17.637049000000001</c:v>
                </c:pt>
                <c:pt idx="4">
                  <c:v>11.2209355</c:v>
                </c:pt>
                <c:pt idx="5">
                  <c:v>8.3911425000000008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3-4771-8A0C-B9BF2F5F1EA9}"/>
            </c:ext>
          </c:extLst>
        </c:ser>
        <c:ser>
          <c:idx val="1"/>
          <c:order val="1"/>
          <c:tx>
            <c:strRef>
              <c:f>'Table + Dashs'!$D$7</c:f>
              <c:strCache>
                <c:ptCount val="1"/>
                <c:pt idx="0">
                  <c:v>Test 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Dashs'!$E$7:$J$7</c:f>
              <c:numCache>
                <c:formatCode>General</c:formatCode>
                <c:ptCount val="6"/>
                <c:pt idx="0">
                  <c:v>4.4499999999999997E-5</c:v>
                </c:pt>
                <c:pt idx="1">
                  <c:v>4.3150000000000003E-4</c:v>
                </c:pt>
                <c:pt idx="2">
                  <c:v>6.2800000000000009E-4</c:v>
                </c:pt>
                <c:pt idx="3">
                  <c:v>9.9100000000000013E-4</c:v>
                </c:pt>
                <c:pt idx="4">
                  <c:v>2.4499999999999999E-3</c:v>
                </c:pt>
                <c:pt idx="5">
                  <c:v>4.8459999999999996E-3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3-4771-8A0C-B9BF2F5F1EA9}"/>
            </c:ext>
          </c:extLst>
        </c:ser>
        <c:ser>
          <c:idx val="2"/>
          <c:order val="2"/>
          <c:tx>
            <c:strRef>
              <c:f>'Table + Dashs'!$D$8</c:f>
              <c:strCache>
                <c:ptCount val="1"/>
                <c:pt idx="0">
                  <c:v>Test 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Dashs'!$E$8:$J$8</c:f>
              <c:numCache>
                <c:formatCode>General</c:formatCode>
                <c:ptCount val="6"/>
                <c:pt idx="0">
                  <c:v>641.60140000000001</c:v>
                </c:pt>
                <c:pt idx="1">
                  <c:v>341.70538799999997</c:v>
                </c:pt>
                <c:pt idx="2">
                  <c:v>168.95200449999999</c:v>
                </c:pt>
                <c:pt idx="3">
                  <c:v>87.953926499999994</c:v>
                </c:pt>
                <c:pt idx="4">
                  <c:v>49.230483500000005</c:v>
                </c:pt>
                <c:pt idx="5">
                  <c:v>32.919527000000002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3-4771-8A0C-B9BF2F5F1EA9}"/>
            </c:ext>
          </c:extLst>
        </c:ser>
        <c:ser>
          <c:idx val="3"/>
          <c:order val="3"/>
          <c:tx>
            <c:strRef>
              <c:f>'Table + Dashs'!$D$9</c:f>
              <c:strCache>
                <c:ptCount val="1"/>
                <c:pt idx="0">
                  <c:v>Test 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Dashs'!$E$9:$J$9</c:f>
              <c:numCache>
                <c:formatCode>General</c:formatCode>
                <c:ptCount val="6"/>
                <c:pt idx="0">
                  <c:v>19.3734675</c:v>
                </c:pt>
                <c:pt idx="1">
                  <c:v>11.097861999999999</c:v>
                </c:pt>
                <c:pt idx="2">
                  <c:v>5.0323270000000004</c:v>
                </c:pt>
                <c:pt idx="3">
                  <c:v>3.0752600000000001</c:v>
                </c:pt>
                <c:pt idx="4">
                  <c:v>1.7248595</c:v>
                </c:pt>
                <c:pt idx="5">
                  <c:v>1.0182375000000001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3-4771-8A0C-B9BF2F5F1EA9}"/>
            </c:ext>
          </c:extLst>
        </c:ser>
        <c:ser>
          <c:idx val="4"/>
          <c:order val="4"/>
          <c:tx>
            <c:strRef>
              <c:f>'Table + Dashs'!$D$10</c:f>
              <c:strCache>
                <c:ptCount val="1"/>
                <c:pt idx="0">
                  <c:v>Test 10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Dashs'!$E$10:$J$10</c:f>
              <c:numCache>
                <c:formatCode>General</c:formatCode>
                <c:ptCount val="6"/>
                <c:pt idx="0">
                  <c:v>322.04199549999998</c:v>
                </c:pt>
                <c:pt idx="1">
                  <c:v>166.57549749999998</c:v>
                </c:pt>
                <c:pt idx="2">
                  <c:v>84.899140000000003</c:v>
                </c:pt>
                <c:pt idx="3">
                  <c:v>44.486370000000001</c:v>
                </c:pt>
                <c:pt idx="4">
                  <c:v>28.867197500000003</c:v>
                </c:pt>
                <c:pt idx="5">
                  <c:v>20.645721500000001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3-4771-8A0C-B9BF2F5F1EA9}"/>
            </c:ext>
          </c:extLst>
        </c:ser>
        <c:ser>
          <c:idx val="5"/>
          <c:order val="5"/>
          <c:tx>
            <c:strRef>
              <c:f>'Table + Dashs'!$D$11</c:f>
              <c:strCache>
                <c:ptCount val="1"/>
                <c:pt idx="0">
                  <c:v>Test 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'Table + Dashs'!$E$5:$J$5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'Table + Dashs'!$E$11:$J$11</c:f>
              <c:numCache>
                <c:formatCode>General</c:formatCode>
                <c:ptCount val="6"/>
                <c:pt idx="0">
                  <c:v>643.52096449999999</c:v>
                </c:pt>
                <c:pt idx="1">
                  <c:v>341.23911349999997</c:v>
                </c:pt>
                <c:pt idx="2">
                  <c:v>169.337267</c:v>
                </c:pt>
                <c:pt idx="3">
                  <c:v>87.65991249999999</c:v>
                </c:pt>
                <c:pt idx="4">
                  <c:v>46.898286999999996</c:v>
                </c:pt>
                <c:pt idx="5">
                  <c:v>31.709721000000002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3-4771-8A0C-B9BF2F5F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08728"/>
        <c:axId val="568406432"/>
      </c:lineChart>
      <c:catAx>
        <c:axId val="5684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6432"/>
        <c:crosses val="autoZero"/>
        <c:auto val="1"/>
        <c:lblAlgn val="ctr"/>
        <c:lblOffset val="100"/>
        <c:noMultiLvlLbl val="0"/>
      </c:catAx>
      <c:valAx>
        <c:axId val="56840643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592930</xdr:colOff>
      <xdr:row>12</xdr:row>
      <xdr:rowOff>4761</xdr:rowOff>
    </xdr:from>
    <xdr:to>
      <xdr:col>9</xdr:col>
      <xdr:colOff>1023937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2956A-4D56-4414-8E85-9FBA5382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607217</xdr:colOff>
      <xdr:row>30</xdr:row>
      <xdr:rowOff>185736</xdr:rowOff>
    </xdr:from>
    <xdr:to>
      <xdr:col>13</xdr:col>
      <xdr:colOff>0</xdr:colOff>
      <xdr:row>52</xdr:row>
      <xdr:rowOff>23811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C5C9C4-10A5-47AB-A8C9-29A4A6913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7142</xdr:rowOff>
    </xdr:from>
    <xdr:to>
      <xdr:col>20</xdr:col>
      <xdr:colOff>278605</xdr:colOff>
      <xdr:row>25</xdr:row>
      <xdr:rowOff>107155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368CFE-177C-4A7D-97D5-D9CBB5858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11</xdr:row>
      <xdr:rowOff>176212</xdr:rowOff>
    </xdr:from>
    <xdr:to>
      <xdr:col>30</xdr:col>
      <xdr:colOff>333375</xdr:colOff>
      <xdr:row>26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529B56-22E0-45FE-B934-9CA31701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12</xdr:col>
      <xdr:colOff>1043783</xdr:colOff>
      <xdr:row>75</xdr:row>
      <xdr:rowOff>28575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7B6C7368-1447-4A96-B5DD-6194E213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333375</xdr:colOff>
      <xdr:row>51</xdr:row>
      <xdr:rowOff>95250</xdr:rowOff>
    </xdr:from>
    <xdr:to>
      <xdr:col>27</xdr:col>
      <xdr:colOff>758033</xdr:colOff>
      <xdr:row>72</xdr:row>
      <xdr:rowOff>123825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E4817D70-DAD3-448D-A4D5-F70D3C9AC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608914</xdr:colOff>
      <xdr:row>21</xdr:row>
      <xdr:rowOff>28095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39C529-7974-4530-BCFB-AF97104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485714" cy="38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1C4DB-A25A-4114-8730-ED0369FDBD1A}" name="Tabela2" displayName="Tabela2" ref="D5:J11" totalsRowShown="0" headerRowDxfId="26" dataDxfId="25">
  <autoFilter ref="D5:J11" xr:uid="{5E510303-9C6E-439F-ACC8-6AC805D8F855}"/>
  <tableColumns count="7">
    <tableColumn id="1" xr3:uid="{CE24ED02-FD5E-4F1F-8F6A-F7FB4F63F013}" name="Test Number" dataDxfId="24"/>
    <tableColumn id="2" xr3:uid="{90408384-21D4-461B-96B5-B1EAA3241540}" name="1" dataDxfId="23"/>
    <tableColumn id="3" xr3:uid="{09DDE4A3-BE84-48B5-AC97-9EF6BB95D67F}" name="2" dataDxfId="22">
      <calculatedColumnFormula>(69.637747+63.776001)/2</calculatedColumnFormula>
    </tableColumn>
    <tableColumn id="4" xr3:uid="{13B84234-7E85-48CB-9524-F779AEBA159F}" name="4" dataDxfId="21"/>
    <tableColumn id="5" xr3:uid="{B1465D36-A52F-4377-91F1-C7E8B290C2E4}" name="8" dataDxfId="20"/>
    <tableColumn id="6" xr3:uid="{D93C7B7D-5C72-43EA-BB40-74E436ACE162}" name="16" dataDxfId="19"/>
    <tableColumn id="7" xr3:uid="{2AF31BED-1B07-48D6-BDCD-0304ED943848}" name="32" dataDxfId="1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E6983-B60D-4945-8F31-A133F897FE89}" name="Tabela25" displayName="Tabela25" ref="N5:T11" totalsRowShown="0" headerRowDxfId="17" dataDxfId="16">
  <autoFilter ref="N5:T11" xr:uid="{7D96351B-AEEC-41C1-92E2-8EF01916E172}"/>
  <tableColumns count="7">
    <tableColumn id="1" xr3:uid="{2C891C68-C1EA-4631-B5C2-3D81C2AF4D43}" name="Test Number" dataDxfId="5"/>
    <tableColumn id="2" xr3:uid="{FB1ACD8C-28E7-4E96-80CA-DA60373CCF26}" name="1" dataDxfId="6">
      <calculatedColumnFormula xml:space="preserve"> (1-(Tabela2[[#This Row],[1]]/Tabela2[[#This Row],[1]]))</calculatedColumnFormula>
    </tableColumn>
    <tableColumn id="3" xr3:uid="{26527E15-D7E3-418D-AE07-3E3901AD8EEE}" name="2" dataDxfId="4">
      <calculatedColumnFormula xml:space="preserve"> (1-(Tabela2[[#This Row],[2]]/Tabela2[[#This Row],[1]]))</calculatedColumnFormula>
    </tableColumn>
    <tableColumn id="4" xr3:uid="{DECE2D7A-14D2-4236-AAB6-8E78091CEA68}" name="4" dataDxfId="3">
      <calculatedColumnFormula xml:space="preserve"> (1-(Tabela2[[#This Row],[4]]/Tabela2[[#This Row],[1]]))</calculatedColumnFormula>
    </tableColumn>
    <tableColumn id="5" xr3:uid="{A16427B1-B709-48CF-A9CA-ABFE877683F1}" name="8" dataDxfId="2">
      <calculatedColumnFormula xml:space="preserve"> (1-(Tabela2[[#This Row],[8]]/Tabela2[[#This Row],[1]]))</calculatedColumnFormula>
    </tableColumn>
    <tableColumn id="6" xr3:uid="{9A633B62-B465-4BCA-BACE-F26D08F09A9C}" name="16" dataDxfId="1">
      <calculatedColumnFormula xml:space="preserve"> (1-(Tabela2[[#This Row],[16]]/Tabela2[[#This Row],[1]]))</calculatedColumnFormula>
    </tableColumn>
    <tableColumn id="7" xr3:uid="{12E16282-5D08-4C33-8D87-F2BDD20116B4}" name="32" dataDxfId="0">
      <calculatedColumnFormula xml:space="preserve"> (1-(Tabela2[[#This Row],[32]]/Tabela2[[#This Row],[1]]))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5278EF-28B4-4D22-99A7-29C0FA3497BD}" name="Tabela2567" displayName="Tabela2567" ref="X5:AD11" totalsRowShown="0" headerRowDxfId="15" dataDxfId="14">
  <autoFilter ref="X5:AD11" xr:uid="{DEA69D93-B192-4D73-AFC0-688EAE9A10AC}"/>
  <tableColumns count="7">
    <tableColumn id="1" xr3:uid="{A840B4D1-6D62-412F-94F2-1C717C7030E2}" name="Test Number" dataDxfId="13"/>
    <tableColumn id="2" xr3:uid="{88DD8E3B-30CD-4128-8BE7-85582AC55699}" name="1" dataDxfId="12">
      <calculatedColumnFormula xml:space="preserve"> 1-(E6/E6)</calculatedColumnFormula>
    </tableColumn>
    <tableColumn id="3" xr3:uid="{C0FC5631-A363-44AF-9B9C-903D27880C08}" name="2" dataDxfId="11">
      <calculatedColumnFormula>1-(F6/E6)</calculatedColumnFormula>
    </tableColumn>
    <tableColumn id="4" xr3:uid="{08663EBF-28BC-4EA6-9B1A-AA461AFF1102}" name="4" dataDxfId="10">
      <calculatedColumnFormula xml:space="preserve"> 1-(G6/F6)</calculatedColumnFormula>
    </tableColumn>
    <tableColumn id="5" xr3:uid="{021AB8D5-2CED-4CA4-948D-45FD4F8436BC}" name="8" dataDxfId="9">
      <calculatedColumnFormula>1-(H6/G6)</calculatedColumnFormula>
    </tableColumn>
    <tableColumn id="6" xr3:uid="{C7036891-87BD-4161-A2B4-9A758FCFA7B6}" name="16" dataDxfId="8">
      <calculatedColumnFormula xml:space="preserve"> 1-(I6/H6)</calculatedColumnFormula>
    </tableColumn>
    <tableColumn id="7" xr3:uid="{A31F5841-AAB9-4E4F-BDE5-7B0D5E524EBA}" name="32" dataDxfId="7">
      <calculatedColumnFormula>1-(J6/I6)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1F4A-4EDA-4091-B3E6-30697D43672D}">
  <dimension ref="B3:AD47"/>
  <sheetViews>
    <sheetView tabSelected="1" topLeftCell="G55" zoomScale="70" zoomScaleNormal="70" workbookViewId="0">
      <selection activeCell="L13" sqref="L13"/>
    </sheetView>
  </sheetViews>
  <sheetFormatPr defaultRowHeight="15" x14ac:dyDescent="0.25"/>
  <cols>
    <col min="3" max="3" width="38.85546875" bestFit="1" customWidth="1"/>
    <col min="4" max="13" width="15.7109375" customWidth="1"/>
    <col min="14" max="20" width="13.28515625" customWidth="1"/>
    <col min="21" max="21" width="14.7109375" bestFit="1" customWidth="1"/>
    <col min="24" max="30" width="13.28515625" customWidth="1"/>
  </cols>
  <sheetData>
    <row r="3" spans="2:30" x14ac:dyDescent="0.25">
      <c r="D3" s="16" t="s">
        <v>0</v>
      </c>
      <c r="E3" s="16"/>
      <c r="F3" s="16"/>
      <c r="G3" s="16"/>
      <c r="H3" s="16"/>
      <c r="I3" s="16"/>
      <c r="J3" s="16"/>
      <c r="K3" s="9"/>
      <c r="L3" s="9"/>
      <c r="M3" s="9"/>
      <c r="N3" s="16" t="s">
        <v>27</v>
      </c>
      <c r="O3" s="16"/>
      <c r="P3" s="16"/>
      <c r="Q3" s="16"/>
      <c r="R3" s="16"/>
      <c r="S3" s="16"/>
      <c r="T3" s="16"/>
      <c r="X3" s="16" t="s">
        <v>16</v>
      </c>
      <c r="Y3" s="16"/>
      <c r="Z3" s="16"/>
      <c r="AA3" s="16"/>
      <c r="AB3" s="16"/>
      <c r="AC3" s="16"/>
      <c r="AD3" s="16"/>
    </row>
    <row r="4" spans="2:30" x14ac:dyDescent="0.25">
      <c r="D4" s="4"/>
      <c r="E4" s="15" t="s">
        <v>2</v>
      </c>
      <c r="F4" s="15"/>
      <c r="G4" s="15"/>
      <c r="H4" s="15"/>
      <c r="I4" s="15"/>
      <c r="J4" s="15"/>
      <c r="K4" s="10"/>
      <c r="L4" s="10"/>
      <c r="M4" s="10"/>
      <c r="N4" s="4"/>
      <c r="O4" s="15" t="s">
        <v>2</v>
      </c>
      <c r="P4" s="15"/>
      <c r="Q4" s="15"/>
      <c r="R4" s="15"/>
      <c r="S4" s="15"/>
      <c r="T4" s="15"/>
      <c r="X4" s="4"/>
      <c r="Y4" s="15" t="s">
        <v>2</v>
      </c>
      <c r="Z4" s="15"/>
      <c r="AA4" s="15"/>
      <c r="AB4" s="15"/>
      <c r="AC4" s="15"/>
      <c r="AD4" s="15"/>
    </row>
    <row r="5" spans="2:30" x14ac:dyDescent="0.25">
      <c r="C5" s="13" t="s">
        <v>20</v>
      </c>
      <c r="D5" s="5" t="s">
        <v>1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11"/>
      <c r="L5" s="11"/>
      <c r="M5" s="11"/>
      <c r="N5" s="5" t="s">
        <v>1</v>
      </c>
      <c r="O5" s="3" t="s">
        <v>8</v>
      </c>
      <c r="P5" s="3" t="s">
        <v>9</v>
      </c>
      <c r="Q5" s="3" t="s">
        <v>10</v>
      </c>
      <c r="R5" s="3" t="s">
        <v>11</v>
      </c>
      <c r="S5" s="3" t="s">
        <v>12</v>
      </c>
      <c r="T5" s="3" t="s">
        <v>13</v>
      </c>
      <c r="X5" s="5" t="s">
        <v>1</v>
      </c>
      <c r="Y5" s="3" t="s">
        <v>8</v>
      </c>
      <c r="Z5" s="3" t="s">
        <v>9</v>
      </c>
      <c r="AA5" s="3" t="s">
        <v>10</v>
      </c>
      <c r="AB5" s="3" t="s">
        <v>11</v>
      </c>
      <c r="AC5" s="3" t="s">
        <v>12</v>
      </c>
      <c r="AD5" s="3" t="s">
        <v>13</v>
      </c>
    </row>
    <row r="6" spans="2:30" ht="24.95" customHeight="1" x14ac:dyDescent="0.25">
      <c r="B6" s="14" t="s">
        <v>19</v>
      </c>
      <c r="C6" s="12" t="s">
        <v>21</v>
      </c>
      <c r="D6" s="2" t="s">
        <v>3</v>
      </c>
      <c r="E6" s="1">
        <f xml:space="preserve"> (115.291733 + 121.046976)/2</f>
        <v>118.1693545</v>
      </c>
      <c r="F6" s="1">
        <f t="shared" ref="F6" si="0">(69.637747+63.776001)/2</f>
        <v>66.706873999999999</v>
      </c>
      <c r="G6" s="1">
        <f xml:space="preserve"> (31.701855+31.637561)/2</f>
        <v>31.669708</v>
      </c>
      <c r="H6" s="1">
        <f>(16.800498+18.4736)/2</f>
        <v>17.637049000000001</v>
      </c>
      <c r="I6" s="1">
        <f>(11.633872+10.807999)/2</f>
        <v>11.2209355</v>
      </c>
      <c r="J6" s="1">
        <f>( 9.379049+7.403236)/2</f>
        <v>8.3911425000000008</v>
      </c>
      <c r="K6" s="1"/>
      <c r="L6" s="1"/>
      <c r="M6" s="14" t="s">
        <v>19</v>
      </c>
      <c r="N6" s="2" t="s">
        <v>3</v>
      </c>
      <c r="O6" s="6">
        <f xml:space="preserve"> (1-(Tabela2[[#This Row],[1]]/Tabela2[[#This Row],[1]]))</f>
        <v>0</v>
      </c>
      <c r="P6" s="6">
        <f xml:space="preserve"> (1-(Tabela2[[#This Row],[2]]/Tabela2[[#This Row],[1]]))</f>
        <v>0.43549768650043696</v>
      </c>
      <c r="Q6" s="6">
        <f xml:space="preserve"> (1-(Tabela2[[#This Row],[4]]/Tabela2[[#This Row],[1]]))</f>
        <v>0.73199728361044736</v>
      </c>
      <c r="R6" s="6">
        <f xml:space="preserve"> (1-(Tabela2[[#This Row],[8]]/Tabela2[[#This Row],[1]]))</f>
        <v>0.85074769110294157</v>
      </c>
      <c r="S6" s="6">
        <f xml:space="preserve"> (1-(Tabela2[[#This Row],[16]]/Tabela2[[#This Row],[1]]))</f>
        <v>0.90504360840864206</v>
      </c>
      <c r="T6" s="6">
        <f xml:space="preserve"> (1-(Tabela2[[#This Row],[32]]/Tabela2[[#This Row],[1]]))</f>
        <v>0.92899053620539151</v>
      </c>
      <c r="W6" s="14" t="s">
        <v>19</v>
      </c>
      <c r="X6" s="2" t="s">
        <v>3</v>
      </c>
      <c r="Y6" s="6">
        <f t="shared" ref="Y6" si="1" xml:space="preserve"> 1-(E6/E6)</f>
        <v>0</v>
      </c>
      <c r="Z6" s="6">
        <f t="shared" ref="Z6" si="2">1-(F6/E6)</f>
        <v>0.43549768650043696</v>
      </c>
      <c r="AA6" s="6">
        <f t="shared" ref="AA6" si="3" xml:space="preserve"> 1-(G6/F6)</f>
        <v>0.52524071207414091</v>
      </c>
      <c r="AB6" s="6">
        <f t="shared" ref="AB6" si="4">1-(H6/G6)</f>
        <v>0.44309404431515442</v>
      </c>
      <c r="AC6" s="6">
        <f t="shared" ref="AC6" si="5" xml:space="preserve"> 1-(I6/H6)</f>
        <v>0.36378611297162022</v>
      </c>
      <c r="AD6" s="6">
        <f t="shared" ref="AD6" si="6">1-(J6/I6)</f>
        <v>0.25218868783266768</v>
      </c>
    </row>
    <row r="7" spans="2:30" ht="24.95" customHeight="1" x14ac:dyDescent="0.25">
      <c r="B7" s="14"/>
      <c r="C7" s="12" t="s">
        <v>22</v>
      </c>
      <c r="D7" s="2" t="s">
        <v>4</v>
      </c>
      <c r="E7" s="1">
        <f xml:space="preserve"> (0.000045 + 0.000044)/2</f>
        <v>4.4499999999999997E-5</v>
      </c>
      <c r="F7" s="1">
        <f>(0.000518+0.000345)/2</f>
        <v>4.3150000000000003E-4</v>
      </c>
      <c r="G7" s="1">
        <f xml:space="preserve"> (0.000572+0.000684)/2</f>
        <v>6.2800000000000009E-4</v>
      </c>
      <c r="H7" s="1">
        <f>(0.001002+0.00098)/2</f>
        <v>9.9100000000000013E-4</v>
      </c>
      <c r="I7" s="1">
        <f>(0.002427+0.002473)/2</f>
        <v>2.4499999999999999E-3</v>
      </c>
      <c r="J7" s="1">
        <f>( 0.004799+0.004893)/2</f>
        <v>4.8459999999999996E-3</v>
      </c>
      <c r="K7" s="1"/>
      <c r="L7" s="1"/>
      <c r="M7" s="14"/>
      <c r="N7" s="2" t="s">
        <v>4</v>
      </c>
      <c r="O7" s="6">
        <f xml:space="preserve"> (1-(Tabela2[[#This Row],[1]]/Tabela2[[#This Row],[1]]))</f>
        <v>0</v>
      </c>
      <c r="P7" s="6">
        <f xml:space="preserve"> (1-(Tabela2[[#This Row],[2]]/Tabela2[[#This Row],[1]]))</f>
        <v>-8.6966292134831473</v>
      </c>
      <c r="Q7" s="6">
        <f xml:space="preserve"> (1-(Tabela2[[#This Row],[4]]/Tabela2[[#This Row],[1]]))</f>
        <v>-13.1123595505618</v>
      </c>
      <c r="R7" s="6">
        <f xml:space="preserve"> (1-(Tabela2[[#This Row],[8]]/Tabela2[[#This Row],[1]]))</f>
        <v>-21.269662921348317</v>
      </c>
      <c r="S7" s="6">
        <f xml:space="preserve"> (1-(Tabela2[[#This Row],[16]]/Tabela2[[#This Row],[1]]))</f>
        <v>-54.056179775280903</v>
      </c>
      <c r="T7" s="6">
        <f xml:space="preserve"> (1-(Tabela2[[#This Row],[32]]/Tabela2[[#This Row],[1]]))</f>
        <v>-107.89887640449437</v>
      </c>
      <c r="W7" s="14"/>
      <c r="X7" s="2" t="s">
        <v>4</v>
      </c>
      <c r="Y7" s="6">
        <f xml:space="preserve"> 1-(E7/E7)</f>
        <v>0</v>
      </c>
      <c r="Z7" s="6">
        <f>1-(F7/E7)</f>
        <v>-8.6966292134831473</v>
      </c>
      <c r="AA7" s="6">
        <f xml:space="preserve"> 1-(G7/F7)</f>
        <v>-0.45538818076477416</v>
      </c>
      <c r="AB7" s="6">
        <f>1-(H7/G7)</f>
        <v>-0.57802547770700641</v>
      </c>
      <c r="AC7" s="6">
        <f xml:space="preserve"> 1-(I7/H7)</f>
        <v>-1.4722502522704337</v>
      </c>
      <c r="AD7" s="6">
        <f>1-(J7/I7)</f>
        <v>-0.97795918367346935</v>
      </c>
    </row>
    <row r="8" spans="2:30" ht="24.95" customHeight="1" x14ac:dyDescent="0.25">
      <c r="B8" s="14"/>
      <c r="C8" s="12" t="s">
        <v>23</v>
      </c>
      <c r="D8" s="2" t="s">
        <v>5</v>
      </c>
      <c r="E8" s="1">
        <f xml:space="preserve"> (641.820991 + 641.381809)/2</f>
        <v>641.60140000000001</v>
      </c>
      <c r="F8" s="1">
        <f>(351.604489+331.806287)/2</f>
        <v>341.70538799999997</v>
      </c>
      <c r="G8" s="1">
        <f xml:space="preserve"> (169.139632+168.764377)/2</f>
        <v>168.95200449999999</v>
      </c>
      <c r="H8" s="1">
        <f>(88.226731+87.681122)/2</f>
        <v>87.953926499999994</v>
      </c>
      <c r="I8" s="1">
        <f>(51.953409+46.507558)/2</f>
        <v>49.230483500000005</v>
      </c>
      <c r="J8" s="1">
        <f>( 37.185181+28.653873)/2</f>
        <v>32.919527000000002</v>
      </c>
      <c r="K8" s="1"/>
      <c r="L8" s="1"/>
      <c r="M8" s="14"/>
      <c r="N8" s="2" t="s">
        <v>5</v>
      </c>
      <c r="O8" s="6">
        <f xml:space="preserve"> (1-(Tabela2[[#This Row],[1]]/Tabela2[[#This Row],[1]]))</f>
        <v>0</v>
      </c>
      <c r="P8" s="6">
        <f xml:space="preserve"> (1-(Tabela2[[#This Row],[2]]/Tabela2[[#This Row],[1]]))</f>
        <v>0.46741795139474451</v>
      </c>
      <c r="Q8" s="6">
        <f xml:space="preserve"> (1-(Tabela2[[#This Row],[4]]/Tabela2[[#This Row],[1]]))</f>
        <v>0.73667139052377384</v>
      </c>
      <c r="R8" s="6">
        <f xml:space="preserve"> (1-(Tabela2[[#This Row],[8]]/Tabela2[[#This Row],[1]]))</f>
        <v>0.86291500221165351</v>
      </c>
      <c r="S8" s="6">
        <f xml:space="preserve"> (1-(Tabela2[[#This Row],[16]]/Tabela2[[#This Row],[1]]))</f>
        <v>0.92326936396959236</v>
      </c>
      <c r="T8" s="6">
        <f xml:space="preserve"> (1-(Tabela2[[#This Row],[32]]/Tabela2[[#This Row],[1]]))</f>
        <v>0.94869162224396641</v>
      </c>
      <c r="W8" s="14"/>
      <c r="X8" s="2" t="s">
        <v>5</v>
      </c>
      <c r="Y8" s="6">
        <f xml:space="preserve"> 1-(E8/E8)</f>
        <v>0</v>
      </c>
      <c r="Z8" s="6">
        <f>1-(F8/E8)</f>
        <v>0.46741795139474451</v>
      </c>
      <c r="AA8" s="6">
        <f xml:space="preserve"> 1-(G8/F8)</f>
        <v>0.5055623632718369</v>
      </c>
      <c r="AB8" s="6">
        <f>1-(H8/G8)</f>
        <v>0.4794147204095468</v>
      </c>
      <c r="AC8" s="6">
        <f xml:space="preserve"> 1-(I8/H8)</f>
        <v>0.44026963367007832</v>
      </c>
      <c r="AD8" s="6">
        <f>1-(J8/I8)</f>
        <v>0.33131822684617751</v>
      </c>
    </row>
    <row r="9" spans="2:30" ht="24.95" customHeight="1" x14ac:dyDescent="0.25">
      <c r="B9" s="14"/>
      <c r="C9" s="12" t="s">
        <v>24</v>
      </c>
      <c r="D9" s="2" t="s">
        <v>6</v>
      </c>
      <c r="E9" s="1">
        <f xml:space="preserve"> (19.312591 + 19.434344)/2</f>
        <v>19.3734675</v>
      </c>
      <c r="F9" s="1">
        <f>(12.112366+10.083358)/2</f>
        <v>11.097861999999999</v>
      </c>
      <c r="G9" s="1">
        <f xml:space="preserve"> (5.167802+4.896852)/2</f>
        <v>5.0323270000000004</v>
      </c>
      <c r="H9" s="1">
        <f>(2.947437+3.203083)/2</f>
        <v>3.0752600000000001</v>
      </c>
      <c r="I9" s="1">
        <f>(1.688419+1.7613)/2</f>
        <v>1.7248595</v>
      </c>
      <c r="J9" s="1">
        <f>( 1.041384+0.995091)/2</f>
        <v>1.0182375000000001</v>
      </c>
      <c r="K9" s="1"/>
      <c r="L9" s="1"/>
      <c r="M9" s="14"/>
      <c r="N9" s="2" t="s">
        <v>6</v>
      </c>
      <c r="O9" s="6">
        <f xml:space="preserve"> (1-(Tabela2[[#This Row],[1]]/Tabela2[[#This Row],[1]]))</f>
        <v>0</v>
      </c>
      <c r="P9" s="6">
        <f xml:space="preserve"> (1-(Tabela2[[#This Row],[2]]/Tabela2[[#This Row],[1]]))</f>
        <v>0.42716181292791289</v>
      </c>
      <c r="Q9" s="6">
        <f xml:space="preserve"> (1-(Tabela2[[#This Row],[4]]/Tabela2[[#This Row],[1]]))</f>
        <v>0.74024644788032912</v>
      </c>
      <c r="R9" s="6">
        <f xml:space="preserve"> (1-(Tabela2[[#This Row],[8]]/Tabela2[[#This Row],[1]]))</f>
        <v>0.84126434774776382</v>
      </c>
      <c r="S9" s="6">
        <f xml:space="preserve"> (1-(Tabela2[[#This Row],[16]]/Tabela2[[#This Row],[1]]))</f>
        <v>0.9109679514005431</v>
      </c>
      <c r="T9" s="6">
        <f xml:space="preserve"> (1-(Tabela2[[#This Row],[32]]/Tabela2[[#This Row],[1]]))</f>
        <v>0.94744164925561214</v>
      </c>
      <c r="W9" s="14"/>
      <c r="X9" s="2" t="s">
        <v>6</v>
      </c>
      <c r="Y9" s="6">
        <f xml:space="preserve"> 1-(E9/E9)</f>
        <v>0</v>
      </c>
      <c r="Z9" s="6">
        <f>1-(F9/E9)</f>
        <v>0.42716181292791289</v>
      </c>
      <c r="AA9" s="6">
        <f xml:space="preserve"> 1-(G9/F9)</f>
        <v>0.54654986699239894</v>
      </c>
      <c r="AB9" s="6">
        <f>1-(H9/G9)</f>
        <v>0.38889901232570934</v>
      </c>
      <c r="AC9" s="6">
        <f xml:space="preserve"> 1-(I9/H9)</f>
        <v>0.43911750551172912</v>
      </c>
      <c r="AD9" s="6">
        <f>1-(J9/I9)</f>
        <v>0.40966930929736589</v>
      </c>
    </row>
    <row r="10" spans="2:30" ht="24.95" customHeight="1" x14ac:dyDescent="0.25">
      <c r="B10" s="14"/>
      <c r="C10" s="12" t="s">
        <v>25</v>
      </c>
      <c r="D10" s="2" t="s">
        <v>7</v>
      </c>
      <c r="E10" s="1">
        <f xml:space="preserve"> (321.240882 + 322.843109)/2</f>
        <v>322.04199549999998</v>
      </c>
      <c r="F10" s="1">
        <f>(166.84045+166.310545)/2</f>
        <v>166.57549749999998</v>
      </c>
      <c r="G10" s="1">
        <f xml:space="preserve"> (84.520775+85.277505)/2</f>
        <v>84.899140000000003</v>
      </c>
      <c r="H10" s="1">
        <f>(44.74619+44.22655)/2</f>
        <v>44.486370000000001</v>
      </c>
      <c r="I10" s="1">
        <f>(34.314269+23.420126)/2</f>
        <v>28.867197500000003</v>
      </c>
      <c r="J10" s="1">
        <f>( 20.860045+20.431398)/2</f>
        <v>20.645721500000001</v>
      </c>
      <c r="K10" s="1"/>
      <c r="L10" s="1"/>
      <c r="M10" s="14"/>
      <c r="N10" s="2" t="s">
        <v>7</v>
      </c>
      <c r="O10" s="6">
        <f xml:space="preserve"> (1-(Tabela2[[#This Row],[1]]/Tabela2[[#This Row],[1]]))</f>
        <v>0</v>
      </c>
      <c r="P10" s="6">
        <f xml:space="preserve"> (1-(Tabela2[[#This Row],[2]]/Tabela2[[#This Row],[1]]))</f>
        <v>0.48275225024184776</v>
      </c>
      <c r="Q10" s="6">
        <f xml:space="preserve"> (1-(Tabela2[[#This Row],[4]]/Tabela2[[#This Row],[1]]))</f>
        <v>0.73637245705117982</v>
      </c>
      <c r="R10" s="6">
        <f xml:space="preserve"> (1-(Tabela2[[#This Row],[8]]/Tabela2[[#This Row],[1]]))</f>
        <v>0.86186158755186326</v>
      </c>
      <c r="S10" s="6">
        <f xml:space="preserve"> (1-(Tabela2[[#This Row],[16]]/Tabela2[[#This Row],[1]]))</f>
        <v>0.91036200898214836</v>
      </c>
      <c r="T10" s="6">
        <f xml:space="preserve"> (1-(Tabela2[[#This Row],[32]]/Tabela2[[#This Row],[1]]))</f>
        <v>0.93589121360415861</v>
      </c>
      <c r="W10" s="14"/>
      <c r="X10" s="2" t="s">
        <v>7</v>
      </c>
      <c r="Y10" s="6">
        <f xml:space="preserve"> 1-(E10/E10)</f>
        <v>0</v>
      </c>
      <c r="Z10" s="6">
        <f>1-(F10/E10)</f>
        <v>0.48275225024184776</v>
      </c>
      <c r="AA10" s="6">
        <f xml:space="preserve"> 1-(G10/F10)</f>
        <v>0.4903263608742936</v>
      </c>
      <c r="AB10" s="6">
        <f>1-(H10/G10)</f>
        <v>0.47600917983385937</v>
      </c>
      <c r="AC10" s="6">
        <f xml:space="preserve"> 1-(I10/H10)</f>
        <v>0.35110017967300988</v>
      </c>
      <c r="AD10" s="6">
        <f>1-(J10/I10)</f>
        <v>0.28480340012223226</v>
      </c>
    </row>
    <row r="11" spans="2:30" ht="24.95" customHeight="1" x14ac:dyDescent="0.25">
      <c r="B11" s="14"/>
      <c r="C11" s="12" t="s">
        <v>26</v>
      </c>
      <c r="D11" s="2" t="s">
        <v>17</v>
      </c>
      <c r="E11" s="1">
        <f xml:space="preserve"> (642.301827 + 644.740102)/2</f>
        <v>643.52096449999999</v>
      </c>
      <c r="F11" s="1">
        <f xml:space="preserve"> (335.84779 + 346.630437)/2</f>
        <v>341.23911349999997</v>
      </c>
      <c r="G11" s="1">
        <f xml:space="preserve"> (167.712181 + 170.962353)/2</f>
        <v>169.337267</v>
      </c>
      <c r="H11" s="1">
        <f xml:space="preserve"> (86.554521 + 88.765304)/2</f>
        <v>87.65991249999999</v>
      </c>
      <c r="I11" s="1">
        <f xml:space="preserve"> (47.71924 + 46.077334)/2</f>
        <v>46.898286999999996</v>
      </c>
      <c r="J11" s="1">
        <f xml:space="preserve"> (30.720748 + 32.698694)/2</f>
        <v>31.709721000000002</v>
      </c>
      <c r="K11" s="1"/>
      <c r="L11" s="1"/>
      <c r="M11" s="14"/>
      <c r="N11" s="2" t="s">
        <v>17</v>
      </c>
      <c r="O11" s="6">
        <f xml:space="preserve"> (1-(Tabela2[[#This Row],[1]]/Tabela2[[#This Row],[1]]))</f>
        <v>0</v>
      </c>
      <c r="P11" s="6">
        <f xml:space="preserve"> (1-(Tabela2[[#This Row],[2]]/Tabela2[[#This Row],[1]]))</f>
        <v>0.46973116289205219</v>
      </c>
      <c r="Q11" s="6">
        <f xml:space="preserve"> (1-(Tabela2[[#This Row],[4]]/Tabela2[[#This Row],[1]]))</f>
        <v>0.73685819679305875</v>
      </c>
      <c r="R11" s="6">
        <f xml:space="preserve"> (1-(Tabela2[[#This Row],[8]]/Tabela2[[#This Row],[1]]))</f>
        <v>0.8637807976184434</v>
      </c>
      <c r="S11" s="6">
        <f xml:space="preserve"> (1-(Tabela2[[#This Row],[16]]/Tabela2[[#This Row],[1]]))</f>
        <v>0.92712236339271592</v>
      </c>
      <c r="T11" s="6">
        <f xml:space="preserve"> (1-(Tabela2[[#This Row],[32]]/Tabela2[[#This Row],[1]]))</f>
        <v>0.95072464962406056</v>
      </c>
      <c r="W11" s="14"/>
      <c r="X11" s="2" t="s">
        <v>17</v>
      </c>
      <c r="Y11" s="7">
        <f xml:space="preserve"> 1-(E11/E11)</f>
        <v>0</v>
      </c>
      <c r="Z11" s="7">
        <f>1-(F11/E11)</f>
        <v>0.46973116289205219</v>
      </c>
      <c r="AA11" s="7">
        <f xml:space="preserve"> 1-(G11/F11)</f>
        <v>0.50375774551998997</v>
      </c>
      <c r="AB11" s="8">
        <f>1-(H11/G11)</f>
        <v>0.48233537689019157</v>
      </c>
      <c r="AC11" s="8">
        <f xml:space="preserve"> 1-(I11/H11)</f>
        <v>0.46499733273176602</v>
      </c>
      <c r="AD11" s="8">
        <f>1-(J11/I11)</f>
        <v>0.32386185022067004</v>
      </c>
    </row>
    <row r="12" spans="2:30" ht="24.95" customHeight="1" x14ac:dyDescent="0.25"/>
    <row r="30" spans="15:21" x14ac:dyDescent="0.25">
      <c r="O30" s="26" t="s">
        <v>28</v>
      </c>
    </row>
    <row r="31" spans="15:21" x14ac:dyDescent="0.25">
      <c r="O31" s="25" t="s">
        <v>30</v>
      </c>
      <c r="P31" s="24" t="s">
        <v>8</v>
      </c>
      <c r="Q31" s="24" t="s">
        <v>9</v>
      </c>
      <c r="R31" s="24" t="s">
        <v>10</v>
      </c>
      <c r="S31" s="24" t="s">
        <v>11</v>
      </c>
      <c r="T31" s="24" t="s">
        <v>12</v>
      </c>
      <c r="U31" s="24" t="s">
        <v>13</v>
      </c>
    </row>
    <row r="32" spans="15:21" x14ac:dyDescent="0.25">
      <c r="O32" s="26" t="s">
        <v>3</v>
      </c>
      <c r="P32" s="21"/>
      <c r="Q32" s="6">
        <f>($E6/F6)/Q$31</f>
        <v>0.88573596253363629</v>
      </c>
      <c r="R32" s="22">
        <f t="shared" ref="R32:U32" si="7">($E6/G6)/R$31</f>
        <v>0.93282636597091451</v>
      </c>
      <c r="S32" s="6">
        <f t="shared" si="7"/>
        <v>0.83750798177745034</v>
      </c>
      <c r="T32" s="6">
        <f t="shared" si="7"/>
        <v>0.658196872823126</v>
      </c>
      <c r="U32" s="6">
        <f t="shared" si="7"/>
        <v>0.44008218524771803</v>
      </c>
    </row>
    <row r="33" spans="15:21" x14ac:dyDescent="0.25">
      <c r="O33" s="26" t="s">
        <v>4</v>
      </c>
      <c r="P33" s="21"/>
      <c r="Q33" s="6">
        <f t="shared" ref="Q33:Q37" si="8">($E7/F7)/Q$31</f>
        <v>5.1564310544611816E-2</v>
      </c>
      <c r="R33" s="6">
        <f t="shared" ref="R33:R37" si="9">($E7/G7)/R$31</f>
        <v>1.7714968152866238E-2</v>
      </c>
      <c r="S33" s="6">
        <f t="shared" ref="S33:S37" si="10">($E7/H7)/S$31</f>
        <v>5.6130171543895043E-3</v>
      </c>
      <c r="T33" s="6">
        <f t="shared" ref="T33:T37" si="11">($E7/I7)/T$31</f>
        <v>1.135204081632653E-3</v>
      </c>
      <c r="U33" s="6">
        <f t="shared" ref="U33:U37" si="12">($E7/J7)/U$31</f>
        <v>2.8696347503095337E-4</v>
      </c>
    </row>
    <row r="34" spans="15:21" x14ac:dyDescent="0.25">
      <c r="O34" s="26" t="s">
        <v>5</v>
      </c>
      <c r="P34" s="21"/>
      <c r="Q34" s="6">
        <f t="shared" si="8"/>
        <v>0.93882248061010976</v>
      </c>
      <c r="R34" s="22">
        <f t="shared" si="9"/>
        <v>0.94938411932247901</v>
      </c>
      <c r="S34" s="6">
        <f t="shared" si="10"/>
        <v>0.91184303181734594</v>
      </c>
      <c r="T34" s="6">
        <f t="shared" si="11"/>
        <v>0.81453775484451618</v>
      </c>
      <c r="U34" s="6">
        <f t="shared" si="12"/>
        <v>0.60906232796115201</v>
      </c>
    </row>
    <row r="35" spans="15:21" x14ac:dyDescent="0.25">
      <c r="O35" s="26" t="s">
        <v>6</v>
      </c>
      <c r="P35" s="21"/>
      <c r="Q35" s="6">
        <f t="shared" si="8"/>
        <v>0.87284683752600278</v>
      </c>
      <c r="R35" s="22">
        <f t="shared" si="9"/>
        <v>0.96245074594715319</v>
      </c>
      <c r="S35" s="6">
        <f t="shared" si="10"/>
        <v>0.78747274620682473</v>
      </c>
      <c r="T35" s="6">
        <f t="shared" si="11"/>
        <v>0.70199440519648126</v>
      </c>
      <c r="U35" s="6">
        <f t="shared" si="12"/>
        <v>0.5945772566567229</v>
      </c>
    </row>
    <row r="36" spans="15:21" x14ac:dyDescent="0.25">
      <c r="O36" s="26" t="s">
        <v>7</v>
      </c>
      <c r="P36" s="21"/>
      <c r="Q36" s="22">
        <f t="shared" si="8"/>
        <v>0.96665476115417281</v>
      </c>
      <c r="R36" s="6">
        <f t="shared" si="9"/>
        <v>0.94830759033601508</v>
      </c>
      <c r="S36" s="6">
        <f t="shared" si="10"/>
        <v>0.90488950744913543</v>
      </c>
      <c r="T36" s="6">
        <f t="shared" si="11"/>
        <v>0.69724900447125138</v>
      </c>
      <c r="U36" s="6">
        <f t="shared" si="12"/>
        <v>0.48745268405248027</v>
      </c>
    </row>
    <row r="37" spans="15:21" x14ac:dyDescent="0.25">
      <c r="O37" s="26" t="s">
        <v>17</v>
      </c>
      <c r="P37" s="21"/>
      <c r="Q37" s="6">
        <f t="shared" si="8"/>
        <v>0.94291794088253023</v>
      </c>
      <c r="R37" s="22">
        <f t="shared" si="9"/>
        <v>0.95005809397526186</v>
      </c>
      <c r="S37" s="6">
        <f t="shared" si="10"/>
        <v>0.91763861345971576</v>
      </c>
      <c r="T37" s="6">
        <f t="shared" si="11"/>
        <v>0.85760190518792301</v>
      </c>
      <c r="U37" s="6">
        <f t="shared" si="12"/>
        <v>0.634191330179947</v>
      </c>
    </row>
    <row r="40" spans="15:21" x14ac:dyDescent="0.25">
      <c r="O40" s="20" t="s">
        <v>29</v>
      </c>
    </row>
    <row r="41" spans="15:21" x14ac:dyDescent="0.25">
      <c r="O41" s="18" t="s">
        <v>1</v>
      </c>
      <c r="P41" s="19" t="s">
        <v>8</v>
      </c>
      <c r="Q41" s="19" t="s">
        <v>9</v>
      </c>
      <c r="R41" s="19" t="s">
        <v>10</v>
      </c>
      <c r="S41" s="19" t="s">
        <v>11</v>
      </c>
      <c r="T41" s="19" t="s">
        <v>12</v>
      </c>
      <c r="U41" s="19" t="s">
        <v>13</v>
      </c>
    </row>
    <row r="42" spans="15:21" x14ac:dyDescent="0.25">
      <c r="O42" s="20" t="s">
        <v>3</v>
      </c>
      <c r="P42" s="21"/>
      <c r="Q42" s="17">
        <f>Q$41*F6</f>
        <v>133.413748</v>
      </c>
      <c r="R42" s="23">
        <f t="shared" ref="R42:U42" si="13">R$41*G6</f>
        <v>126.678832</v>
      </c>
      <c r="S42" s="17">
        <f t="shared" si="13"/>
        <v>141.09639200000001</v>
      </c>
      <c r="T42" s="17">
        <f t="shared" si="13"/>
        <v>179.53496799999999</v>
      </c>
      <c r="U42" s="17">
        <f t="shared" si="13"/>
        <v>268.51656000000003</v>
      </c>
    </row>
    <row r="43" spans="15:21" x14ac:dyDescent="0.25">
      <c r="O43" s="20" t="s">
        <v>4</v>
      </c>
      <c r="P43" s="21"/>
      <c r="Q43" s="17">
        <f t="shared" ref="Q43:Q47" si="14">Q$41*F7</f>
        <v>8.6300000000000005E-4</v>
      </c>
      <c r="R43" s="17">
        <f t="shared" ref="R43:R47" si="15">R$41*G7</f>
        <v>2.5120000000000003E-3</v>
      </c>
      <c r="S43" s="17">
        <f t="shared" ref="S43:S47" si="16">S$41*H7</f>
        <v>7.928000000000001E-3</v>
      </c>
      <c r="T43" s="17">
        <f t="shared" ref="T43:T47" si="17">T$41*I7</f>
        <v>3.9199999999999999E-2</v>
      </c>
      <c r="U43" s="17">
        <f t="shared" ref="U43:U47" si="18">U$41*J7</f>
        <v>0.15507199999999999</v>
      </c>
    </row>
    <row r="44" spans="15:21" x14ac:dyDescent="0.25">
      <c r="O44" s="20" t="s">
        <v>5</v>
      </c>
      <c r="P44" s="21"/>
      <c r="Q44" s="17">
        <f t="shared" si="14"/>
        <v>683.41077599999994</v>
      </c>
      <c r="R44" s="23">
        <f t="shared" si="15"/>
        <v>675.80801799999995</v>
      </c>
      <c r="S44" s="17">
        <f t="shared" si="16"/>
        <v>703.63141199999995</v>
      </c>
      <c r="T44" s="17">
        <f t="shared" si="17"/>
        <v>787.68773600000009</v>
      </c>
      <c r="U44" s="17">
        <f t="shared" si="18"/>
        <v>1053.4248640000001</v>
      </c>
    </row>
    <row r="45" spans="15:21" x14ac:dyDescent="0.25">
      <c r="O45" s="20" t="s">
        <v>6</v>
      </c>
      <c r="P45" s="21"/>
      <c r="Q45" s="17">
        <f t="shared" si="14"/>
        <v>22.195723999999998</v>
      </c>
      <c r="R45" s="23">
        <f t="shared" si="15"/>
        <v>20.129308000000002</v>
      </c>
      <c r="S45" s="17">
        <f>S$41*H9</f>
        <v>24.602080000000001</v>
      </c>
      <c r="T45" s="17">
        <f t="shared" si="17"/>
        <v>27.597752</v>
      </c>
      <c r="U45" s="17">
        <f t="shared" si="18"/>
        <v>32.583600000000004</v>
      </c>
    </row>
    <row r="46" spans="15:21" x14ac:dyDescent="0.25">
      <c r="O46" s="20" t="s">
        <v>7</v>
      </c>
      <c r="P46" s="21"/>
      <c r="Q46" s="23">
        <f t="shared" si="14"/>
        <v>333.15099499999997</v>
      </c>
      <c r="R46" s="17">
        <f t="shared" si="15"/>
        <v>339.59656000000001</v>
      </c>
      <c r="S46" s="17">
        <f t="shared" si="16"/>
        <v>355.89096000000001</v>
      </c>
      <c r="T46" s="17">
        <f t="shared" si="17"/>
        <v>461.87516000000005</v>
      </c>
      <c r="U46" s="17">
        <f t="shared" si="18"/>
        <v>660.66308800000002</v>
      </c>
    </row>
    <row r="47" spans="15:21" x14ac:dyDescent="0.25">
      <c r="O47" s="20" t="s">
        <v>17</v>
      </c>
      <c r="P47" s="21"/>
      <c r="Q47" s="17">
        <f t="shared" si="14"/>
        <v>682.47822699999995</v>
      </c>
      <c r="R47" s="23">
        <f t="shared" si="15"/>
        <v>677.34906799999999</v>
      </c>
      <c r="S47" s="17">
        <f t="shared" si="16"/>
        <v>701.27929999999992</v>
      </c>
      <c r="T47" s="17">
        <f t="shared" si="17"/>
        <v>750.37259199999994</v>
      </c>
      <c r="U47" s="17">
        <f t="shared" si="18"/>
        <v>1014.7110720000001</v>
      </c>
    </row>
  </sheetData>
  <mergeCells count="9">
    <mergeCell ref="B6:B11"/>
    <mergeCell ref="M6:M11"/>
    <mergeCell ref="W6:W11"/>
    <mergeCell ref="Y4:AD4"/>
    <mergeCell ref="D3:J3"/>
    <mergeCell ref="E4:J4"/>
    <mergeCell ref="O4:T4"/>
    <mergeCell ref="N3:T3"/>
    <mergeCell ref="X3:AD3"/>
  </mergeCells>
  <phoneticPr fontId="3" type="noConversion"/>
  <conditionalFormatting sqref="Q32:U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U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U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U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:U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U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:U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0D5F-40E1-47D9-8B75-8AE7C82E5E33}">
  <dimension ref="B2:C3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18</v>
      </c>
      <c r="C2" t="s">
        <v>15</v>
      </c>
    </row>
    <row r="3" spans="2:3" x14ac:dyDescent="0.25">
      <c r="C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869-9212-48F7-8ACC-99AEC88D440B}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+ Dashs</vt:lpstr>
      <vt:lpstr>Folha1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Gato Rebimba</dc:creator>
  <cp:lastModifiedBy>Hugo Lopes</cp:lastModifiedBy>
  <dcterms:created xsi:type="dcterms:W3CDTF">2021-05-28T23:22:36Z</dcterms:created>
  <dcterms:modified xsi:type="dcterms:W3CDTF">2021-06-03T15:49:31Z</dcterms:modified>
</cp:coreProperties>
</file>