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ogo/Desktop/"/>
    </mc:Choice>
  </mc:AlternateContent>
  <xr:revisionPtr revIDLastSave="0" documentId="13_ncr:1_{BA096F3B-84DD-5641-B23D-61FDA7F71B60}" xr6:coauthVersionLast="45" xr6:coauthVersionMax="45" xr10:uidLastSave="{00000000-0000-0000-0000-000000000000}"/>
  <bookViews>
    <workbookView xWindow="14400" yWindow="460" windowWidth="14400" windowHeight="17540" xr2:uid="{F0DF6AE6-5800-AA4E-881F-A04D633E4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4" i="1" l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C127" i="1" l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B124" i="1"/>
  <c r="B123" i="1"/>
  <c r="B122" i="1"/>
  <c r="B121" i="1"/>
  <c r="B120" i="1"/>
  <c r="B119" i="1"/>
  <c r="B118" i="1"/>
  <c r="B117" i="1"/>
  <c r="B116" i="1"/>
  <c r="B115" i="1"/>
  <c r="B114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G105" i="1" l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F92" i="1"/>
  <c r="E77" i="1" l="1"/>
  <c r="E76" i="1"/>
  <c r="E75" i="1"/>
  <c r="E74" i="1"/>
  <c r="E73" i="1"/>
  <c r="E72" i="1"/>
  <c r="E71" i="1"/>
  <c r="E70" i="1"/>
  <c r="E69" i="1"/>
  <c r="D72" i="1"/>
  <c r="D71" i="1"/>
  <c r="D70" i="1"/>
  <c r="D69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G9" i="1" l="1"/>
  <c r="G8" i="1"/>
  <c r="G7" i="1"/>
  <c r="G6" i="1"/>
  <c r="F19" i="1" l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D19" i="1"/>
  <c r="D18" i="1"/>
  <c r="D17" i="1"/>
  <c r="D16" i="1"/>
  <c r="D15" i="1"/>
  <c r="D13" i="1"/>
  <c r="D14" i="1"/>
  <c r="D12" i="1"/>
  <c r="D11" i="1"/>
  <c r="D10" i="1"/>
  <c r="D9" i="1"/>
  <c r="D8" i="1"/>
  <c r="D7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<sst xmlns="http://schemas.openxmlformats.org/spreadsheetml/2006/main" count="44" uniqueCount="21">
  <si>
    <t>Searches</t>
  </si>
  <si>
    <t>Expanded</t>
  </si>
  <si>
    <t>BFS</t>
  </si>
  <si>
    <t>DFS 15</t>
  </si>
  <si>
    <t>DFS 18</t>
  </si>
  <si>
    <t>IDFS</t>
  </si>
  <si>
    <t>A*</t>
  </si>
  <si>
    <t xml:space="preserve">Visited </t>
  </si>
  <si>
    <t>Depth found</t>
  </si>
  <si>
    <t>Optimal</t>
  </si>
  <si>
    <t>Greedy</t>
  </si>
  <si>
    <t>Bidirectional</t>
  </si>
  <si>
    <t xml:space="preserve">Improved </t>
  </si>
  <si>
    <t>heuristic</t>
  </si>
  <si>
    <t>A* improved</t>
  </si>
  <si>
    <t xml:space="preserve">Greedy </t>
  </si>
  <si>
    <t>Greedy Improved</t>
  </si>
  <si>
    <t>descendants</t>
  </si>
  <si>
    <t xml:space="preserve">Graph search </t>
  </si>
  <si>
    <t>BFS graph</t>
  </si>
  <si>
    <t>A*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</si>
</sst>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Sheet1!$B$6:$B$19</c:f>
              <c:numCache>
                <c:formatCode>General</c:formatCode>
                <c:ptCount val="14"/>
                <c:pt idx="0">
                  <c:v>0.92941892571429274</c:v>
                </c:pt>
                <c:pt idx="1">
                  <c:v>1.3463529744506386</c:v>
                </c:pt>
                <c:pt idx="2">
                  <c:v>1.5340261060561351</c:v>
                </c:pt>
                <c:pt idx="3">
                  <c:v>2.1687920203141817</c:v>
                </c:pt>
                <c:pt idx="4">
                  <c:v>2.466274321789292</c:v>
                </c:pt>
                <c:pt idx="5">
                  <c:v>3.2835725779669245</c:v>
                </c:pt>
                <c:pt idx="6">
                  <c:v>3.395745629992168</c:v>
                </c:pt>
                <c:pt idx="7">
                  <c:v>4.0090470096602795</c:v>
                </c:pt>
                <c:pt idx="8">
                  <c:v>4.335483977635187</c:v>
                </c:pt>
                <c:pt idx="9">
                  <c:v>4.9734192875156182</c:v>
                </c:pt>
                <c:pt idx="10">
                  <c:v>5.4611117815213701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05-4144-A2FE-0D5DAE343C0C}"/>
            </c:ext>
          </c:extLst>
        </c:ser>
        <c:ser>
          <c:idx val="1"/>
          <c:order val="1"/>
          <c:tx>
            <c:strRef>
              <c:f>Sheet1!$C$5</c:f>
              <c:strCache>
                <c:ptCount val="1"/>
                <c:pt idx="0">
                  <c:v>DFS 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Sheet1!$C$6:$C$19</c:f>
              <c:numCache>
                <c:formatCode>General</c:formatCode>
                <c:ptCount val="14"/>
                <c:pt idx="0">
                  <c:v>1.5809249756756194</c:v>
                </c:pt>
                <c:pt idx="1">
                  <c:v>2.1126887693970975</c:v>
                </c:pt>
                <c:pt idx="2">
                  <c:v>2.1798389280231869</c:v>
                </c:pt>
                <c:pt idx="3">
                  <c:v>2.6681062379327312</c:v>
                </c:pt>
                <c:pt idx="4">
                  <c:v>2.5827449656912771</c:v>
                </c:pt>
                <c:pt idx="5">
                  <c:v>3.7082678927409423</c:v>
                </c:pt>
                <c:pt idx="6">
                  <c:v>2.9179254220647413</c:v>
                </c:pt>
                <c:pt idx="7">
                  <c:v>4.4735891449813794</c:v>
                </c:pt>
                <c:pt idx="8">
                  <c:v>3.6682833887237569</c:v>
                </c:pt>
                <c:pt idx="9">
                  <c:v>5.2792689626045153</c:v>
                </c:pt>
                <c:pt idx="10">
                  <c:v>5.8659809795843731</c:v>
                </c:pt>
                <c:pt idx="11">
                  <c:v>5.9441429012491938</c:v>
                </c:pt>
                <c:pt idx="12">
                  <c:v>6.0067012249686957</c:v>
                </c:pt>
                <c:pt idx="13">
                  <c:v>6.4965332080485689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05-4144-A2FE-0D5DAE343C0C}"/>
            </c:ext>
          </c:extLst>
        </c:ser>
        <c:ser>
          <c:idx val="2"/>
          <c:order val="2"/>
          <c:tx>
            <c:strRef>
              <c:f>Sheet1!$D$5</c:f>
              <c:strCache>
                <c:ptCount val="1"/>
                <c:pt idx="0">
                  <c:v>DFS 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Sheet1!$D$6:$D$19</c:f>
              <c:numCache>
                <c:formatCode>General</c:formatCode>
                <c:ptCount val="14"/>
                <c:pt idx="0">
                  <c:v>2.0013009330204179</c:v>
                </c:pt>
                <c:pt idx="1">
                  <c:v>2.2713250231517224</c:v>
                </c:pt>
                <c:pt idx="2">
                  <c:v>2.4847742142069817</c:v>
                </c:pt>
                <c:pt idx="3">
                  <c:v>2.4694947408704029</c:v>
                </c:pt>
                <c:pt idx="4">
                  <c:v>3.3314497921898099</c:v>
                </c:pt>
                <c:pt idx="5">
                  <c:v>3.5533570263076069</c:v>
                </c:pt>
                <c:pt idx="6">
                  <c:v>3.6915677004380569</c:v>
                </c:pt>
                <c:pt idx="7">
                  <c:v>4.5597067796729016</c:v>
                </c:pt>
                <c:pt idx="8">
                  <c:v>4.6995099309067658</c:v>
                </c:pt>
                <c:pt idx="9">
                  <c:v>4.849995224586773</c:v>
                </c:pt>
                <c:pt idx="10">
                  <c:v>5.5754247941800648</c:v>
                </c:pt>
                <c:pt idx="11">
                  <c:v>7.1563153537869004</c:v>
                </c:pt>
                <c:pt idx="12">
                  <c:v>6.7510216851273279</c:v>
                </c:pt>
                <c:pt idx="13">
                  <c:v>7.0749388118288739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05-4144-A2FE-0D5DAE343C0C}"/>
            </c:ext>
          </c:extLst>
        </c:ser>
        <c:ser>
          <c:idx val="3"/>
          <c:order val="3"/>
          <c:tx>
            <c:strRef>
              <c:f>Sheet1!$E$5</c:f>
              <c:strCache>
                <c:ptCount val="1"/>
                <c:pt idx="0">
                  <c:v>IDFS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Sheet1!$E$6:$E$19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1.0827853703164501</c:v>
                </c:pt>
                <c:pt idx="2">
                  <c:v>1.2764618041732441</c:v>
                </c:pt>
                <c:pt idx="3">
                  <c:v>1.885926339801431</c:v>
                </c:pt>
                <c:pt idx="4">
                  <c:v>2.173186268412274</c:v>
                </c:pt>
                <c:pt idx="5">
                  <c:v>2.9996089589714172</c:v>
                </c:pt>
                <c:pt idx="6">
                  <c:v>3.1145109048488742</c:v>
                </c:pt>
                <c:pt idx="7">
                  <c:v>4.7446957902422806</c:v>
                </c:pt>
                <c:pt idx="8">
                  <c:v>4.0565542265711692</c:v>
                </c:pt>
                <c:pt idx="9">
                  <c:v>4.6982171541367252</c:v>
                </c:pt>
                <c:pt idx="10">
                  <c:v>5.1842677161054596</c:v>
                </c:pt>
                <c:pt idx="11">
                  <c:v>6.1220880621690785</c:v>
                </c:pt>
                <c:pt idx="12">
                  <c:v>6.1511340351323014</c:v>
                </c:pt>
                <c:pt idx="13">
                  <c:v>6.6527714810142031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05-4144-A2FE-0D5DAE343C0C}"/>
            </c:ext>
          </c:extLst>
        </c:ser>
        <c:ser>
          <c:idx val="4"/>
          <c:order val="4"/>
          <c:tx>
            <c:strRef>
              <c:f>Sheet1!$F$5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Sheet1!$F$6:$F$19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1</c:v>
                </c:pt>
                <c:pt idx="2">
                  <c:v>1.209515014542631</c:v>
                </c:pt>
                <c:pt idx="3">
                  <c:v>1.5440680443502757</c:v>
                </c:pt>
                <c:pt idx="4">
                  <c:v>1.9777236052888478</c:v>
                </c:pt>
                <c:pt idx="5">
                  <c:v>2.2309595557485689</c:v>
                </c:pt>
                <c:pt idx="6">
                  <c:v>2.5094713521025485</c:v>
                </c:pt>
                <c:pt idx="7">
                  <c:v>2.4991369945373827</c:v>
                </c:pt>
                <c:pt idx="8">
                  <c:v>3.1734776434529945</c:v>
                </c:pt>
                <c:pt idx="9">
                  <c:v>3.4654720808734973</c:v>
                </c:pt>
                <c:pt idx="10">
                  <c:v>3.9664608805776478</c:v>
                </c:pt>
                <c:pt idx="11">
                  <c:v>4.3208771141874349</c:v>
                </c:pt>
                <c:pt idx="12">
                  <c:v>4.4982498861961977</c:v>
                </c:pt>
                <c:pt idx="13">
                  <c:v>4.4402760615951111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05-4144-A2FE-0D5DAE343C0C}"/>
            </c:ext>
          </c:extLst>
        </c:ser>
        <c:ser>
          <c:idx val="5"/>
          <c:order val="5"/>
          <c:tx>
            <c:strRef>
              <c:f>Sheet1!$G$5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Sheet1!$G$6:$G$19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0.94448267215016868</c:v>
                </c:pt>
                <c:pt idx="2">
                  <c:v>0.9493900066449128</c:v>
                </c:pt>
                <c:pt idx="3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C8-2448-99ED-D000612FF9E4}"/>
            </c:ext>
          </c:extLst>
        </c:ser>
        <c:ser>
          <c:idx val="6"/>
          <c:order val="6"/>
          <c:tx>
            <c:strRef>
              <c:f>Sheet1!$H$5</c:f>
              <c:strCache>
                <c:ptCount val="1"/>
                <c:pt idx="0">
                  <c:v>Bidirectional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Sheet1!$A$6:$A$19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Sheet1!$H$6:$H$19</c:f>
              <c:numCache>
                <c:formatCode>General</c:formatCode>
                <c:ptCount val="14"/>
                <c:pt idx="0">
                  <c:v>1.6384892569546374</c:v>
                </c:pt>
                <c:pt idx="1">
                  <c:v>1.7505083948513462</c:v>
                </c:pt>
                <c:pt idx="2">
                  <c:v>1.6919651027673603</c:v>
                </c:pt>
                <c:pt idx="3">
                  <c:v>2.1132746924643504</c:v>
                </c:pt>
                <c:pt idx="4">
                  <c:v>2.265996370495079</c:v>
                </c:pt>
                <c:pt idx="5">
                  <c:v>2.2129861847366681</c:v>
                </c:pt>
                <c:pt idx="6">
                  <c:v>2.3289908554494287</c:v>
                </c:pt>
                <c:pt idx="7">
                  <c:v>2.4659773682858228</c:v>
                </c:pt>
                <c:pt idx="8">
                  <c:v>2.3459615418131414</c:v>
                </c:pt>
                <c:pt idx="9">
                  <c:v>2.562768543016519</c:v>
                </c:pt>
                <c:pt idx="10">
                  <c:v>2.6776981814745104</c:v>
                </c:pt>
                <c:pt idx="11">
                  <c:v>2.7953933349312892</c:v>
                </c:pt>
                <c:pt idx="12">
                  <c:v>2.8950355974523228</c:v>
                </c:pt>
                <c:pt idx="13">
                  <c:v>3.0434801700225509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8-2448-99ED-D000612FF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128447"/>
        <c:axId val="1867138959"/>
      </c:lineChart>
      <c:catAx>
        <c:axId val="1866128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Optmial solution depth</a:t>
                </a:r>
              </a:p>
              <a:p>
                <a:pPr>
                  <a:defRPr/>
                </a:pPr>
                <a:endParaRPr lang="en-GB" baseline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138959"/>
        <c:crosses val="autoZero"/>
        <c:auto val="1"/>
        <c:lblAlgn val="ctr"/>
        <c:lblOffset val="100"/>
        <c:noMultiLvlLbl val="0"/>
      </c:catAx>
      <c:valAx>
        <c:axId val="1867138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 expanded (Log10)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2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Sheet1!$A$47:$A$60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Sheet1!$B$47:$B$60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DE-4D4F-BE45-95785DF2FDB3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DFS 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Sheet1!$A$47:$A$60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Sheet1!$C$47:$C$60</c:f>
              <c:numCache>
                <c:formatCode>General</c:formatCode>
                <c:ptCount val="14"/>
                <c:pt idx="0">
                  <c:v>9.6</c:v>
                </c:pt>
                <c:pt idx="1">
                  <c:v>11.75</c:v>
                </c:pt>
                <c:pt idx="2">
                  <c:v>11.7</c:v>
                </c:pt>
                <c:pt idx="3">
                  <c:v>13.85</c:v>
                </c:pt>
                <c:pt idx="4">
                  <c:v>14.2</c:v>
                </c:pt>
                <c:pt idx="5">
                  <c:v>14</c:v>
                </c:pt>
                <c:pt idx="6">
                  <c:v>15</c:v>
                </c:pt>
                <c:pt idx="7">
                  <c:v>14</c:v>
                </c:pt>
                <c:pt idx="8">
                  <c:v>15</c:v>
                </c:pt>
                <c:pt idx="9">
                  <c:v>14.6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DE-4D4F-BE45-95785DF2FDB3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DFS 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Sheet1!$A$47:$A$60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Sheet1!$D$47:$D$60</c:f>
              <c:numCache>
                <c:formatCode>General</c:formatCode>
                <c:ptCount val="14"/>
                <c:pt idx="0">
                  <c:v>9.8000000000000007</c:v>
                </c:pt>
                <c:pt idx="1">
                  <c:v>12.5</c:v>
                </c:pt>
                <c:pt idx="2">
                  <c:v>14.5</c:v>
                </c:pt>
                <c:pt idx="3">
                  <c:v>17.8</c:v>
                </c:pt>
                <c:pt idx="4">
                  <c:v>14.5</c:v>
                </c:pt>
                <c:pt idx="5">
                  <c:v>16.8</c:v>
                </c:pt>
                <c:pt idx="6">
                  <c:v>17.399999999999999</c:v>
                </c:pt>
                <c:pt idx="7">
                  <c:v>18</c:v>
                </c:pt>
                <c:pt idx="8">
                  <c:v>17.3</c:v>
                </c:pt>
                <c:pt idx="9">
                  <c:v>18</c:v>
                </c:pt>
                <c:pt idx="10">
                  <c:v>17</c:v>
                </c:pt>
                <c:pt idx="11">
                  <c:v>17</c:v>
                </c:pt>
                <c:pt idx="12">
                  <c:v>17.100000000000001</c:v>
                </c:pt>
                <c:pt idx="13">
                  <c:v>17.8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E-4D4F-BE45-95785DF2FDB3}"/>
            </c:ext>
          </c:extLst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IDFS</c:v>
                </c:pt>
              </c:strCache>
            </c:strRef>
          </c:tx>
          <c:spPr>
            <a:ln w="28575" cap="rnd">
              <a:solidFill>
                <a:srgbClr val="7030A0">
                  <a:alpha val="36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Sheet1!$E$47:$E$60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E-4D4F-BE45-95785DF2FDB3}"/>
            </c:ext>
          </c:extLst>
        </c:ser>
        <c:ser>
          <c:idx val="4"/>
          <c:order val="4"/>
          <c:tx>
            <c:strRef>
              <c:f>Sheet1!$F$46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6">
                  <a:alpha val="1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Sheet1!$F$47:$F$60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DE-4D4F-BE45-95785DF2FDB3}"/>
            </c:ext>
          </c:extLst>
        </c:ser>
        <c:ser>
          <c:idx val="5"/>
          <c:order val="5"/>
          <c:tx>
            <c:strRef>
              <c:f>Sheet1!$G$46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Sheet1!$A$47:$A$60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Sheet1!$G$47:$G$60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DE-4D4F-BE45-95785DF2FDB3}"/>
            </c:ext>
          </c:extLst>
        </c:ser>
        <c:ser>
          <c:idx val="6"/>
          <c:order val="6"/>
          <c:tx>
            <c:strRef>
              <c:f>Sheet1!$H$46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Sheet1!$H$47:$H$60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B-ED44-9F68-C5ED8A3C48EB}"/>
            </c:ext>
          </c:extLst>
        </c:ser>
        <c:ser>
          <c:idx val="7"/>
          <c:order val="7"/>
          <c:tx>
            <c:strRef>
              <c:f>Sheet1!$I$46</c:f>
              <c:strCache>
                <c:ptCount val="1"/>
                <c:pt idx="0">
                  <c:v>Bidirectional</c:v>
                </c:pt>
              </c:strCache>
            </c:strRef>
          </c:tx>
          <c:spPr>
            <a:ln w="28575" cap="rnd">
              <a:solidFill>
                <a:schemeClr val="accent1">
                  <a:alpha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Sheet1!$A$47:$A$60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Sheet1!$I$47:$I$60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CB-ED44-9F68-C5ED8A3C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9264639"/>
        <c:axId val="1871196303"/>
      </c:lineChart>
      <c:catAx>
        <c:axId val="175926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</a:t>
                </a:r>
                <a:r>
                  <a:rPr lang="en-GB" baseline="0"/>
                  <a:t>l 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1196303"/>
        <c:crosses val="autoZero"/>
        <c:auto val="1"/>
        <c:lblAlgn val="ctr"/>
        <c:lblOffset val="100"/>
        <c:noMultiLvlLbl val="0"/>
      </c:catAx>
      <c:valAx>
        <c:axId val="187119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Depth</a:t>
                </a:r>
                <a:r>
                  <a:rPr lang="en-GB" baseline="0"/>
                  <a:t> of solution found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26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Sheet1!$A$69:$A$82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Sheet1!$B$69:$B$82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1</c:v>
                </c:pt>
                <c:pt idx="2">
                  <c:v>1.209515014542631</c:v>
                </c:pt>
                <c:pt idx="3">
                  <c:v>1.5440680443502757</c:v>
                </c:pt>
                <c:pt idx="4">
                  <c:v>1.9777236052888478</c:v>
                </c:pt>
                <c:pt idx="5">
                  <c:v>2.2309595557485689</c:v>
                </c:pt>
                <c:pt idx="6">
                  <c:v>2.5094713521025485</c:v>
                </c:pt>
                <c:pt idx="7">
                  <c:v>2.4991369945373827</c:v>
                </c:pt>
                <c:pt idx="8">
                  <c:v>3.1734776434529945</c:v>
                </c:pt>
                <c:pt idx="9">
                  <c:v>3.4654720808734973</c:v>
                </c:pt>
                <c:pt idx="10">
                  <c:v>3.9664608805776478</c:v>
                </c:pt>
                <c:pt idx="11">
                  <c:v>4.3208771141874349</c:v>
                </c:pt>
                <c:pt idx="12">
                  <c:v>4.4982498861961977</c:v>
                </c:pt>
                <c:pt idx="13">
                  <c:v>4.4402760615951111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86-E44A-A9CE-F38D0D308053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A* improved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Sheet1!$A$69:$A$82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Sheet1!$C$69:$C$82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0.84509804001425681</c:v>
                </c:pt>
                <c:pt idx="2">
                  <c:v>0.91907809237607396</c:v>
                </c:pt>
                <c:pt idx="3">
                  <c:v>1.0791812460476249</c:v>
                </c:pt>
                <c:pt idx="4">
                  <c:v>1.3222192947339193</c:v>
                </c:pt>
                <c:pt idx="5">
                  <c:v>1.6127838567197355</c:v>
                </c:pt>
                <c:pt idx="6">
                  <c:v>1.9845273133437926</c:v>
                </c:pt>
                <c:pt idx="7">
                  <c:v>2.3896975482063856</c:v>
                </c:pt>
                <c:pt idx="8">
                  <c:v>2.4752352226041281</c:v>
                </c:pt>
                <c:pt idx="9">
                  <c:v>2.75564621945668</c:v>
                </c:pt>
                <c:pt idx="10">
                  <c:v>3.2069607291557101</c:v>
                </c:pt>
                <c:pt idx="11">
                  <c:v>3.2384475771411192</c:v>
                </c:pt>
                <c:pt idx="12">
                  <c:v>3.4181189156541998</c:v>
                </c:pt>
                <c:pt idx="13">
                  <c:v>4.3016332458320203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86-E44A-A9CE-F38D0D308053}"/>
            </c:ext>
          </c:extLst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Greedy 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Sheet1!$A$69:$A$82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Sheet1!$D$69:$D$82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0.94448267215016868</c:v>
                </c:pt>
                <c:pt idx="2">
                  <c:v>0.9493900066449128</c:v>
                </c:pt>
                <c:pt idx="3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86-E44A-A9CE-F38D0D308053}"/>
            </c:ext>
          </c:extLst>
        </c:ser>
        <c:ser>
          <c:idx val="3"/>
          <c:order val="3"/>
          <c:tx>
            <c:strRef>
              <c:f>Sheet1!$E$68</c:f>
              <c:strCache>
                <c:ptCount val="1"/>
                <c:pt idx="0">
                  <c:v>Greedy Improved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Sheet1!$A$69:$A$82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Sheet1!$E$69:$E$82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0.84509804001425681</c:v>
                </c:pt>
                <c:pt idx="2">
                  <c:v>0.91907809237607396</c:v>
                </c:pt>
                <c:pt idx="3">
                  <c:v>1.0791812460476249</c:v>
                </c:pt>
                <c:pt idx="4">
                  <c:v>1.7774268223893113</c:v>
                </c:pt>
                <c:pt idx="5">
                  <c:v>1.6592028774645311</c:v>
                </c:pt>
                <c:pt idx="6">
                  <c:v>1.4785664955938433</c:v>
                </c:pt>
                <c:pt idx="7">
                  <c:v>1.2528530309798931</c:v>
                </c:pt>
                <c:pt idx="8">
                  <c:v>1.4899584794248346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86-E44A-A9CE-F38D0D308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946559"/>
        <c:axId val="701963583"/>
      </c:lineChart>
      <c:catAx>
        <c:axId val="697946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</a:t>
                </a:r>
                <a:r>
                  <a:rPr lang="en-GB" baseline="0"/>
                  <a:t> 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963583"/>
        <c:crosses val="autoZero"/>
        <c:auto val="1"/>
        <c:lblAlgn val="ctr"/>
        <c:lblOffset val="100"/>
        <c:noMultiLvlLbl val="0"/>
      </c:catAx>
      <c:valAx>
        <c:axId val="7019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Numver</a:t>
                </a:r>
                <a:r>
                  <a:rPr lang="en-GB" baseline="0"/>
                  <a:t> of nodes expanded (Log10)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94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Sheet1!$A$92:$A$105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Sheet1!$B$92:$B$105</c:f>
              <c:numCache>
                <c:formatCode>General</c:formatCode>
                <c:ptCount val="14"/>
                <c:pt idx="0">
                  <c:v>0.79934054945358168</c:v>
                </c:pt>
                <c:pt idx="1">
                  <c:v>1.1583624920952498</c:v>
                </c:pt>
                <c:pt idx="2">
                  <c:v>1.2148438480476977</c:v>
                </c:pt>
                <c:pt idx="3">
                  <c:v>1.7092699609758308</c:v>
                </c:pt>
                <c:pt idx="4">
                  <c:v>1.8790958795000727</c:v>
                </c:pt>
                <c:pt idx="5">
                  <c:v>2.3900514964589874</c:v>
                </c:pt>
                <c:pt idx="6">
                  <c:v>2.44544851426605</c:v>
                </c:pt>
                <c:pt idx="7">
                  <c:v>2.7641013764762286</c:v>
                </c:pt>
                <c:pt idx="8">
                  <c:v>3.0399690268674608</c:v>
                </c:pt>
                <c:pt idx="9">
                  <c:v>3.2961604135372582</c:v>
                </c:pt>
                <c:pt idx="10">
                  <c:v>3.6081943027540082</c:v>
                </c:pt>
                <c:pt idx="11">
                  <c:v>4.1603034258171148</c:v>
                </c:pt>
                <c:pt idx="12">
                  <c:v>4.2073569549903533</c:v>
                </c:pt>
                <c:pt idx="13">
                  <c:v>4.4242460569172799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45-E74A-8598-18C9B00ED0B3}"/>
            </c:ext>
          </c:extLst>
        </c:ser>
        <c:ser>
          <c:idx val="1"/>
          <c:order val="1"/>
          <c:tx>
            <c:strRef>
              <c:f>Sheet1!$C$91</c:f>
              <c:strCache>
                <c:ptCount val="1"/>
                <c:pt idx="0">
                  <c:v>DFS 15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Sheet1!$A$92:$A$105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Sheet1!$C$92:$C$105</c:f>
              <c:numCache>
                <c:formatCode>General</c:formatCode>
                <c:ptCount val="14"/>
                <c:pt idx="0">
                  <c:v>1.4533183400470377</c:v>
                </c:pt>
                <c:pt idx="1">
                  <c:v>1.935938898678778</c:v>
                </c:pt>
                <c:pt idx="2">
                  <c:v>2.2397164769156488</c:v>
                </c:pt>
                <c:pt idx="3">
                  <c:v>2.1664724044287751</c:v>
                </c:pt>
                <c:pt idx="4">
                  <c:v>2.284205067701794</c:v>
                </c:pt>
                <c:pt idx="5">
                  <c:v>3.5542225655424251</c:v>
                </c:pt>
                <c:pt idx="6">
                  <c:v>2.890700397698875</c:v>
                </c:pt>
                <c:pt idx="7">
                  <c:v>4.0655162276618482</c:v>
                </c:pt>
                <c:pt idx="8">
                  <c:v>2.4589398618903262</c:v>
                </c:pt>
                <c:pt idx="9">
                  <c:v>3.6734724860640697</c:v>
                </c:pt>
                <c:pt idx="10">
                  <c:v>3.928231936617137</c:v>
                </c:pt>
                <c:pt idx="11">
                  <c:v>4.2553958055166943</c:v>
                </c:pt>
                <c:pt idx="12">
                  <c:v>4.275585182450599</c:v>
                </c:pt>
                <c:pt idx="13">
                  <c:v>4.5440790740492139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45-E74A-8598-18C9B00ED0B3}"/>
            </c:ext>
          </c:extLst>
        </c:ser>
        <c:ser>
          <c:idx val="2"/>
          <c:order val="2"/>
          <c:tx>
            <c:strRef>
              <c:f>Sheet1!$D$91</c:f>
              <c:strCache>
                <c:ptCount val="1"/>
                <c:pt idx="0">
                  <c:v>DFS 18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Sheet1!$A$92:$A$105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Sheet1!$D$92:$D$105</c:f>
              <c:numCache>
                <c:formatCode>General</c:formatCode>
                <c:ptCount val="14"/>
                <c:pt idx="0">
                  <c:v>1.4522971600596453</c:v>
                </c:pt>
                <c:pt idx="1">
                  <c:v>2.0747351965819778</c:v>
                </c:pt>
                <c:pt idx="2">
                  <c:v>2.9837164739137494</c:v>
                </c:pt>
                <c:pt idx="3">
                  <c:v>3.2752601577662399</c:v>
                </c:pt>
                <c:pt idx="4">
                  <c:v>3.0644995821635468</c:v>
                </c:pt>
                <c:pt idx="5">
                  <c:v>2.9139197649514661</c:v>
                </c:pt>
                <c:pt idx="6">
                  <c:v>3.1702910586253932</c:v>
                </c:pt>
                <c:pt idx="7">
                  <c:v>3.3657998722757037</c:v>
                </c:pt>
                <c:pt idx="8">
                  <c:v>3.2581821603660979</c:v>
                </c:pt>
                <c:pt idx="9">
                  <c:v>3.9965598271385883</c:v>
                </c:pt>
                <c:pt idx="10">
                  <c:v>4.3823719017618608</c:v>
                </c:pt>
                <c:pt idx="11">
                  <c:v>4.9307779271894745</c:v>
                </c:pt>
                <c:pt idx="12">
                  <c:v>5.0261363758490463</c:v>
                </c:pt>
                <c:pt idx="13">
                  <c:v>4.246865261997038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45-E74A-8598-18C9B00ED0B3}"/>
            </c:ext>
          </c:extLst>
        </c:ser>
        <c:ser>
          <c:idx val="3"/>
          <c:order val="3"/>
          <c:tx>
            <c:strRef>
              <c:f>Sheet1!$E$91</c:f>
              <c:strCache>
                <c:ptCount val="1"/>
                <c:pt idx="0">
                  <c:v>IDFS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Sheet1!$A$92:$A$105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Sheet1!$E$92:$E$105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0.98677173426624487</c:v>
                </c:pt>
                <c:pt idx="2">
                  <c:v>1.1492191126553799</c:v>
                </c:pt>
                <c:pt idx="3">
                  <c:v>1.7176705030022621</c:v>
                </c:pt>
                <c:pt idx="4">
                  <c:v>1.8506462351830666</c:v>
                </c:pt>
                <c:pt idx="5">
                  <c:v>2.374748346010104</c:v>
                </c:pt>
                <c:pt idx="6">
                  <c:v>2.4643404846276673</c:v>
                </c:pt>
                <c:pt idx="7">
                  <c:v>2.8199385693553953</c:v>
                </c:pt>
                <c:pt idx="8">
                  <c:v>3.0059522868873829</c:v>
                </c:pt>
                <c:pt idx="9">
                  <c:v>3.3852129070844548</c:v>
                </c:pt>
                <c:pt idx="10">
                  <c:v>3.6838032412506836</c:v>
                </c:pt>
                <c:pt idx="11">
                  <c:v>4.2125764302585953</c:v>
                </c:pt>
                <c:pt idx="12">
                  <c:v>4.2238799646907497</c:v>
                </c:pt>
                <c:pt idx="13">
                  <c:v>4.46741274010936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45-E74A-8598-18C9B00ED0B3}"/>
            </c:ext>
          </c:extLst>
        </c:ser>
        <c:ser>
          <c:idx val="4"/>
          <c:order val="4"/>
          <c:tx>
            <c:strRef>
              <c:f>Sheet1!$F$91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Sheet1!$A$92:$A$105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Sheet1!$F$92:$F$105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0.77815125038364363</c:v>
                </c:pt>
                <c:pt idx="2">
                  <c:v>0.80617997398388719</c:v>
                </c:pt>
                <c:pt idx="3">
                  <c:v>0.95424250943932487</c:v>
                </c:pt>
                <c:pt idx="4">
                  <c:v>1.1760912590556813</c:v>
                </c:pt>
                <c:pt idx="5">
                  <c:v>1.3617278360175928</c:v>
                </c:pt>
                <c:pt idx="6">
                  <c:v>1.5976951859255124</c:v>
                </c:pt>
                <c:pt idx="7">
                  <c:v>1.7160033436347992</c:v>
                </c:pt>
                <c:pt idx="8">
                  <c:v>1.8773713458697741</c:v>
                </c:pt>
                <c:pt idx="9">
                  <c:v>2.0008677215312267</c:v>
                </c:pt>
                <c:pt idx="10">
                  <c:v>2.2161659022859932</c:v>
                </c:pt>
                <c:pt idx="11">
                  <c:v>2.387033701282363</c:v>
                </c:pt>
                <c:pt idx="12">
                  <c:v>2.3881012015705165</c:v>
                </c:pt>
                <c:pt idx="13">
                  <c:v>2.8136476953468965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A45-E74A-8598-18C9B00ED0B3}"/>
            </c:ext>
          </c:extLst>
        </c:ser>
        <c:ser>
          <c:idx val="5"/>
          <c:order val="5"/>
          <c:tx>
            <c:strRef>
              <c:f>Sheet1!$G$91</c:f>
              <c:strCache>
                <c:ptCount val="1"/>
                <c:pt idx="0">
                  <c:v>Greedy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Sheet1!$A$92:$A$105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Sheet1!$G$92:$G$105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0.86923171973097624</c:v>
                </c:pt>
                <c:pt idx="2">
                  <c:v>0.78532983501076703</c:v>
                </c:pt>
                <c:pt idx="3">
                  <c:v>0.95424250943932487</c:v>
                </c:pt>
                <c:pt idx="4">
                  <c:v>1.2355284469075489</c:v>
                </c:pt>
                <c:pt idx="5">
                  <c:v>1.1702617153949575</c:v>
                </c:pt>
                <c:pt idx="6">
                  <c:v>1.255272505103306</c:v>
                </c:pt>
                <c:pt idx="7">
                  <c:v>1.2787536009528289</c:v>
                </c:pt>
                <c:pt idx="8">
                  <c:v>1.3222192947339193</c:v>
                </c:pt>
                <c:pt idx="9">
                  <c:v>1.7664128471123994</c:v>
                </c:pt>
                <c:pt idx="10">
                  <c:v>1.3283796034387378</c:v>
                </c:pt>
                <c:pt idx="11">
                  <c:v>1.4313637641589874</c:v>
                </c:pt>
                <c:pt idx="12">
                  <c:v>1.4653828514484182</c:v>
                </c:pt>
                <c:pt idx="13">
                  <c:v>2.3477202170340381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45-E74A-8598-18C9B00ED0B3}"/>
            </c:ext>
          </c:extLst>
        </c:ser>
        <c:ser>
          <c:idx val="6"/>
          <c:order val="6"/>
          <c:tx>
            <c:strRef>
              <c:f>Sheet1!$H$91</c:f>
              <c:strCache>
                <c:ptCount val="1"/>
                <c:pt idx="0">
                  <c:v>Bidirectional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Sheet1!$A$92:$A$105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Sheet1!$H$92:$H$105</c:f>
              <c:numCache>
                <c:formatCode>General</c:formatCode>
                <c:ptCount val="14"/>
                <c:pt idx="0">
                  <c:v>1.5403294747908738</c:v>
                </c:pt>
                <c:pt idx="1">
                  <c:v>1.6180480967120927</c:v>
                </c:pt>
                <c:pt idx="2">
                  <c:v>1.5211380837040362</c:v>
                </c:pt>
                <c:pt idx="3">
                  <c:v>1.9804578922761</c:v>
                </c:pt>
                <c:pt idx="4">
                  <c:v>2.0799044676667209</c:v>
                </c:pt>
                <c:pt idx="5">
                  <c:v>2.114610984232173</c:v>
                </c:pt>
                <c:pt idx="6">
                  <c:v>2.1658376246901283</c:v>
                </c:pt>
                <c:pt idx="7">
                  <c:v>2.2299376859079341</c:v>
                </c:pt>
                <c:pt idx="8">
                  <c:v>2.1398790864012365</c:v>
                </c:pt>
                <c:pt idx="9">
                  <c:v>2.417803722639881</c:v>
                </c:pt>
                <c:pt idx="10">
                  <c:v>2.4768316285122607</c:v>
                </c:pt>
                <c:pt idx="11">
                  <c:v>2.6764192317183602</c:v>
                </c:pt>
                <c:pt idx="12">
                  <c:v>2.7592144312342439</c:v>
                </c:pt>
                <c:pt idx="13">
                  <c:v>2.8904769089601707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45-E74A-8598-18C9B00ED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021024"/>
        <c:axId val="43752976"/>
      </c:lineChart>
      <c:catAx>
        <c:axId val="44021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</a:t>
                </a:r>
                <a:r>
                  <a:rPr lang="en-GB" baseline="0"/>
                  <a:t> solution depth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52976"/>
        <c:crosses val="autoZero"/>
        <c:auto val="1"/>
        <c:lblAlgn val="ctr"/>
        <c:lblOffset val="100"/>
        <c:noMultiLvlLbl val="0"/>
      </c:catAx>
      <c:valAx>
        <c:axId val="4375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 expanded (Log10 scale)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2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Sheet1!$B$113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Sheet1!$A$114:$A$127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Sheet1!$B$114:$B$127</c:f>
              <c:numCache>
                <c:formatCode>General</c:formatCode>
                <c:ptCount val="14"/>
                <c:pt idx="0">
                  <c:v>0.92941892571429274</c:v>
                </c:pt>
                <c:pt idx="1">
                  <c:v>1.3463529744506386</c:v>
                </c:pt>
                <c:pt idx="2">
                  <c:v>1.5340261060561351</c:v>
                </c:pt>
                <c:pt idx="3">
                  <c:v>2.1687920203141817</c:v>
                </c:pt>
                <c:pt idx="4">
                  <c:v>2.466274321789292</c:v>
                </c:pt>
                <c:pt idx="5">
                  <c:v>3.2835725779669245</c:v>
                </c:pt>
                <c:pt idx="6">
                  <c:v>3.395745629992168</c:v>
                </c:pt>
                <c:pt idx="7">
                  <c:v>4.0090470096602795</c:v>
                </c:pt>
                <c:pt idx="8">
                  <c:v>4.335483977635187</c:v>
                </c:pt>
                <c:pt idx="9">
                  <c:v>4.9734192875156182</c:v>
                </c:pt>
                <c:pt idx="10">
                  <c:v>5.4611117815213701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A-144E-B642-F31016EDA069}"/>
            </c:ext>
          </c:extLst>
        </c:ser>
        <c:ser>
          <c:idx val="1"/>
          <c:order val="1"/>
          <c:tx>
            <c:strRef>
              <c:f>Sheet1!$C$113</c:f>
              <c:strCache>
                <c:ptCount val="1"/>
                <c:pt idx="0">
                  <c:v>BFS graph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Sheet1!$A$114:$A$127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Sheet1!$C$114:$C$127</c:f>
              <c:numCache>
                <c:formatCode>General</c:formatCode>
                <c:ptCount val="14"/>
                <c:pt idx="0">
                  <c:v>0.84509804001425681</c:v>
                </c:pt>
                <c:pt idx="1">
                  <c:v>1.0755469613925308</c:v>
                </c:pt>
                <c:pt idx="2">
                  <c:v>1.0253058652647702</c:v>
                </c:pt>
                <c:pt idx="3">
                  <c:v>1.69810054562339</c:v>
                </c:pt>
                <c:pt idx="4">
                  <c:v>1.6665179805548809</c:v>
                </c:pt>
                <c:pt idx="5">
                  <c:v>2.0902580529313162</c:v>
                </c:pt>
                <c:pt idx="6">
                  <c:v>2.1414497734004674</c:v>
                </c:pt>
                <c:pt idx="7">
                  <c:v>2.610979379922997</c:v>
                </c:pt>
                <c:pt idx="8">
                  <c:v>2.5641924606261979</c:v>
                </c:pt>
                <c:pt idx="9">
                  <c:v>2.7478777058197901</c:v>
                </c:pt>
                <c:pt idx="10">
                  <c:v>3.0739748198666588</c:v>
                </c:pt>
                <c:pt idx="11">
                  <c:v>3.1341771075767664</c:v>
                </c:pt>
                <c:pt idx="12">
                  <c:v>3.2945103147339778</c:v>
                </c:pt>
                <c:pt idx="13">
                  <c:v>3.349685397810314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EA-144E-B642-F31016EDA069}"/>
            </c:ext>
          </c:extLst>
        </c:ser>
        <c:ser>
          <c:idx val="2"/>
          <c:order val="2"/>
          <c:tx>
            <c:strRef>
              <c:f>Sheet1!$D$113</c:f>
              <c:strCache>
                <c:ptCount val="1"/>
                <c:pt idx="0">
                  <c:v>A*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Sheet1!$A$114:$A$127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Sheet1!$D$114:$D$127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1</c:v>
                </c:pt>
                <c:pt idx="2">
                  <c:v>1.209515014542631</c:v>
                </c:pt>
                <c:pt idx="3">
                  <c:v>1.5440680443502757</c:v>
                </c:pt>
                <c:pt idx="4">
                  <c:v>1.9777236052888478</c:v>
                </c:pt>
                <c:pt idx="5">
                  <c:v>2.2309595557485689</c:v>
                </c:pt>
                <c:pt idx="6">
                  <c:v>2.5094713521025485</c:v>
                </c:pt>
                <c:pt idx="7">
                  <c:v>2.4991369945373827</c:v>
                </c:pt>
                <c:pt idx="8">
                  <c:v>3.1734776434529945</c:v>
                </c:pt>
                <c:pt idx="9">
                  <c:v>3.4654720808734973</c:v>
                </c:pt>
                <c:pt idx="10">
                  <c:v>3.9664608805776478</c:v>
                </c:pt>
                <c:pt idx="11">
                  <c:v>4.3208771141874349</c:v>
                </c:pt>
                <c:pt idx="12">
                  <c:v>4.4982498861961977</c:v>
                </c:pt>
                <c:pt idx="13">
                  <c:v>4.4402760615951111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EA-144E-B642-F31016EDA069}"/>
            </c:ext>
          </c:extLst>
        </c:ser>
        <c:ser>
          <c:idx val="3"/>
          <c:order val="3"/>
          <c:tx>
            <c:strRef>
              <c:f>Sheet1!$E$113</c:f>
              <c:strCache>
                <c:ptCount val="1"/>
                <c:pt idx="0">
                  <c:v>A* graph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Sheet1!$A$114:$A$127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Sheet1!$E$114:$E$127</c:f>
              <c:numCache>
                <c:formatCode>General</c:formatCode>
                <c:ptCount val="14"/>
                <c:pt idx="0">
                  <c:v>0.6020599913279624</c:v>
                </c:pt>
                <c:pt idx="1">
                  <c:v>0.90308998699194354</c:v>
                </c:pt>
                <c:pt idx="2">
                  <c:v>0.90308998699194354</c:v>
                </c:pt>
                <c:pt idx="3">
                  <c:v>1.146128035678238</c:v>
                </c:pt>
                <c:pt idx="4">
                  <c:v>1.1760912590556813</c:v>
                </c:pt>
                <c:pt idx="5">
                  <c:v>1.5740312677277188</c:v>
                </c:pt>
                <c:pt idx="6">
                  <c:v>1.6020599913279623</c:v>
                </c:pt>
                <c:pt idx="7">
                  <c:v>1.8048206787211623</c:v>
                </c:pt>
                <c:pt idx="8">
                  <c:v>1.989894563718773</c:v>
                </c:pt>
                <c:pt idx="9">
                  <c:v>2.0895518828864543</c:v>
                </c:pt>
                <c:pt idx="10">
                  <c:v>2.4046627008737222</c:v>
                </c:pt>
                <c:pt idx="11">
                  <c:v>2.4952667443878105</c:v>
                </c:pt>
                <c:pt idx="12">
                  <c:v>2.7033773685123497</c:v>
                </c:pt>
                <c:pt idx="13">
                  <c:v>2.5371892262436444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6EA-144E-B642-F31016ED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28064"/>
        <c:axId val="15084640"/>
      </c:lineChart>
      <c:catAx>
        <c:axId val="48528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Optimal</a:t>
                </a:r>
                <a:r>
                  <a:rPr lang="en-GB" baseline="0"/>
                  <a:t> solution depth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4640"/>
        <c:crosses val="autoZero"/>
        <c:auto val="1"/>
        <c:lblAlgn val="ctr"/>
        <c:lblOffset val="100"/>
        <c:noMultiLvlLbl val="0"/>
      </c:catAx>
      <c:valAx>
        <c:axId val="15084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nodes expanded(Log10 scale)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52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787400</xdr:colOff>
      <xdr:row>3</xdr:row>
      <xdr:rowOff>76200</xdr:rowOff>
    </xdr:from>
    <xdr:to>
      <xdr:col>16</xdr:col>
      <xdr:colOff>50800</xdr:colOff>
      <xdr:row>20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E9A5554-0514-6443-8B29-D810AC171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774700</xdr:colOff>
      <xdr:row>46</xdr:row>
      <xdr:rowOff>63500</xdr:rowOff>
    </xdr:from>
    <xdr:to>
      <xdr:col>15</xdr:col>
      <xdr:colOff>393700</xdr:colOff>
      <xdr:row>59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D11B6-1FBC-0541-B7C9-7E8A10103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488950</xdr:colOff>
      <xdr:row>66</xdr:row>
      <xdr:rowOff>139700</xdr:rowOff>
    </xdr:from>
    <xdr:to>
      <xdr:col>12</xdr:col>
      <xdr:colOff>107950</xdr:colOff>
      <xdr:row>80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5BC710-DE5A-DC49-A7C2-7424FC19D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577850</xdr:colOff>
      <xdr:row>90</xdr:row>
      <xdr:rowOff>190500</xdr:rowOff>
    </xdr:from>
    <xdr:to>
      <xdr:col>14</xdr:col>
      <xdr:colOff>196850</xdr:colOff>
      <xdr:row>104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E08B95-777B-304F-8E9C-23431980B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361950</xdr:colOff>
      <xdr:row>113</xdr:row>
      <xdr:rowOff>12700</xdr:rowOff>
    </xdr:from>
    <xdr:to>
      <xdr:col>10</xdr:col>
      <xdr:colOff>806450</xdr:colOff>
      <xdr:row>126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23898-4F8D-094A-BE29-1C404E2FB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BDD0-9ABE-E445-9576-95E61A04A150}">
  <dimension ref="A2:I127"/>
  <sheetViews>
    <sheetView tabSelected="1" topLeftCell="A100" workbookViewId="0">
      <selection activeCell="E125" sqref="E125"/>
    </sheetView>
  </sheetViews>
  <sheetFormatPr baseColWidth="10" defaultRowHeight="16" x14ac:dyDescent="0.2"/>
  <sheetData>
    <row r="2" spans="1:8" x14ac:dyDescent="0.2">
      <c r="A2" t="s">
        <v>0</v>
      </c>
    </row>
    <row r="3" spans="1:8" x14ac:dyDescent="0.2">
      <c r="A3" t="s">
        <v>1</v>
      </c>
    </row>
    <row r="5" spans="1:8" x14ac:dyDescent="0.2"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10</v>
      </c>
      <c r="H5" t="s">
        <v>11</v>
      </c>
    </row>
    <row r="6" spans="1:8" x14ac:dyDescent="0.2">
      <c r="A6">
        <v>1</v>
      </c>
      <c r="B6">
        <f>LOG10(8.5)</f>
        <v>0.92941892571429274</v>
      </c>
      <c r="C6">
        <f>LOG10(38.1)</f>
        <v>1.5809249756756194</v>
      </c>
      <c r="D6">
        <v>2.0013009330204179</v>
      </c>
      <c r="E6">
        <f>LOG10(4)</f>
        <v>0.6020599913279624</v>
      </c>
      <c r="F6">
        <f>LOG10(4)</f>
        <v>0.6020599913279624</v>
      </c>
      <c r="G6">
        <f>LOG10(4)</f>
        <v>0.6020599913279624</v>
      </c>
      <c r="H6">
        <f>LOG10(43.5)</f>
        <v>1.6384892569546374</v>
      </c>
    </row>
    <row r="7" spans="1:8" x14ac:dyDescent="0.2">
      <c r="A7">
        <v>2</v>
      </c>
      <c r="B7">
        <f>LOG10(22.2)</f>
        <v>1.3463529744506386</v>
      </c>
      <c r="C7">
        <f>LOG10(129.625)</f>
        <v>2.1126887693970975</v>
      </c>
      <c r="D7">
        <f>LOG10(186.7777)</f>
        <v>2.2713250231517224</v>
      </c>
      <c r="E7">
        <f>LOG10(12.1)</f>
        <v>1.0827853703164501</v>
      </c>
      <c r="F7">
        <f>LOG10(10)</f>
        <v>1</v>
      </c>
      <c r="G7">
        <f>LOG10(8.8)</f>
        <v>0.94448267215016868</v>
      </c>
      <c r="H7">
        <f>LOG10(56.3)</f>
        <v>1.7505083948513462</v>
      </c>
    </row>
    <row r="8" spans="1:8" x14ac:dyDescent="0.2">
      <c r="A8">
        <v>3</v>
      </c>
      <c r="B8">
        <f>LOG10(34.2)</f>
        <v>1.5340261060561351</v>
      </c>
      <c r="C8">
        <f>LOG10(151.3)</f>
        <v>2.1798389280231869</v>
      </c>
      <c r="D8">
        <f>LOG10(305.33333)</f>
        <v>2.4847742142069817</v>
      </c>
      <c r="E8">
        <f>LOG10(18.9)</f>
        <v>1.2764618041732441</v>
      </c>
      <c r="F8">
        <f>LOG10(16.2)</f>
        <v>1.209515014542631</v>
      </c>
      <c r="G8">
        <f>LOG10(8.9)</f>
        <v>0.9493900066449128</v>
      </c>
      <c r="H8">
        <f>LOG10(49.2)</f>
        <v>1.6919651027673603</v>
      </c>
    </row>
    <row r="9" spans="1:8" x14ac:dyDescent="0.2">
      <c r="A9">
        <v>4</v>
      </c>
      <c r="B9">
        <f>LOG10(147.5)</f>
        <v>2.1687920203141817</v>
      </c>
      <c r="C9">
        <f>LOG10(465.7)</f>
        <v>2.6681062379327312</v>
      </c>
      <c r="D9">
        <f>LOG10(294.777778)</f>
        <v>2.4694947408704029</v>
      </c>
      <c r="E9">
        <f>LOG10(76.9)</f>
        <v>1.885926339801431</v>
      </c>
      <c r="F9">
        <f>LOG10(35)</f>
        <v>1.5440680443502757</v>
      </c>
      <c r="G9">
        <f>LOG10(11)</f>
        <v>1.0413926851582251</v>
      </c>
      <c r="H9">
        <f>LOG10(129.8)</f>
        <v>2.1132746924643504</v>
      </c>
    </row>
    <row r="10" spans="1:8" x14ac:dyDescent="0.2">
      <c r="A10">
        <v>5</v>
      </c>
      <c r="B10">
        <f>LOG10(292.6)</f>
        <v>2.466274321789292</v>
      </c>
      <c r="C10">
        <f>LOG10(382.6)</f>
        <v>2.5827449656912771</v>
      </c>
      <c r="D10">
        <f>LOG10(2145.11111)</f>
        <v>3.3314497921898099</v>
      </c>
      <c r="E10">
        <f>LOG10(149)</f>
        <v>2.173186268412274</v>
      </c>
      <c r="F10">
        <f>LOG10(95)</f>
        <v>1.9777236052888478</v>
      </c>
      <c r="H10">
        <f>LOG10(184.5)</f>
        <v>2.265996370495079</v>
      </c>
    </row>
    <row r="11" spans="1:8" x14ac:dyDescent="0.2">
      <c r="A11">
        <v>6</v>
      </c>
      <c r="B11">
        <f>LOG10(1921.2)</f>
        <v>3.2835725779669245</v>
      </c>
      <c r="C11">
        <f>LOG10(5108.2)</f>
        <v>3.7082678927409423</v>
      </c>
      <c r="D11">
        <f>LOG10(3575.66667)</f>
        <v>3.5533570263076069</v>
      </c>
      <c r="E11">
        <f>LOG10(999.1)</f>
        <v>2.9996089589714172</v>
      </c>
      <c r="F11">
        <f>LOG10(170.2)</f>
        <v>2.2309595557485689</v>
      </c>
      <c r="H11">
        <f>LOG10(163.3)</f>
        <v>2.2129861847366681</v>
      </c>
    </row>
    <row r="12" spans="1:8" x14ac:dyDescent="0.2">
      <c r="A12">
        <v>7</v>
      </c>
      <c r="B12">
        <f>LOG10(2487.4)</f>
        <v>3.395745629992168</v>
      </c>
      <c r="C12">
        <f>LOG10(827.8)</f>
        <v>2.9179254220647413</v>
      </c>
      <c r="D12">
        <f>LOG10(4915.5)</f>
        <v>3.6915677004380569</v>
      </c>
      <c r="E12">
        <f>LOG10(1301.7)</f>
        <v>3.1145109048488742</v>
      </c>
      <c r="F12">
        <f>LOG10(323.2)</f>
        <v>2.5094713521025485</v>
      </c>
      <c r="H12">
        <f>LOG10(213.3)</f>
        <v>2.3289908554494287</v>
      </c>
    </row>
    <row r="13" spans="1:8" x14ac:dyDescent="0.2">
      <c r="A13">
        <v>8</v>
      </c>
      <c r="B13">
        <f>LOG10(10210.5)</f>
        <v>4.0090470096602795</v>
      </c>
      <c r="C13">
        <f>LOG10(29757)</f>
        <v>4.4735891449813794</v>
      </c>
      <c r="D13">
        <f>LOG10(36283.3)</f>
        <v>4.5597067796729016</v>
      </c>
      <c r="E13">
        <f>LOG10(55551.5)</f>
        <v>4.7446957902422806</v>
      </c>
      <c r="F13">
        <f>LOG10(315.6)</f>
        <v>2.4991369945373827</v>
      </c>
      <c r="H13">
        <f>LOG10(292.4)</f>
        <v>2.4659773682858228</v>
      </c>
    </row>
    <row r="14" spans="1:8" x14ac:dyDescent="0.2">
      <c r="A14">
        <v>9</v>
      </c>
      <c r="B14">
        <f>LOG10(21651.3)</f>
        <v>4.335483977635187</v>
      </c>
      <c r="C14">
        <f>LOG10(4658.9)</f>
        <v>3.6682833887237569</v>
      </c>
      <c r="D14">
        <f>LOG10(50062.2)</f>
        <v>4.6995099309067658</v>
      </c>
      <c r="E14">
        <f>LOG10(11390.8)</f>
        <v>4.0565542265711692</v>
      </c>
      <c r="F14">
        <f>LOG10(1491)</f>
        <v>3.1734776434529945</v>
      </c>
      <c r="H14">
        <f>LOG10(221.8)</f>
        <v>2.3459615418131414</v>
      </c>
    </row>
    <row r="15" spans="1:8" x14ac:dyDescent="0.2">
      <c r="A15">
        <v>10</v>
      </c>
      <c r="B15">
        <f>LOG10(94063.1)</f>
        <v>4.9734192875156182</v>
      </c>
      <c r="C15">
        <f>LOG10(190225.6)</f>
        <v>5.2792689626045153</v>
      </c>
      <c r="D15">
        <f>LOG10(70793.8)</f>
        <v>4.849995224586773</v>
      </c>
      <c r="E15">
        <f>LOG10(49913.4)</f>
        <v>4.6982171541367252</v>
      </c>
      <c r="F15">
        <f>LOG10(2920.6)</f>
        <v>3.4654720808734973</v>
      </c>
      <c r="H15">
        <f>LOG10(365.4)</f>
        <v>2.562768543016519</v>
      </c>
    </row>
    <row r="16" spans="1:8" x14ac:dyDescent="0.2">
      <c r="A16">
        <v>11</v>
      </c>
      <c r="B16">
        <f>LOG10(289142.4)</f>
        <v>5.4611117815213701</v>
      </c>
      <c r="C16">
        <f>LOG10(734481.7)</f>
        <v>5.8659809795843731</v>
      </c>
      <c r="D16">
        <f>LOG10(376205.2)</f>
        <v>5.5754247941800648</v>
      </c>
      <c r="E16">
        <f>LOG10(152850.8)</f>
        <v>5.1842677161054596</v>
      </c>
      <c r="F16">
        <f>LOG10(9256.8)</f>
        <v>3.9664608805776478</v>
      </c>
      <c r="H16">
        <f>LOG10(476.1)</f>
        <v>2.6776981814745104</v>
      </c>
    </row>
    <row r="17" spans="1:8" x14ac:dyDescent="0.2">
      <c r="A17">
        <v>12</v>
      </c>
      <c r="C17">
        <f>LOG10(879311.8)</f>
        <v>5.9441429012491938</v>
      </c>
      <c r="D17">
        <f>LOG10(14332282.3)</f>
        <v>7.1563153537869004</v>
      </c>
      <c r="E17">
        <f>LOG10(1324610.1)</f>
        <v>6.1220880621690785</v>
      </c>
      <c r="F17">
        <f>LOG10(20935.2)</f>
        <v>4.3208771141874349</v>
      </c>
      <c r="H17">
        <f>LOG10(624.3)</f>
        <v>2.7953933349312892</v>
      </c>
    </row>
    <row r="18" spans="1:8" x14ac:dyDescent="0.2">
      <c r="A18">
        <v>13</v>
      </c>
      <c r="C18">
        <f>LOG10(1015549.8)</f>
        <v>6.0067012249686957</v>
      </c>
      <c r="D18">
        <f>LOG10(5636658)</f>
        <v>6.7510216851273279</v>
      </c>
      <c r="E18">
        <f>LOG10(1416230.8)</f>
        <v>6.1511340351323014</v>
      </c>
      <c r="F18">
        <f>LOG10(31495.6)</f>
        <v>4.4982498861961977</v>
      </c>
      <c r="H18">
        <f>LOG10(785.3)</f>
        <v>2.8950355974523228</v>
      </c>
    </row>
    <row r="19" spans="1:8" x14ac:dyDescent="0.2">
      <c r="A19">
        <v>14</v>
      </c>
      <c r="C19">
        <v>6.4965332080485689</v>
      </c>
      <c r="D19">
        <f>LOG10(11883347.9)</f>
        <v>7.0749388118288739</v>
      </c>
      <c r="E19">
        <f>LOG10(4495432.5)</f>
        <v>6.6527714810142031</v>
      </c>
      <c r="F19">
        <f>LOG10(27559.8)</f>
        <v>4.4402760615951111</v>
      </c>
      <c r="H19">
        <f>LOG10(1105.3)</f>
        <v>3.0434801700225509</v>
      </c>
    </row>
    <row r="26" spans="1:8" x14ac:dyDescent="0.2">
      <c r="A26" t="s">
        <v>7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</row>
    <row r="27" spans="1:8" x14ac:dyDescent="0.2">
      <c r="A27">
        <v>1</v>
      </c>
      <c r="B27">
        <v>3.5</v>
      </c>
      <c r="C27">
        <v>9.6</v>
      </c>
    </row>
    <row r="28" spans="1:8" x14ac:dyDescent="0.2">
      <c r="A28">
        <v>2</v>
      </c>
      <c r="B28">
        <v>8.6999999999999993</v>
      </c>
      <c r="C28">
        <v>38.110999999999997</v>
      </c>
    </row>
    <row r="29" spans="1:8" x14ac:dyDescent="0.2">
      <c r="A29">
        <v>3</v>
      </c>
      <c r="B29">
        <v>13.3</v>
      </c>
      <c r="C29">
        <v>108.375</v>
      </c>
    </row>
    <row r="30" spans="1:8" x14ac:dyDescent="0.2">
      <c r="A30">
        <v>4</v>
      </c>
      <c r="B30">
        <v>50.2</v>
      </c>
      <c r="C30">
        <v>134.19999999999999</v>
      </c>
    </row>
    <row r="31" spans="1:8" x14ac:dyDescent="0.2">
      <c r="A31">
        <v>5</v>
      </c>
      <c r="B31">
        <v>99.6</v>
      </c>
      <c r="C31">
        <v>444</v>
      </c>
    </row>
    <row r="32" spans="1:8" x14ac:dyDescent="0.2">
      <c r="A32">
        <v>6</v>
      </c>
      <c r="B32">
        <v>643.4</v>
      </c>
      <c r="C32">
        <v>361.5</v>
      </c>
    </row>
    <row r="33" spans="1:9" x14ac:dyDescent="0.2">
      <c r="A33">
        <v>7</v>
      </c>
      <c r="B33">
        <v>728.4</v>
      </c>
      <c r="C33">
        <v>5088.2</v>
      </c>
    </row>
    <row r="34" spans="1:9" x14ac:dyDescent="0.2">
      <c r="A34">
        <v>8</v>
      </c>
      <c r="B34">
        <v>3316.7</v>
      </c>
      <c r="C34">
        <v>804.6</v>
      </c>
    </row>
    <row r="35" spans="1:9" x14ac:dyDescent="0.2">
      <c r="A35">
        <v>9</v>
      </c>
      <c r="B35">
        <v>7078.9</v>
      </c>
      <c r="C35">
        <v>29738.6</v>
      </c>
    </row>
    <row r="36" spans="1:9" x14ac:dyDescent="0.2">
      <c r="A36">
        <v>10</v>
      </c>
      <c r="B36">
        <v>30505.5</v>
      </c>
      <c r="C36">
        <v>4636.6000000000004</v>
      </c>
    </row>
    <row r="37" spans="1:9" x14ac:dyDescent="0.2">
      <c r="A37">
        <v>11</v>
      </c>
      <c r="B37">
        <v>97130.1</v>
      </c>
    </row>
    <row r="38" spans="1:9" x14ac:dyDescent="0.2">
      <c r="A38">
        <v>12</v>
      </c>
    </row>
    <row r="39" spans="1:9" x14ac:dyDescent="0.2">
      <c r="A39">
        <v>13</v>
      </c>
    </row>
    <row r="40" spans="1:9" x14ac:dyDescent="0.2">
      <c r="A40">
        <v>14</v>
      </c>
    </row>
    <row r="45" spans="1:9" x14ac:dyDescent="0.2">
      <c r="A45" t="s">
        <v>8</v>
      </c>
    </row>
    <row r="46" spans="1:9" x14ac:dyDescent="0.2"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9</v>
      </c>
      <c r="H46" t="s">
        <v>10</v>
      </c>
      <c r="I46" t="s">
        <v>11</v>
      </c>
    </row>
    <row r="47" spans="1:9" x14ac:dyDescent="0.2">
      <c r="A47" s="1">
        <v>1</v>
      </c>
      <c r="B47" s="1">
        <v>1</v>
      </c>
      <c r="C47">
        <v>9.6</v>
      </c>
      <c r="D47">
        <v>9.8000000000000007</v>
      </c>
      <c r="E47" s="1">
        <v>1</v>
      </c>
      <c r="F47" s="1">
        <v>1</v>
      </c>
      <c r="G47" s="1">
        <v>1</v>
      </c>
      <c r="H47" s="1">
        <v>1</v>
      </c>
      <c r="I47" s="1">
        <v>1</v>
      </c>
    </row>
    <row r="48" spans="1:9" x14ac:dyDescent="0.2">
      <c r="A48" s="1">
        <v>2</v>
      </c>
      <c r="B48" s="1">
        <v>2</v>
      </c>
      <c r="C48">
        <v>11.75</v>
      </c>
      <c r="D48">
        <v>12.5</v>
      </c>
      <c r="E48" s="1">
        <v>2</v>
      </c>
      <c r="F48" s="1">
        <v>2</v>
      </c>
      <c r="G48" s="1">
        <v>2</v>
      </c>
      <c r="H48" s="1">
        <v>2</v>
      </c>
      <c r="I48" s="1">
        <v>2</v>
      </c>
    </row>
    <row r="49" spans="1:9" x14ac:dyDescent="0.2">
      <c r="A49" s="1">
        <v>3</v>
      </c>
      <c r="B49" s="1">
        <v>3</v>
      </c>
      <c r="C49">
        <v>11.7</v>
      </c>
      <c r="D49">
        <v>14.5</v>
      </c>
      <c r="E49" s="1">
        <v>3</v>
      </c>
      <c r="F49" s="1">
        <v>3</v>
      </c>
      <c r="G49" s="1">
        <v>3</v>
      </c>
      <c r="H49" s="1">
        <v>6</v>
      </c>
      <c r="I49" s="1">
        <v>3</v>
      </c>
    </row>
    <row r="50" spans="1:9" x14ac:dyDescent="0.2">
      <c r="A50" s="1">
        <v>4</v>
      </c>
      <c r="B50" s="1">
        <v>4</v>
      </c>
      <c r="C50">
        <v>13.85</v>
      </c>
      <c r="D50">
        <v>17.8</v>
      </c>
      <c r="E50" s="1">
        <v>4</v>
      </c>
      <c r="F50" s="1">
        <v>4</v>
      </c>
      <c r="G50" s="1">
        <v>4</v>
      </c>
      <c r="H50" s="1">
        <v>12</v>
      </c>
      <c r="I50" s="1">
        <v>4</v>
      </c>
    </row>
    <row r="51" spans="1:9" x14ac:dyDescent="0.2">
      <c r="A51" s="1">
        <v>5</v>
      </c>
      <c r="B51" s="1">
        <v>5</v>
      </c>
      <c r="C51">
        <v>14.2</v>
      </c>
      <c r="D51">
        <v>14.5</v>
      </c>
      <c r="E51" s="1">
        <v>5</v>
      </c>
      <c r="F51" s="1">
        <v>5</v>
      </c>
      <c r="G51" s="1">
        <v>5</v>
      </c>
      <c r="I51" s="1">
        <v>5</v>
      </c>
    </row>
    <row r="52" spans="1:9" x14ac:dyDescent="0.2">
      <c r="A52" s="1">
        <v>6</v>
      </c>
      <c r="B52" s="1">
        <v>6</v>
      </c>
      <c r="C52">
        <v>14</v>
      </c>
      <c r="D52">
        <v>16.8</v>
      </c>
      <c r="E52" s="1">
        <v>6</v>
      </c>
      <c r="F52" s="1">
        <v>6</v>
      </c>
      <c r="G52" s="1">
        <v>6</v>
      </c>
      <c r="I52" s="1">
        <v>6</v>
      </c>
    </row>
    <row r="53" spans="1:9" x14ac:dyDescent="0.2">
      <c r="A53" s="1">
        <v>7</v>
      </c>
      <c r="B53" s="1">
        <v>7</v>
      </c>
      <c r="C53">
        <v>15</v>
      </c>
      <c r="D53">
        <v>17.399999999999999</v>
      </c>
      <c r="E53" s="1">
        <v>7</v>
      </c>
      <c r="F53" s="1">
        <v>7</v>
      </c>
      <c r="G53" s="1">
        <v>7</v>
      </c>
      <c r="I53" s="1">
        <v>7</v>
      </c>
    </row>
    <row r="54" spans="1:9" x14ac:dyDescent="0.2">
      <c r="A54" s="1">
        <v>8</v>
      </c>
      <c r="B54" s="1">
        <v>8</v>
      </c>
      <c r="C54">
        <v>14</v>
      </c>
      <c r="D54">
        <v>18</v>
      </c>
      <c r="E54" s="1">
        <v>8</v>
      </c>
      <c r="F54" s="1">
        <v>8</v>
      </c>
      <c r="G54" s="1">
        <v>8</v>
      </c>
      <c r="I54" s="1">
        <v>8</v>
      </c>
    </row>
    <row r="55" spans="1:9" x14ac:dyDescent="0.2">
      <c r="A55" s="1">
        <v>9</v>
      </c>
      <c r="B55" s="1">
        <v>9</v>
      </c>
      <c r="C55">
        <v>15</v>
      </c>
      <c r="D55">
        <v>17.3</v>
      </c>
      <c r="E55" s="1">
        <v>9</v>
      </c>
      <c r="F55" s="1">
        <v>9</v>
      </c>
      <c r="G55" s="1">
        <v>9</v>
      </c>
      <c r="I55" s="1">
        <v>9</v>
      </c>
    </row>
    <row r="56" spans="1:9" x14ac:dyDescent="0.2">
      <c r="A56" s="1">
        <v>10</v>
      </c>
      <c r="B56" s="1">
        <v>10</v>
      </c>
      <c r="C56">
        <v>14.6</v>
      </c>
      <c r="D56">
        <v>18</v>
      </c>
      <c r="E56" s="1">
        <v>10</v>
      </c>
      <c r="F56" s="1">
        <v>10</v>
      </c>
      <c r="G56" s="1">
        <v>10</v>
      </c>
      <c r="I56" s="1">
        <v>10</v>
      </c>
    </row>
    <row r="57" spans="1:9" x14ac:dyDescent="0.2">
      <c r="A57" s="1">
        <v>11</v>
      </c>
      <c r="B57" s="1">
        <v>11</v>
      </c>
      <c r="C57">
        <v>15</v>
      </c>
      <c r="D57">
        <v>17</v>
      </c>
      <c r="E57" s="1">
        <v>11</v>
      </c>
      <c r="F57" s="1">
        <v>11</v>
      </c>
      <c r="G57" s="1">
        <v>11</v>
      </c>
      <c r="I57" s="1">
        <v>11</v>
      </c>
    </row>
    <row r="58" spans="1:9" x14ac:dyDescent="0.2">
      <c r="A58" s="1">
        <v>12</v>
      </c>
      <c r="C58">
        <v>15</v>
      </c>
      <c r="D58">
        <v>17</v>
      </c>
      <c r="E58" s="1">
        <v>12</v>
      </c>
      <c r="F58" s="1">
        <v>12</v>
      </c>
      <c r="G58" s="1">
        <v>12</v>
      </c>
      <c r="I58" s="1">
        <v>12</v>
      </c>
    </row>
    <row r="59" spans="1:9" x14ac:dyDescent="0.2">
      <c r="A59" s="1">
        <v>13</v>
      </c>
      <c r="C59">
        <v>15</v>
      </c>
      <c r="D59">
        <v>17.100000000000001</v>
      </c>
      <c r="E59" s="1">
        <v>13</v>
      </c>
      <c r="F59" s="1">
        <v>13</v>
      </c>
      <c r="G59" s="1">
        <v>13</v>
      </c>
      <c r="I59" s="1">
        <v>13</v>
      </c>
    </row>
    <row r="60" spans="1:9" x14ac:dyDescent="0.2">
      <c r="A60" s="1">
        <v>14</v>
      </c>
      <c r="C60">
        <v>15</v>
      </c>
      <c r="D60">
        <v>17.8</v>
      </c>
      <c r="E60" s="1">
        <v>14</v>
      </c>
      <c r="F60" s="1">
        <v>14</v>
      </c>
      <c r="G60" s="1">
        <v>14</v>
      </c>
      <c r="I60" s="1">
        <v>14</v>
      </c>
    </row>
    <row r="66" spans="1:5" x14ac:dyDescent="0.2">
      <c r="A66" t="s">
        <v>12</v>
      </c>
      <c r="B66" t="s">
        <v>13</v>
      </c>
    </row>
    <row r="68" spans="1:5" x14ac:dyDescent="0.2">
      <c r="B68" t="s">
        <v>6</v>
      </c>
      <c r="C68" t="s">
        <v>14</v>
      </c>
      <c r="D68" t="s">
        <v>15</v>
      </c>
      <c r="E68" t="s">
        <v>16</v>
      </c>
    </row>
    <row r="69" spans="1:5" x14ac:dyDescent="0.2">
      <c r="A69" s="1">
        <v>1</v>
      </c>
      <c r="B69">
        <f>LOG10(4)</f>
        <v>0.6020599913279624</v>
      </c>
      <c r="C69">
        <f>LOG10(4)</f>
        <v>0.6020599913279624</v>
      </c>
      <c r="D69">
        <f>LOG10(4)</f>
        <v>0.6020599913279624</v>
      </c>
      <c r="E69">
        <f>LOG10(4)</f>
        <v>0.6020599913279624</v>
      </c>
    </row>
    <row r="70" spans="1:5" x14ac:dyDescent="0.2">
      <c r="A70" s="1">
        <v>2</v>
      </c>
      <c r="B70">
        <f>LOG10(10)</f>
        <v>1</v>
      </c>
      <c r="C70">
        <f>LOG10(7)</f>
        <v>0.84509804001425681</v>
      </c>
      <c r="D70">
        <f>LOG10(8.8)</f>
        <v>0.94448267215016868</v>
      </c>
      <c r="E70">
        <f>LOG10(7)</f>
        <v>0.84509804001425681</v>
      </c>
    </row>
    <row r="71" spans="1:5" x14ac:dyDescent="0.2">
      <c r="A71" s="1">
        <v>3</v>
      </c>
      <c r="B71">
        <f>LOG10(16.2)</f>
        <v>1.209515014542631</v>
      </c>
      <c r="C71">
        <f>LOG10(8.3)</f>
        <v>0.91907809237607396</v>
      </c>
      <c r="D71">
        <f>LOG10(8.9)</f>
        <v>0.9493900066449128</v>
      </c>
      <c r="E71">
        <f>LOG10(8.3)</f>
        <v>0.91907809237607396</v>
      </c>
    </row>
    <row r="72" spans="1:5" x14ac:dyDescent="0.2">
      <c r="A72" s="1">
        <v>4</v>
      </c>
      <c r="B72">
        <f>LOG10(35)</f>
        <v>1.5440680443502757</v>
      </c>
      <c r="C72">
        <f>LOG10(12)</f>
        <v>1.0791812460476249</v>
      </c>
      <c r="D72">
        <f>LOG10(11)</f>
        <v>1.0413926851582251</v>
      </c>
      <c r="E72">
        <f>LOG10(12)</f>
        <v>1.0791812460476249</v>
      </c>
    </row>
    <row r="73" spans="1:5" x14ac:dyDescent="0.2">
      <c r="A73" s="1">
        <v>5</v>
      </c>
      <c r="B73">
        <f>LOG10(95)</f>
        <v>1.9777236052888478</v>
      </c>
      <c r="C73">
        <f>LOG10(21)</f>
        <v>1.3222192947339193</v>
      </c>
      <c r="E73">
        <f>LOG10(59.9)</f>
        <v>1.7774268223893113</v>
      </c>
    </row>
    <row r="74" spans="1:5" x14ac:dyDescent="0.2">
      <c r="A74" s="1">
        <v>6</v>
      </c>
      <c r="B74">
        <f>LOG10(170.2)</f>
        <v>2.2309595557485689</v>
      </c>
      <c r="C74">
        <f>LOG10(41)</f>
        <v>1.6127838567197355</v>
      </c>
      <c r="E74">
        <f>LOG10(45.625)</f>
        <v>1.6592028774645311</v>
      </c>
    </row>
    <row r="75" spans="1:5" x14ac:dyDescent="0.2">
      <c r="A75" s="1">
        <v>7</v>
      </c>
      <c r="B75">
        <f>LOG10(323.2)</f>
        <v>2.5094713521025485</v>
      </c>
      <c r="C75">
        <f>LOG10(96.5)</f>
        <v>1.9845273133437926</v>
      </c>
      <c r="E75">
        <f>LOG10(30.1)</f>
        <v>1.4785664955938433</v>
      </c>
    </row>
    <row r="76" spans="1:5" x14ac:dyDescent="0.2">
      <c r="A76" s="1">
        <v>8</v>
      </c>
      <c r="B76">
        <f>LOG10(315.6)</f>
        <v>2.4991369945373827</v>
      </c>
      <c r="C76">
        <f>LOG10(245.3)</f>
        <v>2.3896975482063856</v>
      </c>
      <c r="E76">
        <f>LOG10(17.9)</f>
        <v>1.2528530309798931</v>
      </c>
    </row>
    <row r="77" spans="1:5" x14ac:dyDescent="0.2">
      <c r="A77" s="1">
        <v>9</v>
      </c>
      <c r="B77">
        <f>LOG10(1491)</f>
        <v>3.1734776434529945</v>
      </c>
      <c r="C77">
        <f>LOG10(298.7)</f>
        <v>2.4752352226041281</v>
      </c>
      <c r="E77">
        <f>LOG10(30.9)</f>
        <v>1.4899584794248346</v>
      </c>
    </row>
    <row r="78" spans="1:5" x14ac:dyDescent="0.2">
      <c r="A78" s="1">
        <v>10</v>
      </c>
      <c r="B78">
        <f>LOG10(2920.6)</f>
        <v>3.4654720808734973</v>
      </c>
      <c r="C78">
        <f>LOG10(569.7)</f>
        <v>2.75564621945668</v>
      </c>
    </row>
    <row r="79" spans="1:5" x14ac:dyDescent="0.2">
      <c r="A79" s="1">
        <v>11</v>
      </c>
      <c r="B79">
        <f>LOG10(9256.8)</f>
        <v>3.9664608805776478</v>
      </c>
      <c r="C79">
        <f>LOG10(1610.5)</f>
        <v>3.2069607291557101</v>
      </c>
    </row>
    <row r="80" spans="1:5" x14ac:dyDescent="0.2">
      <c r="A80" s="1">
        <v>12</v>
      </c>
      <c r="B80">
        <f>LOG10(20935.2)</f>
        <v>4.3208771141874349</v>
      </c>
      <c r="C80">
        <f>LOG10(1731.6)</f>
        <v>3.2384475771411192</v>
      </c>
    </row>
    <row r="81" spans="1:8" x14ac:dyDescent="0.2">
      <c r="A81" s="1">
        <v>13</v>
      </c>
      <c r="B81">
        <f>LOG10(31495.6)</f>
        <v>4.4982498861961977</v>
      </c>
      <c r="C81">
        <f>LOG10(2618.9)</f>
        <v>3.4181189156541998</v>
      </c>
    </row>
    <row r="82" spans="1:8" x14ac:dyDescent="0.2">
      <c r="A82" s="1">
        <v>14</v>
      </c>
      <c r="B82">
        <f>LOG10(27559.8)</f>
        <v>4.4402760615951111</v>
      </c>
      <c r="C82">
        <f>LOG10(20027.8)</f>
        <v>4.3016332458320203</v>
      </c>
    </row>
    <row r="87" spans="1:8" x14ac:dyDescent="0.2">
      <c r="A87" t="s">
        <v>12</v>
      </c>
      <c r="B87" t="s">
        <v>17</v>
      </c>
    </row>
    <row r="91" spans="1:8" x14ac:dyDescent="0.2">
      <c r="B91" t="s">
        <v>2</v>
      </c>
      <c r="C91" t="s">
        <v>3</v>
      </c>
      <c r="D91" t="s">
        <v>4</v>
      </c>
      <c r="E91" t="s">
        <v>5</v>
      </c>
      <c r="F91" t="s">
        <v>6</v>
      </c>
      <c r="G91" t="s">
        <v>10</v>
      </c>
      <c r="H91" t="s">
        <v>11</v>
      </c>
    </row>
    <row r="92" spans="1:8" x14ac:dyDescent="0.2">
      <c r="A92">
        <v>1</v>
      </c>
      <c r="B92">
        <f>LOG10(6.3)</f>
        <v>0.79934054945358168</v>
      </c>
      <c r="C92">
        <f>LOG10(28.4)</f>
        <v>1.4533183400470377</v>
      </c>
      <c r="D92">
        <f>LOG10(28.3333)</f>
        <v>1.4522971600596453</v>
      </c>
      <c r="E92">
        <f>LOG10(4)</f>
        <v>0.6020599913279624</v>
      </c>
      <c r="F92">
        <f>LOG10(4)</f>
        <v>0.6020599913279624</v>
      </c>
      <c r="G92">
        <f>LOG10(4)</f>
        <v>0.6020599913279624</v>
      </c>
      <c r="H92">
        <f>LOG10(34.7)</f>
        <v>1.5403294747908738</v>
      </c>
    </row>
    <row r="93" spans="1:8" x14ac:dyDescent="0.2">
      <c r="A93">
        <v>2</v>
      </c>
      <c r="B93">
        <f>LOG10(14.4)</f>
        <v>1.1583624920952498</v>
      </c>
      <c r="C93">
        <f>LOG10(86.2857143)</f>
        <v>1.935938898678778</v>
      </c>
      <c r="D93">
        <f>LOG10(118.777778)</f>
        <v>2.0747351965819778</v>
      </c>
      <c r="E93">
        <f>LOG10(9.7)</f>
        <v>0.98677173426624487</v>
      </c>
      <c r="F93">
        <f>LOG10(6)</f>
        <v>0.77815125038364363</v>
      </c>
      <c r="G93">
        <f>LOG10(7.4)</f>
        <v>0.86923171973097624</v>
      </c>
      <c r="H93">
        <f>LOG10(41.5)</f>
        <v>1.6180480967120927</v>
      </c>
    </row>
    <row r="94" spans="1:8" x14ac:dyDescent="0.2">
      <c r="A94">
        <v>3</v>
      </c>
      <c r="B94">
        <f>LOG10(16.4)</f>
        <v>1.2148438480476977</v>
      </c>
      <c r="C94">
        <f>LOG10(173.66667)</f>
        <v>2.2397164769156488</v>
      </c>
      <c r="D94">
        <f>LOG10(963.2)</f>
        <v>2.9837164739137494</v>
      </c>
      <c r="E94">
        <f>LOG10(14.1)</f>
        <v>1.1492191126553799</v>
      </c>
      <c r="F94">
        <f>LOG10(6.4)</f>
        <v>0.80617997398388719</v>
      </c>
      <c r="G94">
        <f>LOG10(6.1)</f>
        <v>0.78532983501076703</v>
      </c>
      <c r="H94">
        <f>LOG10(33.2)</f>
        <v>1.5211380837040362</v>
      </c>
    </row>
    <row r="95" spans="1:8" x14ac:dyDescent="0.2">
      <c r="A95">
        <v>4</v>
      </c>
      <c r="B95">
        <f>LOG10(51.2)</f>
        <v>1.7092699609758308</v>
      </c>
      <c r="C95">
        <f>LOG10(146.714286)</f>
        <v>2.1664724044287751</v>
      </c>
      <c r="D95">
        <f>LOG10(1884.7778)</f>
        <v>3.2752601577662399</v>
      </c>
      <c r="E95">
        <f>LOG10(52.2)</f>
        <v>1.7176705030022621</v>
      </c>
      <c r="F95">
        <f>LOG10(9)</f>
        <v>0.95424250943932487</v>
      </c>
      <c r="G95">
        <f>LOG10(9)</f>
        <v>0.95424250943932487</v>
      </c>
      <c r="H95">
        <f>LOG10(95.6)</f>
        <v>1.9804578922761</v>
      </c>
    </row>
    <row r="96" spans="1:8" x14ac:dyDescent="0.2">
      <c r="A96">
        <v>5</v>
      </c>
      <c r="B96">
        <f>LOG10(75.7)</f>
        <v>1.8790958795000727</v>
      </c>
      <c r="C96">
        <f>LOG10(192.4)</f>
        <v>2.284205067701794</v>
      </c>
      <c r="D96">
        <f>LOG10(1160.1111)</f>
        <v>3.0644995821635468</v>
      </c>
      <c r="E96">
        <f>LOG10(70.9)</f>
        <v>1.8506462351830666</v>
      </c>
      <c r="F96">
        <f>LOG10(15)</f>
        <v>1.1760912590556813</v>
      </c>
      <c r="G96">
        <f>LOG10(17.2)</f>
        <v>1.2355284469075489</v>
      </c>
      <c r="H96">
        <f>LOG10(120.2)</f>
        <v>2.0799044676667209</v>
      </c>
    </row>
    <row r="97" spans="1:8" x14ac:dyDescent="0.2">
      <c r="A97">
        <v>6</v>
      </c>
      <c r="B97">
        <f>LOG10(245.5)</f>
        <v>2.3900514964589874</v>
      </c>
      <c r="C97">
        <f>LOG10(3582.8)</f>
        <v>3.5542225655424251</v>
      </c>
      <c r="D97">
        <f>LOG10(820.2)</f>
        <v>2.9139197649514661</v>
      </c>
      <c r="E97">
        <f>LOG10(237)</f>
        <v>2.374748346010104</v>
      </c>
      <c r="F97">
        <f>LOG10(23)</f>
        <v>1.3617278360175928</v>
      </c>
      <c r="G97">
        <f>LOG10(14.8)</f>
        <v>1.1702617153949575</v>
      </c>
      <c r="H97">
        <f>LOG10(130.2)</f>
        <v>2.114610984232173</v>
      </c>
    </row>
    <row r="98" spans="1:8" x14ac:dyDescent="0.2">
      <c r="A98">
        <v>7</v>
      </c>
      <c r="B98">
        <f>LOG10(278.9)</f>
        <v>2.44544851426605</v>
      </c>
      <c r="C98">
        <f>LOG10(777.5)</f>
        <v>2.890700397698875</v>
      </c>
      <c r="D98">
        <f>LOG10(1480.1)</f>
        <v>3.1702910586253932</v>
      </c>
      <c r="E98">
        <f>LOG10(291.3)</f>
        <v>2.4643404846276673</v>
      </c>
      <c r="F98">
        <f>LOG10(39.6)</f>
        <v>1.5976951859255124</v>
      </c>
      <c r="G98">
        <f>LOG10(18)</f>
        <v>1.255272505103306</v>
      </c>
      <c r="H98">
        <f>LOG10(146.5)</f>
        <v>2.1658376246901283</v>
      </c>
    </row>
    <row r="99" spans="1:8" x14ac:dyDescent="0.2">
      <c r="A99">
        <v>8</v>
      </c>
      <c r="B99">
        <f>LOG10(580.9)</f>
        <v>2.7641013764762286</v>
      </c>
      <c r="C99">
        <f>LOG10(11628.3)</f>
        <v>4.0655162276618482</v>
      </c>
      <c r="D99">
        <f>LOG10(2321.6667)</f>
        <v>3.3657998722757037</v>
      </c>
      <c r="E99">
        <f>LOG10(660.6)</f>
        <v>2.8199385693553953</v>
      </c>
      <c r="F99">
        <f>LOG10(52)</f>
        <v>1.7160033436347992</v>
      </c>
      <c r="G99">
        <f>LOG10(19)</f>
        <v>1.2787536009528289</v>
      </c>
      <c r="H99">
        <f>LOG10(169.8)</f>
        <v>2.2299376859079341</v>
      </c>
    </row>
    <row r="100" spans="1:8" x14ac:dyDescent="0.2">
      <c r="A100">
        <v>9</v>
      </c>
      <c r="B100">
        <f>LOG10(1096.4)</f>
        <v>3.0399690268674608</v>
      </c>
      <c r="C100">
        <f>LOG10(287.7)</f>
        <v>2.4589398618903262</v>
      </c>
      <c r="D100">
        <f>LOG10(1812.1)</f>
        <v>3.2581821603660979</v>
      </c>
      <c r="E100">
        <f>LOG10(1013.8)</f>
        <v>3.0059522868873829</v>
      </c>
      <c r="F100">
        <f>LOG10(75.4)</f>
        <v>1.8773713458697741</v>
      </c>
      <c r="G100">
        <f>LOG10(21)</f>
        <v>1.3222192947339193</v>
      </c>
      <c r="H100">
        <f>LOG10(138)</f>
        <v>2.1398790864012365</v>
      </c>
    </row>
    <row r="101" spans="1:8" x14ac:dyDescent="0.2">
      <c r="A101">
        <v>10</v>
      </c>
      <c r="B101">
        <f>LOG10(1977.7)</f>
        <v>3.2961604135372582</v>
      </c>
      <c r="C101">
        <f>LOG10(4714.9)</f>
        <v>3.6734724860640697</v>
      </c>
      <c r="D101">
        <f>LOG10(9921.1)</f>
        <v>3.9965598271385883</v>
      </c>
      <c r="E101">
        <f>LOG10(2427.8)</f>
        <v>3.3852129070844548</v>
      </c>
      <c r="F101">
        <f>LOG10(100.2)</f>
        <v>2.0008677215312267</v>
      </c>
      <c r="G101">
        <f>LOG10(58.4)</f>
        <v>1.7664128471123994</v>
      </c>
      <c r="H101">
        <f>LOG10(261.7)</f>
        <v>2.417803722639881</v>
      </c>
    </row>
    <row r="102" spans="1:8" x14ac:dyDescent="0.2">
      <c r="A102">
        <v>11</v>
      </c>
      <c r="B102">
        <f>LOG10(4056.9)</f>
        <v>3.6081943027540082</v>
      </c>
      <c r="C102">
        <f>LOG10(8476.8)</f>
        <v>3.928231936617137</v>
      </c>
      <c r="D102">
        <f>LOG10(24119.7)</f>
        <v>4.3823719017618608</v>
      </c>
      <c r="E102">
        <f>LOG10(4828.4)</f>
        <v>3.6838032412506836</v>
      </c>
      <c r="F102">
        <f>LOG10(164.5)</f>
        <v>2.2161659022859932</v>
      </c>
      <c r="G102">
        <f>LOG10(21.3)</f>
        <v>1.3283796034387378</v>
      </c>
      <c r="H102">
        <f>LOG10(299.8)</f>
        <v>2.4768316285122607</v>
      </c>
    </row>
    <row r="103" spans="1:8" x14ac:dyDescent="0.2">
      <c r="A103">
        <v>12</v>
      </c>
      <c r="B103">
        <f>LOG10(14464.5)</f>
        <v>4.1603034258171148</v>
      </c>
      <c r="C103">
        <f>LOG10(18005.1111)</f>
        <v>4.2553958055166943</v>
      </c>
      <c r="D103">
        <f>LOG10(85266.4)</f>
        <v>4.9307779271894745</v>
      </c>
      <c r="E103">
        <f>LOG10(16314.6)</f>
        <v>4.2125764302585953</v>
      </c>
      <c r="F103">
        <f>LOG10(243.8)</f>
        <v>2.387033701282363</v>
      </c>
      <c r="G103">
        <f>LOG10(27)</f>
        <v>1.4313637641589874</v>
      </c>
      <c r="H103">
        <f>LOG10(474.7)</f>
        <v>2.6764192317183602</v>
      </c>
    </row>
    <row r="104" spans="1:8" x14ac:dyDescent="0.2">
      <c r="A104">
        <v>13</v>
      </c>
      <c r="B104">
        <f>LOG10(16119.7)</f>
        <v>4.2073569549903533</v>
      </c>
      <c r="C104">
        <f>LOG10(18861.8889)</f>
        <v>4.275585182450599</v>
      </c>
      <c r="D104">
        <f>LOG10(106202.9)</f>
        <v>5.0261363758490463</v>
      </c>
      <c r="E104">
        <f>LOG10(16744.8)</f>
        <v>4.2238799646907497</v>
      </c>
      <c r="F104">
        <f>LOG10(244.4)</f>
        <v>2.3881012015705165</v>
      </c>
      <c r="G104">
        <f>LOG10(29.2)</f>
        <v>1.4653828514484182</v>
      </c>
      <c r="H104">
        <f>LOG10(574.4)</f>
        <v>2.7592144312342439</v>
      </c>
    </row>
    <row r="105" spans="1:8" x14ac:dyDescent="0.2">
      <c r="A105">
        <v>14</v>
      </c>
      <c r="B105">
        <f>LOG10(26561.1)</f>
        <v>4.4242460569172799</v>
      </c>
      <c r="C105">
        <f>LOG10(35000.8889)</f>
        <v>4.5440790740492139</v>
      </c>
      <c r="D105">
        <f>LOG10(17654.9)</f>
        <v>4.246865261997038</v>
      </c>
      <c r="E105">
        <f>LOG10(29336.8)</f>
        <v>4.46741274010936</v>
      </c>
      <c r="F105">
        <f>LOG10(651.1)</f>
        <v>2.8136476953468965</v>
      </c>
      <c r="G105">
        <f>LOG10(222.7)</f>
        <v>2.3477202170340381</v>
      </c>
      <c r="H105">
        <f>LOG10(777.1)</f>
        <v>2.8904769089601707</v>
      </c>
    </row>
    <row r="109" spans="1:8" x14ac:dyDescent="0.2">
      <c r="A109" t="s">
        <v>18</v>
      </c>
    </row>
    <row r="113" spans="1:5" x14ac:dyDescent="0.2">
      <c r="B113" t="s">
        <v>2</v>
      </c>
      <c r="C113" t="s">
        <v>19</v>
      </c>
      <c r="D113" t="s">
        <v>6</v>
      </c>
      <c r="E113" t="s">
        <v>20</v>
      </c>
    </row>
    <row r="114" spans="1:5" x14ac:dyDescent="0.2">
      <c r="A114">
        <v>1</v>
      </c>
      <c r="B114">
        <f>LOG10(8.5)</f>
        <v>0.92941892571429274</v>
      </c>
      <c r="C114">
        <f>LOG10(7)</f>
        <v>0.84509804001425681</v>
      </c>
      <c r="D114">
        <f>LOG10(4)</f>
        <v>0.6020599913279624</v>
      </c>
      <c r="E114">
        <f>LOG10(4)</f>
        <v>0.6020599913279624</v>
      </c>
    </row>
    <row r="115" spans="1:5" x14ac:dyDescent="0.2">
      <c r="A115">
        <v>2</v>
      </c>
      <c r="B115">
        <f>LOG10(22.2)</f>
        <v>1.3463529744506386</v>
      </c>
      <c r="C115">
        <f>LOG10(11.9)</f>
        <v>1.0755469613925308</v>
      </c>
      <c r="D115">
        <f>LOG10(10)</f>
        <v>1</v>
      </c>
      <c r="E115">
        <f>LOG10(8)</f>
        <v>0.90308998699194354</v>
      </c>
    </row>
    <row r="116" spans="1:5" x14ac:dyDescent="0.2">
      <c r="A116">
        <v>3</v>
      </c>
      <c r="B116">
        <f>LOG10(34.2)</f>
        <v>1.5340261060561351</v>
      </c>
      <c r="C116">
        <f>LOG10(10.6)</f>
        <v>1.0253058652647702</v>
      </c>
      <c r="D116">
        <f>LOG10(16.2)</f>
        <v>1.209515014542631</v>
      </c>
      <c r="E116">
        <f>LOG10(8)</f>
        <v>0.90308998699194354</v>
      </c>
    </row>
    <row r="117" spans="1:5" x14ac:dyDescent="0.2">
      <c r="A117">
        <v>4</v>
      </c>
      <c r="B117">
        <f>LOG10(147.5)</f>
        <v>2.1687920203141817</v>
      </c>
      <c r="C117">
        <f>LOG10(49.9)</f>
        <v>1.69810054562339</v>
      </c>
      <c r="D117">
        <f>LOG10(35)</f>
        <v>1.5440680443502757</v>
      </c>
      <c r="E117">
        <f>LOG10(14)</f>
        <v>1.146128035678238</v>
      </c>
    </row>
    <row r="118" spans="1:5" x14ac:dyDescent="0.2">
      <c r="A118">
        <v>5</v>
      </c>
      <c r="B118">
        <f>LOG10(292.6)</f>
        <v>2.466274321789292</v>
      </c>
      <c r="C118">
        <f>LOG10(46.4)</f>
        <v>1.6665179805548809</v>
      </c>
      <c r="D118">
        <f>LOG10(95)</f>
        <v>1.9777236052888478</v>
      </c>
      <c r="E118">
        <f>LOG10(15)</f>
        <v>1.1760912590556813</v>
      </c>
    </row>
    <row r="119" spans="1:5" x14ac:dyDescent="0.2">
      <c r="A119">
        <v>6</v>
      </c>
      <c r="B119">
        <f>LOG10(1921.2)</f>
        <v>3.2835725779669245</v>
      </c>
      <c r="C119">
        <f>LOG10(123.1)</f>
        <v>2.0902580529313162</v>
      </c>
      <c r="D119">
        <f>LOG10(170.2)</f>
        <v>2.2309595557485689</v>
      </c>
      <c r="E119">
        <f>LOG10(37.5)</f>
        <v>1.5740312677277188</v>
      </c>
    </row>
    <row r="120" spans="1:5" x14ac:dyDescent="0.2">
      <c r="A120">
        <v>7</v>
      </c>
      <c r="B120">
        <f>LOG10(2487.4)</f>
        <v>3.395745629992168</v>
      </c>
      <c r="C120">
        <f>LOG10(138.5)</f>
        <v>2.1414497734004674</v>
      </c>
      <c r="D120">
        <f>LOG10(323.2)</f>
        <v>2.5094713521025485</v>
      </c>
      <c r="E120">
        <f>LOG10(40)</f>
        <v>1.6020599913279623</v>
      </c>
    </row>
    <row r="121" spans="1:5" x14ac:dyDescent="0.2">
      <c r="A121">
        <v>8</v>
      </c>
      <c r="B121">
        <f>LOG10(10210.5)</f>
        <v>4.0090470096602795</v>
      </c>
      <c r="C121">
        <f>LOG10(408.3)</f>
        <v>2.610979379922997</v>
      </c>
      <c r="D121">
        <f>LOG10(315.6)</f>
        <v>2.4991369945373827</v>
      </c>
      <c r="E121">
        <f>LOG10(63.8)</f>
        <v>1.8048206787211623</v>
      </c>
    </row>
    <row r="122" spans="1:5" x14ac:dyDescent="0.2">
      <c r="A122">
        <v>9</v>
      </c>
      <c r="B122">
        <f>LOG10(21651.3)</f>
        <v>4.335483977635187</v>
      </c>
      <c r="C122">
        <f>LOG10(366.6)</f>
        <v>2.5641924606261979</v>
      </c>
      <c r="D122">
        <f>LOG10(1491)</f>
        <v>3.1734776434529945</v>
      </c>
      <c r="E122">
        <f>LOG10(97.7)</f>
        <v>1.989894563718773</v>
      </c>
    </row>
    <row r="123" spans="1:5" x14ac:dyDescent="0.2">
      <c r="A123">
        <v>10</v>
      </c>
      <c r="B123">
        <f>LOG10(94063.1)</f>
        <v>4.9734192875156182</v>
      </c>
      <c r="C123">
        <f>LOG10(559.6)</f>
        <v>2.7478777058197901</v>
      </c>
      <c r="D123">
        <f>LOG10(2920.6)</f>
        <v>3.4654720808734973</v>
      </c>
      <c r="E123">
        <f>LOG10(122.9)</f>
        <v>2.0895518828864543</v>
      </c>
    </row>
    <row r="124" spans="1:5" x14ac:dyDescent="0.2">
      <c r="A124">
        <v>11</v>
      </c>
      <c r="B124">
        <f>LOG10(289142.4)</f>
        <v>5.4611117815213701</v>
      </c>
      <c r="C124">
        <f>LOG10(1185.7)</f>
        <v>3.0739748198666588</v>
      </c>
      <c r="D124">
        <f>LOG10(9256.8)</f>
        <v>3.9664608805776478</v>
      </c>
      <c r="E124">
        <f>LOG10(253.9)</f>
        <v>2.4046627008737222</v>
      </c>
    </row>
    <row r="125" spans="1:5" x14ac:dyDescent="0.2">
      <c r="A125">
        <v>12</v>
      </c>
      <c r="C125">
        <f>LOG10(1362)</f>
        <v>3.1341771075767664</v>
      </c>
      <c r="D125">
        <f>LOG10(20935.2)</f>
        <v>4.3208771141874349</v>
      </c>
      <c r="E125">
        <f>LOG10(312.8)</f>
        <v>2.4952667443878105</v>
      </c>
    </row>
    <row r="126" spans="1:5" x14ac:dyDescent="0.2">
      <c r="A126">
        <v>13</v>
      </c>
      <c r="C126">
        <f>LOG10(1970.2)</f>
        <v>3.2945103147339778</v>
      </c>
      <c r="D126">
        <f>LOG10(31495.6)</f>
        <v>4.4982498861961977</v>
      </c>
      <c r="E126">
        <f>LOG10(505.1)</f>
        <v>2.7033773685123497</v>
      </c>
    </row>
    <row r="127" spans="1:5" x14ac:dyDescent="0.2">
      <c r="A127">
        <v>14</v>
      </c>
      <c r="C127">
        <f>LOG10(2237.1)</f>
        <v>3.349685397810314</v>
      </c>
      <c r="D127">
        <f>LOG10(27559.8)</f>
        <v>4.4402760615951111</v>
      </c>
      <c r="E127">
        <f>LOG10(344.5)</f>
        <v>2.5371892262436444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Filipe Pinto Pereira</dc:creator>
  <cp:lastModifiedBy>Diogo Filipe Pinto Pereira</cp:lastModifiedBy>
  <dcterms:created xsi:type="dcterms:W3CDTF">2019-11-15T20:06:11Z</dcterms:created>
  <dcterms:modified xsi:type="dcterms:W3CDTF">2019-11-18T02:40:19Z</dcterms:modified>
</cp:coreProperties>
</file>