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560" windowHeight="8340" firstSheet="15" activeTab="18"/>
  </bookViews>
  <sheets>
    <sheet name="Rules" sheetId="2" r:id="rId1"/>
    <sheet name="Assumptions" sheetId="3" r:id="rId2"/>
    <sheet name="2020 Batsman" sheetId="5" r:id="rId3"/>
    <sheet name="2020 Bowlers" sheetId="6" r:id="rId4"/>
    <sheet name="2020 All Rounders" sheetId="7" r:id="rId5"/>
    <sheet name="2019 Batsman" sheetId="8" r:id="rId6"/>
    <sheet name="2019 Bowlers" sheetId="9" r:id="rId7"/>
    <sheet name="2019 All Rounders" sheetId="10" r:id="rId8"/>
    <sheet name="Assumption 1" sheetId="11" r:id="rId9"/>
    <sheet name="Assumption 2" sheetId="12" r:id="rId10"/>
    <sheet name="Assumption 3" sheetId="13" r:id="rId11"/>
    <sheet name="Assumption 4" sheetId="15" r:id="rId12"/>
    <sheet name="Assumption 5" sheetId="16" r:id="rId13"/>
    <sheet name="Assumption 6" sheetId="17" r:id="rId14"/>
    <sheet name="Assumption 7" sheetId="18" r:id="rId15"/>
    <sheet name="Assumption 8" sheetId="19" r:id="rId16"/>
    <sheet name="Assumption Insights" sheetId="20" r:id="rId17"/>
    <sheet name="Predicted Team &amp; Combination" sheetId="21" r:id="rId18"/>
    <sheet name="workbook" sheetId="14" r:id="rId19"/>
  </sheets>
  <definedNames>
    <definedName name="_xlnm._FilterDatabase" localSheetId="17" hidden="1">'Predicted Team &amp; Combination'!$A$1:$F$22</definedName>
    <definedName name="most_catches_career.html?id_13533_type_tournament_1" localSheetId="18">workbook!$J$82:$O$314</definedName>
  </definedNames>
  <calcPr calcId="152511"/>
</workbook>
</file>

<file path=xl/calcChain.xml><?xml version="1.0" encoding="utf-8"?>
<calcChain xmlns="http://schemas.openxmlformats.org/spreadsheetml/2006/main">
  <c r="P10" i="5" l="1"/>
  <c r="O2" i="5"/>
  <c r="F4" i="13" l="1"/>
  <c r="G3" i="13"/>
  <c r="F3" i="13"/>
  <c r="O3" i="8"/>
  <c r="R2" i="5"/>
  <c r="R27" i="11" l="1"/>
  <c r="R28" i="11"/>
  <c r="L5" i="21"/>
  <c r="M3" i="6"/>
  <c r="P2" i="5"/>
  <c r="Q2" i="5" s="1"/>
  <c r="M5" i="21" l="1"/>
  <c r="M6" i="21"/>
  <c r="L6" i="21"/>
  <c r="E15" i="20"/>
  <c r="E14" i="20"/>
  <c r="E12" i="20"/>
  <c r="E9" i="20"/>
  <c r="E10" i="20"/>
  <c r="E11" i="20"/>
  <c r="E13" i="20"/>
  <c r="E8" i="20"/>
  <c r="D12" i="20"/>
  <c r="D10" i="20"/>
  <c r="D11" i="20"/>
  <c r="D13" i="20"/>
  <c r="D14" i="20"/>
  <c r="D15" i="20"/>
  <c r="D9" i="20"/>
  <c r="F27" i="19"/>
  <c r="F28" i="19"/>
  <c r="D8" i="20"/>
  <c r="E28" i="19"/>
  <c r="E27" i="19"/>
  <c r="F6" i="19"/>
  <c r="F5" i="19"/>
  <c r="E7" i="19" s="1"/>
  <c r="E6" i="19"/>
  <c r="E5" i="19"/>
  <c r="F24" i="18"/>
  <c r="F23" i="18"/>
  <c r="E25" i="18" s="1"/>
  <c r="E24" i="18"/>
  <c r="E23" i="18"/>
  <c r="G7" i="18"/>
  <c r="G6" i="18"/>
  <c r="F7" i="18"/>
  <c r="F6" i="18"/>
  <c r="E29" i="19" l="1"/>
  <c r="F8" i="18"/>
  <c r="F20" i="17"/>
  <c r="F21" i="17"/>
  <c r="E21" i="17"/>
  <c r="E20" i="17"/>
  <c r="F5" i="17"/>
  <c r="F4" i="17"/>
  <c r="E5" i="17"/>
  <c r="E4" i="17"/>
  <c r="F6" i="16"/>
  <c r="F5" i="16"/>
  <c r="E7" i="16" s="1"/>
  <c r="E6" i="16"/>
  <c r="E5" i="16"/>
  <c r="F23" i="15"/>
  <c r="G24" i="15"/>
  <c r="G23" i="15"/>
  <c r="F25" i="15" s="1"/>
  <c r="F24" i="15"/>
  <c r="F6" i="15"/>
  <c r="G6" i="15"/>
  <c r="G4" i="13"/>
  <c r="F5" i="13" s="1"/>
  <c r="C35" i="13"/>
  <c r="C34" i="13"/>
  <c r="C33" i="13"/>
  <c r="C32" i="13"/>
  <c r="C31" i="13"/>
  <c r="C30" i="13"/>
  <c r="Q24" i="12"/>
  <c r="Q23" i="12"/>
  <c r="P25" i="12" s="1"/>
  <c r="P24" i="12"/>
  <c r="P23" i="12"/>
  <c r="R5" i="12"/>
  <c r="R4" i="12"/>
  <c r="Q6" i="12" s="1"/>
  <c r="Q5" i="12"/>
  <c r="Q4" i="12"/>
  <c r="S28" i="11"/>
  <c r="S27" i="11"/>
  <c r="Q4" i="11"/>
  <c r="Q5" i="11"/>
  <c r="F23" i="13" l="1"/>
  <c r="G24" i="13"/>
  <c r="E22" i="17"/>
  <c r="G23" i="13"/>
  <c r="F24" i="13"/>
  <c r="F5" i="15"/>
  <c r="G5" i="15"/>
  <c r="F7" i="15" s="1"/>
  <c r="S29" i="11"/>
  <c r="R5" i="11"/>
  <c r="R4" i="11"/>
  <c r="P3" i="5"/>
  <c r="Q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Q10" i="5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B17" i="17" s="1"/>
  <c r="E6" i="17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P4" i="8"/>
  <c r="Q4" i="8" s="1"/>
  <c r="P5" i="8"/>
  <c r="P6" i="8"/>
  <c r="P7" i="8"/>
  <c r="P8" i="8"/>
  <c r="Q8" i="8" s="1"/>
  <c r="P9" i="8"/>
  <c r="Q9" i="8" s="1"/>
  <c r="P10" i="8"/>
  <c r="P11" i="8"/>
  <c r="P12" i="8"/>
  <c r="P13" i="8"/>
  <c r="Q13" i="8" s="1"/>
  <c r="P14" i="8"/>
  <c r="Q14" i="8" s="1"/>
  <c r="P15" i="8"/>
  <c r="Q15" i="8" s="1"/>
  <c r="P16" i="8"/>
  <c r="P17" i="8"/>
  <c r="P18" i="8"/>
  <c r="Q18" i="8" s="1"/>
  <c r="P19" i="8"/>
  <c r="Q19" i="8" s="1"/>
  <c r="P20" i="8"/>
  <c r="P21" i="8"/>
  <c r="P22" i="8"/>
  <c r="Q22" i="8" s="1"/>
  <c r="P23" i="8"/>
  <c r="Q23" i="8" s="1"/>
  <c r="P24" i="8"/>
  <c r="P25" i="8"/>
  <c r="Q25" i="8" s="1"/>
  <c r="P26" i="8"/>
  <c r="P27" i="8"/>
  <c r="Q27" i="8" s="1"/>
  <c r="P28" i="8"/>
  <c r="Q28" i="8" s="1"/>
  <c r="P29" i="8"/>
  <c r="Q29" i="8" s="1"/>
  <c r="P30" i="8"/>
  <c r="B30" i="16" s="1"/>
  <c r="P31" i="8"/>
  <c r="P32" i="8"/>
  <c r="Q32" i="8" s="1"/>
  <c r="P33" i="8"/>
  <c r="Q33" i="8" s="1"/>
  <c r="P34" i="8"/>
  <c r="P35" i="8"/>
  <c r="P36" i="8"/>
  <c r="P37" i="8"/>
  <c r="Q37" i="8" s="1"/>
  <c r="P38" i="8"/>
  <c r="Q38" i="8" s="1"/>
  <c r="P39" i="8"/>
  <c r="Q39" i="8" s="1"/>
  <c r="P40" i="8"/>
  <c r="P41" i="8"/>
  <c r="Q41" i="8" s="1"/>
  <c r="P42" i="8"/>
  <c r="P43" i="8"/>
  <c r="Q43" i="8" s="1"/>
  <c r="P44" i="8"/>
  <c r="Q44" i="8" s="1"/>
  <c r="P45" i="8"/>
  <c r="Q45" i="8" s="1"/>
  <c r="P46" i="8"/>
  <c r="P47" i="8"/>
  <c r="P48" i="8"/>
  <c r="Q48" i="8" s="1"/>
  <c r="P49" i="8"/>
  <c r="Q49" i="8" s="1"/>
  <c r="P50" i="8"/>
  <c r="P51" i="8"/>
  <c r="P52" i="8"/>
  <c r="Q5" i="8"/>
  <c r="Q6" i="8"/>
  <c r="Q7" i="8"/>
  <c r="Q10" i="8"/>
  <c r="Q11" i="8"/>
  <c r="Q12" i="8"/>
  <c r="Q16" i="8"/>
  <c r="Q17" i="8"/>
  <c r="Q20" i="8"/>
  <c r="Q21" i="8"/>
  <c r="Q24" i="8"/>
  <c r="Q26" i="8"/>
  <c r="Q30" i="8"/>
  <c r="Q31" i="8"/>
  <c r="Q34" i="8"/>
  <c r="Q35" i="8"/>
  <c r="Q36" i="8"/>
  <c r="Q40" i="8"/>
  <c r="Q42" i="8"/>
  <c r="Q46" i="8"/>
  <c r="Q47" i="8"/>
  <c r="Q50" i="8"/>
  <c r="Q51" i="8"/>
  <c r="Q52" i="8"/>
  <c r="P3" i="8"/>
  <c r="Q3" i="8" s="1"/>
  <c r="P102" i="8"/>
  <c r="O4" i="8"/>
  <c r="O5" i="8"/>
  <c r="O6" i="8"/>
  <c r="O7" i="8"/>
  <c r="O8" i="8"/>
  <c r="O9" i="8"/>
  <c r="O10" i="8"/>
  <c r="O11" i="8"/>
  <c r="O12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F25" i="16" l="1"/>
  <c r="F24" i="16"/>
  <c r="E25" i="16"/>
  <c r="E24" i="16"/>
  <c r="F25" i="13"/>
  <c r="Q17" i="5"/>
  <c r="R6" i="11"/>
  <c r="O13" i="8"/>
  <c r="N14" i="10"/>
  <c r="C24" i="10" s="1"/>
  <c r="N15" i="10"/>
  <c r="C25" i="10" s="1"/>
  <c r="N16" i="10"/>
  <c r="C26" i="10" s="1"/>
  <c r="N17" i="10"/>
  <c r="C27" i="10" s="1"/>
  <c r="N18" i="10"/>
  <c r="C28" i="10" s="1"/>
  <c r="N19" i="10"/>
  <c r="C29" i="10" s="1"/>
  <c r="N20" i="10"/>
  <c r="C30" i="10" s="1"/>
  <c r="N13" i="10"/>
  <c r="C23" i="10" s="1"/>
  <c r="M6" i="9"/>
  <c r="M44" i="9"/>
  <c r="M45" i="9"/>
  <c r="M25" i="9"/>
  <c r="M39" i="9"/>
  <c r="M32" i="9"/>
  <c r="M8" i="9"/>
  <c r="M28" i="9"/>
  <c r="M29" i="9"/>
  <c r="M48" i="9"/>
  <c r="M7" i="9"/>
  <c r="M22" i="9"/>
  <c r="M12" i="9"/>
  <c r="M13" i="9"/>
  <c r="M18" i="9"/>
  <c r="M40" i="9"/>
  <c r="M36" i="9"/>
  <c r="M38" i="9"/>
  <c r="M30" i="9"/>
  <c r="M10" i="9"/>
  <c r="M23" i="9"/>
  <c r="M41" i="9"/>
  <c r="M46" i="9"/>
  <c r="M27" i="9"/>
  <c r="M11" i="9"/>
  <c r="M24" i="9"/>
  <c r="M4" i="9"/>
  <c r="M47" i="9"/>
  <c r="M19" i="9"/>
  <c r="M33" i="9"/>
  <c r="M14" i="9"/>
  <c r="M3" i="9"/>
  <c r="M16" i="9"/>
  <c r="M15" i="9"/>
  <c r="M42" i="9"/>
  <c r="M9" i="9"/>
  <c r="M49" i="9"/>
  <c r="M37" i="9"/>
  <c r="M5" i="9"/>
  <c r="M31" i="9"/>
  <c r="M17" i="9"/>
  <c r="M35" i="9"/>
  <c r="M20" i="9"/>
  <c r="M43" i="9"/>
  <c r="M34" i="9"/>
  <c r="M21" i="9"/>
  <c r="M26" i="9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B31" i="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3" i="7"/>
  <c r="B25" i="7" s="1"/>
  <c r="M14" i="7"/>
  <c r="B26" i="7" s="1"/>
  <c r="M15" i="7"/>
  <c r="B27" i="7" s="1"/>
  <c r="M16" i="7"/>
  <c r="B28" i="7" s="1"/>
  <c r="M17" i="7"/>
  <c r="B29" i="7" s="1"/>
  <c r="M18" i="7"/>
  <c r="B30" i="7" s="1"/>
  <c r="M19" i="7"/>
  <c r="M12" i="7"/>
  <c r="B24" i="7" s="1"/>
  <c r="E26" i="16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3" i="8"/>
  <c r="R3" i="5"/>
  <c r="R4" i="5"/>
  <c r="R5" i="5"/>
  <c r="R9" i="5"/>
  <c r="R6" i="5"/>
  <c r="R7" i="5"/>
  <c r="R8" i="5"/>
  <c r="R10" i="5"/>
  <c r="R11" i="5"/>
  <c r="R12" i="5"/>
  <c r="R14" i="5"/>
  <c r="R15" i="5"/>
  <c r="R13" i="5"/>
  <c r="R16" i="5"/>
  <c r="R17" i="5"/>
  <c r="R23" i="5"/>
  <c r="R19" i="5"/>
  <c r="R18" i="5"/>
  <c r="R20" i="5"/>
  <c r="R21" i="5"/>
  <c r="R25" i="5"/>
  <c r="R22" i="5"/>
  <c r="R24" i="5"/>
  <c r="R28" i="5"/>
  <c r="R26" i="5"/>
  <c r="R27" i="5"/>
  <c r="R29" i="5"/>
  <c r="R30" i="5"/>
  <c r="R31" i="5"/>
  <c r="R33" i="5"/>
  <c r="R32" i="5"/>
  <c r="R34" i="5"/>
  <c r="R35" i="5"/>
  <c r="R37" i="5"/>
  <c r="R36" i="5"/>
  <c r="R38" i="5"/>
  <c r="R39" i="5"/>
  <c r="R41" i="5"/>
  <c r="R40" i="5"/>
  <c r="R42" i="5"/>
  <c r="R43" i="5"/>
  <c r="R44" i="5"/>
  <c r="R45" i="5"/>
  <c r="R47" i="5"/>
  <c r="R50" i="5"/>
  <c r="R48" i="5"/>
  <c r="R46" i="5"/>
  <c r="R51" i="5"/>
  <c r="R49" i="5"/>
  <c r="M19" i="6"/>
  <c r="M33" i="6"/>
  <c r="M21" i="6"/>
  <c r="M25" i="6"/>
  <c r="M43" i="6"/>
  <c r="M31" i="6"/>
  <c r="M26" i="6"/>
  <c r="M22" i="6"/>
  <c r="M35" i="6"/>
  <c r="M23" i="6"/>
  <c r="M37" i="6"/>
  <c r="M36" i="6"/>
  <c r="M34" i="6"/>
  <c r="M40" i="6"/>
  <c r="M44" i="6"/>
  <c r="M29" i="6"/>
  <c r="M46" i="6"/>
  <c r="M27" i="6"/>
  <c r="M32" i="6"/>
  <c r="M41" i="6"/>
  <c r="M45" i="6"/>
  <c r="M20" i="6"/>
  <c r="M47" i="6"/>
  <c r="M48" i="6"/>
  <c r="M38" i="6"/>
  <c r="M39" i="6"/>
  <c r="M49" i="6"/>
  <c r="M28" i="6"/>
  <c r="M30" i="6"/>
  <c r="M24" i="6"/>
  <c r="M42" i="6"/>
  <c r="M50" i="6"/>
  <c r="B3" i="2" l="1"/>
</calcChain>
</file>

<file path=xl/connections.xml><?xml version="1.0" encoding="utf-8"?>
<connections xmlns="http://schemas.openxmlformats.org/spreadsheetml/2006/main">
  <connection id="1" name="Connection2" type="4" refreshedVersion="4" background="1" saveData="1">
    <webPr sourceData="1" parsePre="1" consecutive="1" xl2000="1" url="https://stats.espncricinfo.com/ci/engine/records/fielding/most_catches_career.html?id=13533;type=tournament"/>
  </connection>
</connections>
</file>

<file path=xl/sharedStrings.xml><?xml version="1.0" encoding="utf-8"?>
<sst xmlns="http://schemas.openxmlformats.org/spreadsheetml/2006/main" count="1100" uniqueCount="302">
  <si>
    <t>Player</t>
  </si>
  <si>
    <t>Inns</t>
  </si>
  <si>
    <t>NO</t>
  </si>
  <si>
    <t>Runs</t>
  </si>
  <si>
    <t>HS</t>
  </si>
  <si>
    <t>Avg</t>
  </si>
  <si>
    <t>4s</t>
  </si>
  <si>
    <t>6s</t>
  </si>
  <si>
    <t>88*</t>
  </si>
  <si>
    <t>33*</t>
  </si>
  <si>
    <t>53*</t>
  </si>
  <si>
    <t>82*</t>
  </si>
  <si>
    <t>27*</t>
  </si>
  <si>
    <t>46*</t>
  </si>
  <si>
    <t>47*</t>
  </si>
  <si>
    <t>73*</t>
  </si>
  <si>
    <t>70*</t>
  </si>
  <si>
    <t>100*</t>
  </si>
  <si>
    <t>84*</t>
  </si>
  <si>
    <t>132*</t>
  </si>
  <si>
    <t>87*</t>
  </si>
  <si>
    <t>107*</t>
  </si>
  <si>
    <t>79*</t>
  </si>
  <si>
    <t>102*</t>
  </si>
  <si>
    <t>97*</t>
  </si>
  <si>
    <t>83*</t>
  </si>
  <si>
    <t>106*</t>
  </si>
  <si>
    <t>66*</t>
  </si>
  <si>
    <t>68*</t>
  </si>
  <si>
    <t>78*</t>
  </si>
  <si>
    <t>105*</t>
  </si>
  <si>
    <t>51*</t>
  </si>
  <si>
    <t>71*</t>
  </si>
  <si>
    <t>67*</t>
  </si>
  <si>
    <t>IPL Records and Statistics Menu</t>
  </si>
  <si>
    <t xml:space="preserve">Content on this web site is copyright Howstat Computing Services except where otherwise indicated. </t>
  </si>
  <si>
    <t>Copyright Statement  Disclaimer</t>
  </si>
  <si>
    <t>Mat</t>
  </si>
  <si>
    <t>Overs</t>
  </si>
  <si>
    <t>Mdns</t>
  </si>
  <si>
    <t>Wkts</t>
  </si>
  <si>
    <t>Rashid Khan</t>
  </si>
  <si>
    <t>Mohammad Nabi</t>
  </si>
  <si>
    <t>Washington Sundar</t>
  </si>
  <si>
    <t>Harbhajan Singh</t>
  </si>
  <si>
    <t>Mandeep Singh</t>
  </si>
  <si>
    <t>Ave</t>
  </si>
  <si>
    <t>BF</t>
  </si>
  <si>
    <t>SR</t>
  </si>
  <si>
    <t>KL Rahul</t>
  </si>
  <si>
    <t>S Dhawan</t>
  </si>
  <si>
    <t>DA Warner</t>
  </si>
  <si>
    <t>85*</t>
  </si>
  <si>
    <t>SS Iyer</t>
  </si>
  <si>
    <t>Ishan Kishan</t>
  </si>
  <si>
    <t>Q de Kock</t>
  </si>
  <si>
    <t>SA Yadav</t>
  </si>
  <si>
    <t>D Padikkal</t>
  </si>
  <si>
    <t>V Kohli</t>
  </si>
  <si>
    <t>90*</t>
  </si>
  <si>
    <t>AB de Villiers</t>
  </si>
  <si>
    <t>F du Plessis</t>
  </si>
  <si>
    <t>Shubman Gill</t>
  </si>
  <si>
    <t>MK Pandey</t>
  </si>
  <si>
    <t>MA Agarwal</t>
  </si>
  <si>
    <t>EJG Morgan</t>
  </si>
  <si>
    <t>SV Samson</t>
  </si>
  <si>
    <t>AT Rayudu</t>
  </si>
  <si>
    <t>N Pooran</t>
  </si>
  <si>
    <t>N Rana</t>
  </si>
  <si>
    <t>MP Stoinis</t>
  </si>
  <si>
    <t>JM Bairstow</t>
  </si>
  <si>
    <t>RR Pant</t>
  </si>
  <si>
    <t>RG Sharma</t>
  </si>
  <si>
    <t>JC Buttler</t>
  </si>
  <si>
    <t>KS Williamson</t>
  </si>
  <si>
    <t>SPD Smith</t>
  </si>
  <si>
    <t>SR Watson</t>
  </si>
  <si>
    <t>CH Gayle</t>
  </si>
  <si>
    <t>BA Stokes</t>
  </si>
  <si>
    <t>HH Pandya</t>
  </si>
  <si>
    <t>60*</t>
  </si>
  <si>
    <t>AJ Finch</t>
  </si>
  <si>
    <t>KA Pollard</t>
  </si>
  <si>
    <t>R Tewatia</t>
  </si>
  <si>
    <t>RA Jadeja</t>
  </si>
  <si>
    <t>RA Tripathi</t>
  </si>
  <si>
    <t>PP Shaw</t>
  </si>
  <si>
    <t>WP Saha</t>
  </si>
  <si>
    <t>RD Gaikwad</t>
  </si>
  <si>
    <t>MS Dhoni</t>
  </si>
  <si>
    <t>RV Uthappa</t>
  </si>
  <si>
    <t>SM Curran</t>
  </si>
  <si>
    <t>SO Hetmyer</t>
  </si>
  <si>
    <t>KD Karthik</t>
  </si>
  <si>
    <t>PJ Cummins</t>
  </si>
  <si>
    <t>PK Garg</t>
  </si>
  <si>
    <t>S Dube</t>
  </si>
  <si>
    <t>SP Narine</t>
  </si>
  <si>
    <t>AR Patel</t>
  </si>
  <si>
    <t>AD Russell</t>
  </si>
  <si>
    <t>More Info Here Cookie Choices</t>
  </si>
  <si>
    <t>Imran Tahir</t>
  </si>
  <si>
    <t>Econ</t>
  </si>
  <si>
    <t>K Rabada</t>
  </si>
  <si>
    <t>JJ Bumrah</t>
  </si>
  <si>
    <t>TA Boult</t>
  </si>
  <si>
    <t>A Nortje</t>
  </si>
  <si>
    <t>YS Chahal</t>
  </si>
  <si>
    <t>JC Archer</t>
  </si>
  <si>
    <t>Mohammed Shami</t>
  </si>
  <si>
    <t>CV Varun</t>
  </si>
  <si>
    <t>T Natarajan</t>
  </si>
  <si>
    <t>RD Chahar</t>
  </si>
  <si>
    <t>JO Holder</t>
  </si>
  <si>
    <t>Sandeep Sharma</t>
  </si>
  <si>
    <t>R Ashwin</t>
  </si>
  <si>
    <t>Ravi Bishnoi</t>
  </si>
  <si>
    <t>DL Chahar</t>
  </si>
  <si>
    <t>CH Morris</t>
  </si>
  <si>
    <t>Mohammed Siraj</t>
  </si>
  <si>
    <t>JL Pattinson</t>
  </si>
  <si>
    <t>M Ashwin</t>
  </si>
  <si>
    <t>SN Thakur</t>
  </si>
  <si>
    <t>S Gopal</t>
  </si>
  <si>
    <t>L Ngidi</t>
  </si>
  <si>
    <t>Shivam Mavi</t>
  </si>
  <si>
    <t>Arshdeep Singh</t>
  </si>
  <si>
    <t>CJ Jordan</t>
  </si>
  <si>
    <t>Kartik Tyagi</t>
  </si>
  <si>
    <t>KK Ahmed</t>
  </si>
  <si>
    <t>I Udana</t>
  </si>
  <si>
    <t>LH Ferguson</t>
  </si>
  <si>
    <t>SS Cottrell</t>
  </si>
  <si>
    <t>DJ Bravo</t>
  </si>
  <si>
    <t>PP Chawla</t>
  </si>
  <si>
    <t>NA Saini</t>
  </si>
  <si>
    <t>KH Pandya</t>
  </si>
  <si>
    <t>KV Sharma</t>
  </si>
  <si>
    <t>S Nadeem</t>
  </si>
  <si>
    <t>NM Coulter-Nile</t>
  </si>
  <si>
    <t>KL Nagarkoti</t>
  </si>
  <si>
    <t>4</t>
  </si>
  <si>
    <t>5</t>
  </si>
  <si>
    <t>80*</t>
  </si>
  <si>
    <t>99*</t>
  </si>
  <si>
    <t>CA Lynn</t>
  </si>
  <si>
    <t>AM Rahane</t>
  </si>
  <si>
    <t>SK Raina</t>
  </si>
  <si>
    <t>PA Patel</t>
  </si>
  <si>
    <t>V Shankar</t>
  </si>
  <si>
    <t>40*</t>
  </si>
  <si>
    <t>MM Ali</t>
  </si>
  <si>
    <t>DA Miller</t>
  </si>
  <si>
    <t>59*</t>
  </si>
  <si>
    <t>CA Ingram</t>
  </si>
  <si>
    <t>SN Khan</t>
  </si>
  <si>
    <t>KM Jadhav</t>
  </si>
  <si>
    <t>R Parag</t>
  </si>
  <si>
    <t>SL Malinga</t>
  </si>
  <si>
    <t>I Sharma</t>
  </si>
  <si>
    <t>B Kumar</t>
  </si>
  <si>
    <t>A Mishra</t>
  </si>
  <si>
    <t>JD Unadkat</t>
  </si>
  <si>
    <t>KMA Paul</t>
  </si>
  <si>
    <t>S Lamichhane</t>
  </si>
  <si>
    <t>UT Yadav</t>
  </si>
  <si>
    <t>GC Viljoen</t>
  </si>
  <si>
    <t>HF Gurney</t>
  </si>
  <si>
    <t>AS Joseph</t>
  </si>
  <si>
    <t>S Kaul</t>
  </si>
  <si>
    <t>DS Kulkarni</t>
  </si>
  <si>
    <t>O Thomas</t>
  </si>
  <si>
    <t>JP Behrendorff</t>
  </si>
  <si>
    <t>100</t>
  </si>
  <si>
    <t>50</t>
  </si>
  <si>
    <t>0</t>
  </si>
  <si>
    <t>Bating points</t>
  </si>
  <si>
    <t>Boundary Bonus</t>
  </si>
  <si>
    <t>Six Bonus</t>
  </si>
  <si>
    <t>Half Century Bonus</t>
  </si>
  <si>
    <t>Century Bonus</t>
  </si>
  <si>
    <t>dismissal for duck</t>
  </si>
  <si>
    <t>Points</t>
  </si>
  <si>
    <t>Runs(with strike rate &gt;200)</t>
  </si>
  <si>
    <t>Bowlers Rules</t>
  </si>
  <si>
    <t>Maiden Overs</t>
  </si>
  <si>
    <t>4 Wicket haul Bonus</t>
  </si>
  <si>
    <t>Wickets(Between economy rate &gt;8</t>
  </si>
  <si>
    <t>Runs(Between strike rate 100-199)</t>
  </si>
  <si>
    <t>Bowling Strike rate(between 10-19)</t>
  </si>
  <si>
    <t>Bowling Strike rate(between 20-25)</t>
  </si>
  <si>
    <t>Bowling Strike rate(&gt;=25)</t>
  </si>
  <si>
    <t>Captain</t>
  </si>
  <si>
    <t>2x</t>
  </si>
  <si>
    <t>Vice Captain</t>
  </si>
  <si>
    <t>1.5x</t>
  </si>
  <si>
    <t>Wickets(Betweeneconomy rate6-8</t>
  </si>
  <si>
    <t>Wickets(Between economy rate 1-5</t>
  </si>
  <si>
    <t>Total Points</t>
  </si>
  <si>
    <t>AllRounders</t>
  </si>
  <si>
    <t>All Rounders</t>
  </si>
  <si>
    <t>Batting Points</t>
  </si>
  <si>
    <t>Batting points</t>
  </si>
  <si>
    <t>Bowling Points</t>
  </si>
  <si>
    <t>Name</t>
  </si>
  <si>
    <t>Bowling points</t>
  </si>
  <si>
    <t xml:space="preserve">                            1.All Batsman</t>
  </si>
  <si>
    <t xml:space="preserve">                            2.All Bowlers</t>
  </si>
  <si>
    <t xml:space="preserve">                                 .                 3.Batsman&gt;Bowlers(9,6)</t>
  </si>
  <si>
    <t xml:space="preserve">                                                                   6.Bowlers&gt;All Rounders=Batsman(7,4,4)</t>
  </si>
  <si>
    <t xml:space="preserve">                                               4.Bowlers&gt;Batsman(9,6)</t>
  </si>
  <si>
    <t xml:space="preserve">                                                                   5.Batsman&gt;All Rounders=Bowlers(7,4,4)</t>
  </si>
  <si>
    <t>Other Rules</t>
  </si>
  <si>
    <t>4 players from each team</t>
  </si>
  <si>
    <t>Batsman 2020</t>
  </si>
  <si>
    <t>Total points</t>
  </si>
  <si>
    <t>No. of Records = 50</t>
  </si>
  <si>
    <t>++ Matches as Keeper not included</t>
  </si>
  <si>
    <t>Most catches</t>
  </si>
  <si>
    <t>Ct</t>
  </si>
  <si>
    <t>Max</t>
  </si>
  <si>
    <t>Ct/Inn</t>
  </si>
  <si>
    <t>(Kings XI Punjab, Kolkata Knight Riders, Royal Challengers Bangalore)</t>
  </si>
  <si>
    <t>GJ Maxwell</t>
  </si>
  <si>
    <t>By default, the shading indicates records from the past week, or failing that, the most recent entry.</t>
  </si>
  <si>
    <t>Adjust: most recent | past week | past month | past 6 months | past year | 4 years</t>
  </si>
  <si>
    <t xml:space="preserve">All figures exclude catches made as a wicketkeeper, except for matches played which is the career figure </t>
  </si>
  <si>
    <t>Records includes the following current or recent matches:</t>
  </si>
  <si>
    <t>Delhi Capitals v Mumbai Indians at Dubai (DSC), Indian Premier League final, Nov 10, 2020 [Twenty20]</t>
  </si>
  <si>
    <t>Delhi Capitals v Sunrisers Hyderabad at Abu Dhabi, Indian Premier League 2nd qualifying final, Nov 8, 2020 [Twenty20]</t>
  </si>
  <si>
    <t>Royal Challengers Bangalore v Sunrisers Hyderabad at Abu Dhabi, Indian Premier League elimination final, Nov 6, 2020 [Twenty20]</t>
  </si>
  <si>
    <t>Readers recommend - Curated tweets by ESPNcricinfo</t>
  </si>
  <si>
    <t>Sitemap| Feedback| RSS| About Us| Privacy Policy| Terms of Use</t>
  </si>
  <si>
    <t>Interest Based Ads | Your California Privacy Rights | Children’s Online Privacy Policy | About Nielsen Measurement</t>
  </si>
  <si>
    <t>ESPN</t>
  </si>
  <si>
    <t>ESPNF1</t>
  </si>
  <si>
    <t>Espn Scrum</t>
  </si>
  <si>
    <t>Espnfc</t>
  </si>
  <si>
    <t>Footytips</t>
  </si>
  <si>
    <t>© ESPN Sports Media Ltd.</t>
  </si>
  <si>
    <t>ABOUT COOKIES</t>
  </si>
  <si>
    <t>To help make this website better, to improve and personalize your experience and for advertising purposes, are you happy to accept cookies and other technologies.</t>
  </si>
  <si>
    <t>YES</t>
  </si>
  <si>
    <t>Gurkeerat Singh</t>
  </si>
  <si>
    <t>Abdul Samad</t>
  </si>
  <si>
    <t>Cathches</t>
  </si>
  <si>
    <t>Catch taken by</t>
  </si>
  <si>
    <t>total catches</t>
  </si>
  <si>
    <t>Batsman 2019</t>
  </si>
  <si>
    <t>Bowlers 2020</t>
  </si>
  <si>
    <t>Bowlers 2019</t>
  </si>
  <si>
    <t>Players</t>
  </si>
  <si>
    <t>Matches</t>
  </si>
  <si>
    <t xml:space="preserve"> Assumption 3 for 2020 Players</t>
  </si>
  <si>
    <t xml:space="preserve"> Assumption 3 for 2019 Players</t>
  </si>
  <si>
    <t xml:space="preserve"> Assumption 4 for 2020 Players</t>
  </si>
  <si>
    <t xml:space="preserve"> Assumption 4 for 2019  Players</t>
  </si>
  <si>
    <t xml:space="preserve"> Assumption 5 for 2020 Players</t>
  </si>
  <si>
    <t xml:space="preserve"> Assumption 5 for 2019Players</t>
  </si>
  <si>
    <t xml:space="preserve"> Assumption 6 for 2020 Players</t>
  </si>
  <si>
    <t xml:space="preserve"> Assumption 6 for 2019 Players</t>
  </si>
  <si>
    <t xml:space="preserve">                                                                            8.All Rounders&gt;Batsman&gt;bowlers(7,5,3)</t>
  </si>
  <si>
    <t xml:space="preserve">                                                                            7.All Rounders&gt;Bowlers&gt;Batsman(6,5,4)</t>
  </si>
  <si>
    <t xml:space="preserve"> Assumption 7 for 2020 Players</t>
  </si>
  <si>
    <t xml:space="preserve"> Assumption 7 for 2019 Players</t>
  </si>
  <si>
    <t>Assumption Insights</t>
  </si>
  <si>
    <t>Combination Details</t>
  </si>
  <si>
    <t>AVG(1st Piority)</t>
  </si>
  <si>
    <t>Points Diif(2nd Piority)</t>
  </si>
  <si>
    <t>Combination 1(All Batsman)</t>
  </si>
  <si>
    <t>Combination (All Bowlers)</t>
  </si>
  <si>
    <t>Combination 3(Batsman&gt;Bowlers 9,6)</t>
  </si>
  <si>
    <t>Combination 4(Bowlers&gt;Batsman 9,6)</t>
  </si>
  <si>
    <t>Combination 6(Bowlers&gt;All Rounders=Batsman(7,4,4)</t>
  </si>
  <si>
    <t>Combination 5(Batsman&gt;All Rounders=Bowlers(7,4,4)</t>
  </si>
  <si>
    <t>Combination 8(All Rounders&gt;Batsman&gt;Bowlers(7,5,3)</t>
  </si>
  <si>
    <t>Combination 7(All Rounders&gt;Bowlers&gt;Batsman(6,5,4)</t>
  </si>
  <si>
    <t>Ba</t>
  </si>
  <si>
    <t>All</t>
  </si>
  <si>
    <t>Bow</t>
  </si>
  <si>
    <t>BA</t>
  </si>
  <si>
    <t>Categories</t>
  </si>
  <si>
    <t>Combination 8 2020 Team</t>
  </si>
  <si>
    <t>Combination 8 2019 Team</t>
  </si>
  <si>
    <t>DA Warner(BA)</t>
  </si>
  <si>
    <t>V Kohli(BA)</t>
  </si>
  <si>
    <t>KL Rahul(BA)</t>
  </si>
  <si>
    <t>S Dhawan(BA)</t>
  </si>
  <si>
    <t>CH Gayle(BA)</t>
  </si>
  <si>
    <t>AD Russell(ALL)</t>
  </si>
  <si>
    <t>HH Pandya(ALL)</t>
  </si>
  <si>
    <t>MP Stoinis(ALL)</t>
  </si>
  <si>
    <t>R Tewatia(ALL)</t>
  </si>
  <si>
    <t>MM Ali(ALL)</t>
  </si>
  <si>
    <t>RA Jadeja(ALL)</t>
  </si>
  <si>
    <t>KH Pandya(ALL)</t>
  </si>
  <si>
    <t>Imran Tahir(BOW)</t>
  </si>
  <si>
    <t>K Rabada(BOW)</t>
  </si>
  <si>
    <t>JJ Bumrah(BOW)</t>
  </si>
  <si>
    <t>NOTE:BA=BATSMAN,BOW=BOWLERS,ALL=All ROUNDERS</t>
  </si>
  <si>
    <t>Note:Based on piority factors between combination 4&amp;8,Combination 8 is more reliable then combination 4 as its avg score is High and Consistency is 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</si>
</sst>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\+0;\-0;0"/>
    <numFmt numFmtId="166" formatCode="_(* #,##0.0_);_(* \(#,##0.0\);_(* &quot;-&quot;?_);_(@_)"/>
    <numFmt numFmtId="167" formatCode="\+0.0;\-0.0;0.000"/>
    <numFmt numFmtId="168" formatCode="\+0.0;\-0.0;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737373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i/>
      <sz val="11"/>
      <color theme="1"/>
      <name val="Arial Black"/>
      <family val="2"/>
    </font>
    <font>
      <b/>
      <sz val="11"/>
      <color theme="1" tint="4.9989318521683403E-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18" borderId="0" applyNumberFormat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7" borderId="0" xfId="0" applyFont="1" applyFill="1"/>
    <xf numFmtId="0" fontId="2" fillId="7" borderId="0" xfId="0" applyFont="1" applyFill="1"/>
    <xf numFmtId="0" fontId="4" fillId="5" borderId="0" xfId="0" applyFont="1" applyFill="1"/>
    <xf numFmtId="0" fontId="5" fillId="4" borderId="0" xfId="0" applyFont="1" applyFill="1"/>
    <xf numFmtId="165" fontId="5" fillId="4" borderId="0" xfId="0" applyNumberFormat="1" applyFont="1" applyFill="1"/>
    <xf numFmtId="0" fontId="6" fillId="0" borderId="0" xfId="0" applyFont="1" applyAlignment="1"/>
    <xf numFmtId="0" fontId="5" fillId="6" borderId="0" xfId="0" applyFont="1" applyFill="1"/>
    <xf numFmtId="0" fontId="5" fillId="0" borderId="0" xfId="0" applyFont="1"/>
    <xf numFmtId="165" fontId="5" fillId="0" borderId="0" xfId="0" applyNumberFormat="1" applyFont="1"/>
    <xf numFmtId="165" fontId="7" fillId="6" borderId="0" xfId="0" applyNumberFormat="1" applyFont="1" applyFill="1"/>
    <xf numFmtId="165" fontId="2" fillId="0" borderId="0" xfId="0" applyNumberFormat="1" applyFont="1"/>
    <xf numFmtId="165" fontId="2" fillId="6" borderId="0" xfId="0" applyNumberFormat="1" applyFont="1" applyFill="1"/>
    <xf numFmtId="0" fontId="5" fillId="3" borderId="0" xfId="0" applyFont="1" applyFill="1"/>
    <xf numFmtId="166" fontId="3" fillId="2" borderId="0" xfId="0" applyNumberFormat="1" applyFont="1" applyFill="1"/>
    <xf numFmtId="166" fontId="0" fillId="0" borderId="0" xfId="0" applyNumberFormat="1"/>
    <xf numFmtId="164" fontId="0" fillId="0" borderId="0" xfId="0" applyNumberFormat="1"/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7" fontId="2" fillId="6" borderId="0" xfId="0" applyNumberFormat="1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166" fontId="3" fillId="2" borderId="5" xfId="0" applyNumberFormat="1" applyFont="1" applyFill="1" applyBorder="1"/>
    <xf numFmtId="0" fontId="3" fillId="2" borderId="6" xfId="0" applyFont="1" applyFill="1" applyBorder="1"/>
    <xf numFmtId="0" fontId="0" fillId="11" borderId="5" xfId="0" applyFont="1" applyFill="1" applyBorder="1"/>
    <xf numFmtId="164" fontId="0" fillId="11" borderId="5" xfId="0" applyNumberFormat="1" applyFont="1" applyFill="1" applyBorder="1"/>
    <xf numFmtId="0" fontId="0" fillId="0" borderId="5" xfId="0" applyFont="1" applyBorder="1"/>
    <xf numFmtId="164" fontId="0" fillId="0" borderId="5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4" borderId="0" xfId="0" applyFill="1" applyBorder="1" applyAlignment="1">
      <alignment vertical="top"/>
    </xf>
    <xf numFmtId="0" fontId="10" fillId="14" borderId="0" xfId="0" applyFont="1" applyFill="1" applyBorder="1" applyAlignment="1">
      <alignment vertical="top"/>
    </xf>
    <xf numFmtId="0" fontId="0" fillId="14" borderId="0" xfId="0" applyFill="1"/>
    <xf numFmtId="0" fontId="0" fillId="14" borderId="0" xfId="0" applyFill="1" applyBorder="1"/>
    <xf numFmtId="0" fontId="10" fillId="14" borderId="0" xfId="0" applyFont="1" applyFill="1" applyBorder="1"/>
    <xf numFmtId="168" fontId="2" fillId="6" borderId="0" xfId="0" applyNumberFormat="1" applyFont="1" applyFill="1"/>
    <xf numFmtId="0" fontId="11" fillId="6" borderId="0" xfId="0" applyFont="1" applyFill="1"/>
    <xf numFmtId="0" fontId="1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0" fillId="11" borderId="1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/>
    <xf numFmtId="0" fontId="0" fillId="0" borderId="0" xfId="0" applyBorder="1" applyAlignment="1"/>
    <xf numFmtId="0" fontId="13" fillId="2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0" fillId="14" borderId="0" xfId="0" applyFill="1" applyBorder="1" applyAlignment="1"/>
    <xf numFmtId="0" fontId="1" fillId="15" borderId="0" xfId="0" applyFont="1" applyFill="1"/>
    <xf numFmtId="0" fontId="5" fillId="15" borderId="0" xfId="0" applyFont="1" applyFill="1"/>
    <xf numFmtId="0" fontId="13" fillId="15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 vertical="center"/>
    </xf>
    <xf numFmtId="0" fontId="14" fillId="16" borderId="0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0" fontId="13" fillId="17" borderId="0" xfId="0" applyFont="1" applyFill="1" applyBorder="1" applyAlignment="1"/>
    <xf numFmtId="0" fontId="13" fillId="15" borderId="0" xfId="0" applyFont="1" applyFill="1" applyBorder="1" applyAlignment="1"/>
    <xf numFmtId="0" fontId="10" fillId="2" borderId="10" xfId="1" applyFont="1" applyFill="1" applyBorder="1"/>
    <xf numFmtId="0" fontId="10" fillId="2" borderId="11" xfId="1" applyFont="1" applyFill="1" applyBorder="1"/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/>
    <xf numFmtId="0" fontId="10" fillId="2" borderId="0" xfId="1" applyFont="1" applyFill="1" applyBorder="1"/>
    <xf numFmtId="0" fontId="10" fillId="2" borderId="14" xfId="1" applyFont="1" applyFill="1" applyBorder="1" applyAlignment="1">
      <alignment horizontal="center" vertical="center"/>
    </xf>
    <xf numFmtId="0" fontId="10" fillId="2" borderId="15" xfId="1" applyFont="1" applyFill="1" applyBorder="1"/>
    <xf numFmtId="0" fontId="10" fillId="2" borderId="16" xfId="1" applyFont="1" applyFill="1" applyBorder="1"/>
    <xf numFmtId="0" fontId="10" fillId="2" borderId="17" xfId="1" applyFont="1" applyFill="1" applyBorder="1"/>
    <xf numFmtId="0" fontId="0" fillId="0" borderId="0" xfId="0" applyAlignment="1">
      <alignment horizontal="center"/>
    </xf>
    <xf numFmtId="0" fontId="0" fillId="2" borderId="0" xfId="0" applyFill="1"/>
    <xf numFmtId="0" fontId="10" fillId="2" borderId="0" xfId="0" applyFont="1" applyFill="1"/>
    <xf numFmtId="0" fontId="12" fillId="2" borderId="0" xfId="0" applyFont="1" applyFill="1"/>
    <xf numFmtId="0" fontId="4" fillId="2" borderId="0" xfId="0" applyFont="1" applyFill="1"/>
    <xf numFmtId="0" fontId="4" fillId="19" borderId="0" xfId="0" applyFont="1" applyFill="1"/>
    <xf numFmtId="0" fontId="4" fillId="20" borderId="0" xfId="0" applyFont="1" applyFill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12" fillId="2" borderId="10" xfId="0" applyFont="1" applyFill="1" applyBorder="1"/>
    <xf numFmtId="0" fontId="12" fillId="2" borderId="11" xfId="0" applyFont="1" applyFill="1" applyBorder="1"/>
    <xf numFmtId="0" fontId="12" fillId="2" borderId="12" xfId="0" applyFont="1" applyFill="1" applyBorder="1"/>
    <xf numFmtId="0" fontId="12" fillId="2" borderId="15" xfId="0" applyFont="1" applyFill="1" applyBorder="1"/>
    <xf numFmtId="0" fontId="12" fillId="2" borderId="16" xfId="0" applyFont="1" applyFill="1" applyBorder="1"/>
    <xf numFmtId="0" fontId="12" fillId="2" borderId="17" xfId="0" applyFont="1" applyFill="1" applyBorder="1"/>
    <xf numFmtId="0" fontId="12" fillId="2" borderId="18" xfId="0" applyFont="1" applyFill="1" applyBorder="1"/>
    <xf numFmtId="0" fontId="12" fillId="2" borderId="19" xfId="0" applyFont="1" applyFill="1" applyBorder="1"/>
    <xf numFmtId="0" fontId="8" fillId="21" borderId="4" xfId="0" applyFont="1" applyFill="1" applyBorder="1" applyAlignment="1">
      <alignment horizontal="center" vertical="center"/>
    </xf>
    <xf numFmtId="0" fontId="8" fillId="21" borderId="5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8" fillId="21" borderId="20" xfId="0" applyFont="1" applyFill="1" applyBorder="1" applyAlignment="1">
      <alignment horizontal="center" vertical="center"/>
    </xf>
    <xf numFmtId="0" fontId="8" fillId="21" borderId="21" xfId="0" applyFont="1" applyFill="1" applyBorder="1" applyAlignment="1">
      <alignment horizontal="center" vertical="center"/>
    </xf>
    <xf numFmtId="0" fontId="8" fillId="21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2" borderId="1" xfId="0" applyFont="1" applyFill="1" applyBorder="1"/>
    <xf numFmtId="0" fontId="5" fillId="2" borderId="1" xfId="0" applyFont="1" applyFill="1" applyBorder="1"/>
    <xf numFmtId="0" fontId="0" fillId="0" borderId="0" xfId="0" applyBorder="1" applyAlignment="1">
      <alignment horizontal="center"/>
    </xf>
    <xf numFmtId="0" fontId="13" fillId="14" borderId="0" xfId="0" applyFont="1" applyFill="1" applyBorder="1" applyAlignment="1"/>
    <xf numFmtId="0" fontId="18" fillId="2" borderId="0" xfId="0" applyFont="1" applyFill="1"/>
    <xf numFmtId="0" fontId="19" fillId="21" borderId="20" xfId="0" applyFont="1" applyFill="1" applyBorder="1" applyAlignment="1">
      <alignment horizontal="center" vertical="center"/>
    </xf>
    <xf numFmtId="0" fontId="19" fillId="21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1" fillId="2" borderId="0" xfId="0" applyFont="1" applyFill="1"/>
    <xf numFmtId="0" fontId="19" fillId="23" borderId="0" xfId="0" applyFont="1" applyFill="1"/>
    <xf numFmtId="1" fontId="2" fillId="10" borderId="1" xfId="0" applyNumberFormat="1" applyFont="1" applyFill="1" applyBorder="1" applyAlignment="1">
      <alignment horizontal="center" vertical="center"/>
    </xf>
    <xf numFmtId="1" fontId="2" fillId="16" borderId="1" xfId="0" applyNumberFormat="1" applyFont="1" applyFill="1" applyBorder="1" applyAlignment="1">
      <alignment horizontal="center" vertical="center"/>
    </xf>
    <xf numFmtId="0" fontId="4" fillId="25" borderId="0" xfId="0" applyFont="1" applyFill="1"/>
    <xf numFmtId="0" fontId="4" fillId="25" borderId="0" xfId="0" applyFont="1" applyFill="1" applyAlignment="1"/>
    <xf numFmtId="0" fontId="0" fillId="26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19" fillId="22" borderId="0" xfId="0" applyFont="1" applyFill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9" fillId="22" borderId="17" xfId="0" applyFont="1" applyFill="1" applyBorder="1" applyAlignment="1">
      <alignment horizontal="center"/>
    </xf>
    <xf numFmtId="0" fontId="8" fillId="21" borderId="24" xfId="0" applyFont="1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0" fillId="14" borderId="0" xfId="0" applyFill="1" applyBorder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115">
    <dxf>
      <font>
        <b/>
        <i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>
          <fgColor indexed="64"/>
          <bgColor theme="3" tint="-0.249977111117893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66" formatCode="_(* #,##0.0_);_(* \(#,##0.0\);_(* &quot;-&quot;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33CC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21934</xdr:colOff>
      <xdr:row>8</xdr:row>
      <xdr:rowOff>83635</xdr:rowOff>
    </xdr:from>
    <xdr:ext cx="18473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9108784" y="19124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most_catches_career.html?id=13533;type=tournament_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A1:R100" totalsRowShown="0" headerRowDxfId="114" dataDxfId="113">
  <sortState ref="A2:R100">
    <sortCondition descending="1" ref="Q2"/>
  </sortState>
  <tableColumns count="18">
    <tableColumn id="1" name="Player" dataDxfId="112"/>
    <tableColumn id="2" name="Mat" dataDxfId="111"/>
    <tableColumn id="3" name="Inns" dataDxfId="110"/>
    <tableColumn id="4" name="NO" dataDxfId="109"/>
    <tableColumn id="5" name="Runs" dataDxfId="108"/>
    <tableColumn id="6" name="HS" dataDxfId="107"/>
    <tableColumn id="7" name="Ave" dataDxfId="106"/>
    <tableColumn id="8" name="BF" dataDxfId="105"/>
    <tableColumn id="9" name="SR" dataDxfId="104"/>
    <tableColumn id="10" name="100" dataDxfId="103"/>
    <tableColumn id="11" name="50" dataDxfId="102"/>
    <tableColumn id="12" name="0" dataDxfId="101"/>
    <tableColumn id="13" name="4s" dataDxfId="100"/>
    <tableColumn id="14" name="6s" dataDxfId="99"/>
    <tableColumn id="18" name="Catch taken by" dataDxfId="98">
      <calculatedColumnFormula>IFERROR(VLOOKUP(Table3[[#This Row],[Player]],Table6[Player],1,0),"NA")</calculatedColumnFormula>
    </tableColumn>
    <tableColumn id="19" name="total catches" dataDxfId="97">
      <calculatedColumnFormula>IFERROR(VLOOKUP(Table3[[#This Row],[Player]],workbook!J2:O41,4,0),"0")</calculatedColumnFormula>
    </tableColumn>
    <tableColumn id="15" name="Points" dataDxfId="96">
      <calculatedColumnFormula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Row],[100]]*16)-Table3[[#This Row],[0]]*4)</calculatedColumnFormula>
    </tableColumn>
    <tableColumn id="16" name="AllRounders" dataDxfId="95">
      <calculatedColumnFormula>IFERROR(VLOOKUP(Table3[[#This Row],[Player]],'2020 Bowlers'!$A$3:$A$50,1,0),"NA")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2:F16" totalsRowShown="0" headerRowBorderDxfId="12" tableBorderDxfId="11" totalsRowBorderDxfId="10">
  <autoFilter ref="D2:F16"/>
  <tableColumns count="3">
    <tableColumn id="1" name="Categories" dataDxfId="9"/>
    <tableColumn id="2" name="Players" dataDxfId="8"/>
    <tableColumn id="3" name="Points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H2:I17" totalsRowShown="0" headerRowDxfId="6" dataDxfId="4" headerRowBorderDxfId="5" tableBorderDxfId="3" totalsRowBorderDxfId="2">
  <tableColumns count="2">
    <tableColumn id="1" name="Players" dataDxfId="1"/>
    <tableColumn id="2" name="Points" dataDxfId="0"/>
  </tableColumns>
  <tableStyleInfo name="TableStyleMedium25" showFirstColumn="0" showLastColumn="0" showRowStripes="1" showColumnStripes="0"/>
</table>
</file>

<file path=xl/tables/table12.xml><?xml version="1.0" encoding="utf-8"?>
<table xmlns="http://schemas.openxmlformats.org/spreadsheetml/2006/main" id="5" name="Table5" displayName="Table5" ref="A1:F80" totalsRowShown="0">
  <autoFilter ref="A1:F80"/>
  <sortState ref="A2:F80">
    <sortCondition descending="1" ref="C2"/>
  </sortState>
  <tableColumns count="6">
    <tableColumn id="1" name="Player"/>
    <tableColumn id="2" name="Mat"/>
    <tableColumn id="3" name="Inns"/>
    <tableColumn id="4" name="Ct"/>
    <tableColumn id="5" name="Max"/>
    <tableColumn id="6" name="Ct/In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J1:O81" totalsRowShown="0">
  <autoFilter ref="J1:O81"/>
  <sortState ref="J2:O81">
    <sortCondition descending="1" ref="J2"/>
  </sortState>
  <tableColumns count="6">
    <tableColumn id="1" name="Player"/>
    <tableColumn id="2" name="Mat"/>
    <tableColumn id="3" name="Inns"/>
    <tableColumn id="4" name="Ct"/>
    <tableColumn id="5" name="Max"/>
    <tableColumn id="6" name="Ct/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M98" totalsRowShown="0" headerRowDxfId="94">
  <sortState ref="A3:M50">
    <sortCondition descending="1" ref="M3"/>
  </sortState>
  <tableColumns count="13">
    <tableColumn id="1" name="Player"/>
    <tableColumn id="2" name="Mat"/>
    <tableColumn id="3" name="Inns"/>
    <tableColumn id="4" name="Overs"/>
    <tableColumn id="5" name="Mdns"/>
    <tableColumn id="6" name="Runs"/>
    <tableColumn id="7" name="Wkts"/>
    <tableColumn id="9" name="Avg"/>
    <tableColumn id="10" name="Econ" dataDxfId="93"/>
    <tableColumn id="11" name="SR"/>
    <tableColumn id="12" name="4"/>
    <tableColumn id="13" name="5"/>
    <tableColumn id="14" name="Points" dataDxfId="92">
      <calculatedColumnFormula>IF(Table1[[#This Row],[Econ]]&gt;1,IF(Table1[[#This Row],[Econ]]&lt;4,Table1[[#This Row],[Wkts]]*2,IF(Table1[[#This Row],[Econ]]&gt;5,IF(Table1[[#This Row],[Econ]]&lt;8,Table1[[#This Row],[Wkts]]*1.5,IF(Table1[[#This Row],[Econ]]&gt;=8,Table1[[#This Row],[Wkts]]*(-1))))))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2:R102" totalsRowShown="0" headerRowDxfId="91" dataDxfId="90">
  <sortState ref="A3:Q102">
    <sortCondition descending="1" ref="Q3"/>
  </sortState>
  <tableColumns count="18">
    <tableColumn id="1" name="Player" dataDxfId="89"/>
    <tableColumn id="2" name="Mat" dataDxfId="88"/>
    <tableColumn id="3" name="Inns" dataDxfId="87"/>
    <tableColumn id="4" name="NO" dataDxfId="86"/>
    <tableColumn id="5" name="Runs" dataDxfId="85"/>
    <tableColumn id="6" name="HS" dataDxfId="84"/>
    <tableColumn id="7" name="Ave" dataDxfId="83"/>
    <tableColumn id="8" name="BF" dataDxfId="82"/>
    <tableColumn id="9" name="SR" dataDxfId="81"/>
    <tableColumn id="10" name="100" dataDxfId="80"/>
    <tableColumn id="11" name="50" dataDxfId="79"/>
    <tableColumn id="12" name="0" dataDxfId="78"/>
    <tableColumn id="13" name="4s" dataDxfId="77"/>
    <tableColumn id="14" name="6s" dataDxfId="76"/>
    <tableColumn id="17" name="Catch taken by" dataDxfId="75">
      <calculatedColumnFormula>IFERROR(VLOOKUP(Table2[[#This Row],[Player]],'Assumption 2'!A7:A56,1,0),"NA")</calculatedColumnFormula>
    </tableColumn>
    <tableColumn id="19" name="Cathches" dataDxfId="74"/>
    <tableColumn id="15" name="Points" dataDxfId="73">
      <calculatedColumnFormula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Row],[100]]*16)-Table2[[#This Row],[0]]*4</calculatedColumnFormula>
    </tableColumn>
    <tableColumn id="16" name="All Rounders" dataDxfId="72">
      <calculatedColumnFormula>IFERROR(VLOOKUP(Table2[[#This Row],[Player]],Table4[Player],1,0),"NA")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M96" totalsRowShown="0" headerRowDxfId="71" dataDxfId="70">
  <autoFilter ref="A2:M96"/>
  <sortState ref="A3:M96">
    <sortCondition descending="1" ref="M3"/>
  </sortState>
  <tableColumns count="13">
    <tableColumn id="1" name="Player" dataDxfId="69"/>
    <tableColumn id="2" name="Mat" dataDxfId="68"/>
    <tableColumn id="3" name="Inns" dataDxfId="67"/>
    <tableColumn id="4" name="Overs" dataDxfId="66"/>
    <tableColumn id="5" name="Mdns" dataDxfId="65"/>
    <tableColumn id="6" name="Runs" dataDxfId="64"/>
    <tableColumn id="7" name="Wkts" dataDxfId="63"/>
    <tableColumn id="9" name="Ave" dataDxfId="62"/>
    <tableColumn id="10" name="Econ" dataDxfId="61"/>
    <tableColumn id="11" name="SR" dataDxfId="60"/>
    <tableColumn id="12" name="4" dataDxfId="59"/>
    <tableColumn id="13" name="5" dataDxfId="58"/>
    <tableColumn id="14" name="Points" dataDxfId="57">
      <calculatedColumnFormula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22:O37" totalsRowShown="0" headerRowDxfId="56" dataDxfId="55">
  <tableColumns count="15">
    <tableColumn id="1" name="Player" dataDxfId="54"/>
    <tableColumn id="2" name="Mat" dataDxfId="53"/>
    <tableColumn id="3" name="Inns" dataDxfId="52"/>
    <tableColumn id="4" name="NO" dataDxfId="51"/>
    <tableColumn id="5" name="Runs" dataDxfId="50"/>
    <tableColumn id="6" name="HS" dataDxfId="49"/>
    <tableColumn id="7" name="Ave" dataDxfId="48"/>
    <tableColumn id="8" name="BF" dataDxfId="47"/>
    <tableColumn id="9" name="SR" dataDxfId="46"/>
    <tableColumn id="10" name="100" dataDxfId="45"/>
    <tableColumn id="11" name="50" dataDxfId="44"/>
    <tableColumn id="12" name="0" dataDxfId="43"/>
    <tableColumn id="13" name="4s" dataDxfId="42"/>
    <tableColumn id="14" name="6s" dataDxfId="41"/>
    <tableColumn id="17" name="Points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2:M17" totalsRowShown="0" headerRowDxfId="39" dataDxfId="38">
  <tableColumns count="13">
    <tableColumn id="1" name="Player" dataDxfId="37"/>
    <tableColumn id="2" name="Mat" dataDxfId="36"/>
    <tableColumn id="3" name="Inns" dataDxfId="35"/>
    <tableColumn id="4" name="Overs" dataDxfId="34"/>
    <tableColumn id="5" name="Mdns" dataDxfId="33"/>
    <tableColumn id="6" name="Runs" dataDxfId="32"/>
    <tableColumn id="7" name="Wkts" dataDxfId="31"/>
    <tableColumn id="8" name="Avg" dataDxfId="30"/>
    <tableColumn id="9" name="Econ" dataDxfId="29"/>
    <tableColumn id="10" name="SR" dataDxfId="28"/>
    <tableColumn id="11" name="4" dataDxfId="27"/>
    <tableColumn id="12" name="5" dataDxfId="26"/>
    <tableColumn id="13" name="Points" dataDxfId="25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22:M37" totalsRowShown="0" headerRowDxfId="24">
  <tableColumns count="13">
    <tableColumn id="1" name="Player"/>
    <tableColumn id="2" name="Mat"/>
    <tableColumn id="3" name="Inns"/>
    <tableColumn id="4" name="Overs"/>
    <tableColumn id="5" name="Mdns"/>
    <tableColumn id="6" name="Runs"/>
    <tableColumn id="7" name="Wkts"/>
    <tableColumn id="8" name="Ave"/>
    <tableColumn id="9" name="Econ"/>
    <tableColumn id="10" name="SR"/>
    <tableColumn id="11" name="4"/>
    <tableColumn id="12" name="5"/>
    <tableColumn id="13" name="Points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2:C17" totalsRowShown="0" headerRowDxfId="22" dataDxfId="21">
  <sortState ref="A3:C17">
    <sortCondition descending="1" ref="C3"/>
  </sortState>
  <tableColumns count="3">
    <tableColumn id="1" name="Players" dataDxfId="20"/>
    <tableColumn id="2" name="Matches" dataDxfId="19"/>
    <tableColumn id="3" name="Points" dataDxfId="18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2:C17" totalsRowShown="0" dataDxfId="17" tableBorderDxfId="16">
  <autoFilter ref="A2:C17"/>
  <tableColumns count="3">
    <tableColumn id="1" name="Categories" dataDxfId="15"/>
    <tableColumn id="2" name="Players" dataDxfId="14"/>
    <tableColumn id="3" name="Point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B14" sqref="B14"/>
    </sheetView>
  </sheetViews>
  <sheetFormatPr defaultRowHeight="15" x14ac:dyDescent="0.25"/>
  <cols>
    <col min="1" max="1" width="35.28515625" customWidth="1"/>
    <col min="2" max="2" width="10.7109375" customWidth="1"/>
    <col min="3" max="3" width="6.85546875" customWidth="1"/>
    <col min="4" max="4" width="8.28515625" customWidth="1"/>
    <col min="5" max="5" width="8" customWidth="1"/>
    <col min="6" max="6" width="7.42578125" customWidth="1"/>
    <col min="7" max="7" width="12" customWidth="1"/>
    <col min="8" max="8" width="8.42578125" customWidth="1"/>
    <col min="9" max="9" width="7.42578125" customWidth="1"/>
    <col min="10" max="10" width="7.42578125" bestFit="1" customWidth="1"/>
    <col min="11" max="11" width="19.5703125" customWidth="1"/>
    <col min="12" max="12" width="2.28515625" hidden="1" customWidth="1"/>
    <col min="13" max="13" width="3.5703125" bestFit="1" customWidth="1"/>
  </cols>
  <sheetData>
    <row r="1" spans="1:31" ht="21" x14ac:dyDescent="0.35">
      <c r="A1" s="9" t="s">
        <v>177</v>
      </c>
      <c r="D1" s="7" t="s">
        <v>185</v>
      </c>
      <c r="E1" s="7"/>
      <c r="F1" s="8"/>
      <c r="K1" s="168" t="s">
        <v>213</v>
      </c>
      <c r="L1" s="168"/>
    </row>
    <row r="3" spans="1:31" ht="15.75" x14ac:dyDescent="0.25">
      <c r="A3" s="10" t="s">
        <v>189</v>
      </c>
      <c r="B3" s="11">
        <f>SIGN(1)</f>
        <v>1</v>
      </c>
      <c r="C3" s="12"/>
      <c r="D3" s="13" t="s">
        <v>198</v>
      </c>
      <c r="E3" s="13"/>
      <c r="F3" s="13"/>
      <c r="G3" s="13"/>
      <c r="H3" s="16">
        <v>2</v>
      </c>
      <c r="I3" s="1"/>
      <c r="J3" s="1"/>
      <c r="K3" s="73" t="s">
        <v>214</v>
      </c>
      <c r="L3" s="72"/>
      <c r="M3" s="72"/>
      <c r="N3" s="7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.75" x14ac:dyDescent="0.25">
      <c r="A4" s="10" t="s">
        <v>184</v>
      </c>
      <c r="B4" s="11">
        <v>2</v>
      </c>
      <c r="C4" s="14"/>
      <c r="D4" s="14"/>
      <c r="E4" s="14"/>
      <c r="F4" s="14"/>
      <c r="G4" s="14"/>
      <c r="H4" s="17"/>
    </row>
    <row r="5" spans="1:31" ht="15.75" x14ac:dyDescent="0.25">
      <c r="A5" s="14"/>
      <c r="B5" s="15"/>
      <c r="C5" s="14"/>
      <c r="D5" s="13" t="s">
        <v>197</v>
      </c>
      <c r="E5" s="13"/>
      <c r="F5" s="13"/>
      <c r="G5" s="13"/>
      <c r="H5" s="30">
        <v>1.5</v>
      </c>
    </row>
    <row r="6" spans="1:31" ht="15.75" x14ac:dyDescent="0.25">
      <c r="A6" s="10" t="s">
        <v>178</v>
      </c>
      <c r="B6" s="11">
        <v>3</v>
      </c>
      <c r="C6" s="14"/>
      <c r="D6" s="14"/>
      <c r="E6" s="14"/>
      <c r="F6" s="14"/>
      <c r="G6" s="14"/>
      <c r="H6" s="17"/>
    </row>
    <row r="7" spans="1:31" ht="15.75" x14ac:dyDescent="0.25">
      <c r="A7" s="14"/>
      <c r="B7" s="15"/>
      <c r="C7" s="14"/>
      <c r="D7" s="13" t="s">
        <v>188</v>
      </c>
      <c r="E7" s="13"/>
      <c r="F7" s="13"/>
      <c r="G7" s="13"/>
      <c r="H7" s="18">
        <v>1</v>
      </c>
    </row>
    <row r="8" spans="1:31" ht="15.75" x14ac:dyDescent="0.25">
      <c r="A8" s="10" t="s">
        <v>179</v>
      </c>
      <c r="B8" s="11">
        <v>4</v>
      </c>
      <c r="C8" s="14"/>
      <c r="D8" s="14"/>
      <c r="E8" s="14"/>
      <c r="F8" s="14"/>
      <c r="G8" s="14"/>
      <c r="H8" s="17"/>
    </row>
    <row r="9" spans="1:31" ht="15.75" x14ac:dyDescent="0.25">
      <c r="A9" s="14"/>
      <c r="B9" s="14"/>
      <c r="C9" s="14"/>
      <c r="D9" s="13" t="s">
        <v>186</v>
      </c>
      <c r="E9" s="13"/>
      <c r="F9" s="13"/>
      <c r="G9" s="13"/>
      <c r="H9" s="18">
        <v>8</v>
      </c>
    </row>
    <row r="10" spans="1:31" ht="15.75" x14ac:dyDescent="0.25">
      <c r="A10" s="10" t="s">
        <v>180</v>
      </c>
      <c r="B10" s="11">
        <v>8</v>
      </c>
      <c r="C10" s="14"/>
      <c r="D10" s="14"/>
      <c r="E10" s="14"/>
      <c r="F10" s="14"/>
      <c r="G10" s="14"/>
      <c r="H10" s="17"/>
    </row>
    <row r="11" spans="1:31" ht="15.75" x14ac:dyDescent="0.25">
      <c r="A11" s="14"/>
      <c r="B11" s="15"/>
      <c r="C11" s="14"/>
      <c r="D11" s="13" t="s">
        <v>187</v>
      </c>
      <c r="E11" s="13"/>
      <c r="F11" s="13"/>
      <c r="G11" s="13"/>
      <c r="H11" s="18">
        <v>10</v>
      </c>
    </row>
    <row r="12" spans="1:31" ht="15.75" x14ac:dyDescent="0.25">
      <c r="A12" s="10" t="s">
        <v>181</v>
      </c>
      <c r="B12" s="11">
        <v>16</v>
      </c>
      <c r="C12" s="14"/>
      <c r="D12" s="14"/>
      <c r="E12" s="14"/>
      <c r="F12" s="14"/>
      <c r="G12" s="14"/>
      <c r="H12" s="17"/>
    </row>
    <row r="13" spans="1:31" ht="15.75" x14ac:dyDescent="0.25">
      <c r="A13" s="14"/>
      <c r="B13" s="14"/>
      <c r="C13" s="14"/>
      <c r="D13" s="13" t="s">
        <v>190</v>
      </c>
      <c r="E13" s="13"/>
      <c r="F13" s="13"/>
      <c r="G13" s="13"/>
      <c r="H13" s="18">
        <v>2</v>
      </c>
    </row>
    <row r="14" spans="1:31" ht="15.75" x14ac:dyDescent="0.25">
      <c r="A14" s="10" t="s">
        <v>182</v>
      </c>
      <c r="B14" s="10">
        <v>-4</v>
      </c>
      <c r="C14" s="14"/>
      <c r="D14" s="14"/>
      <c r="E14" s="14"/>
      <c r="F14" s="14"/>
      <c r="G14" s="14"/>
      <c r="H14" s="17"/>
    </row>
    <row r="15" spans="1:31" ht="15.75" x14ac:dyDescent="0.25">
      <c r="A15" s="2"/>
      <c r="B15" s="2"/>
      <c r="C15" s="2"/>
      <c r="D15" s="13" t="s">
        <v>191</v>
      </c>
      <c r="E15" s="13"/>
      <c r="F15" s="13"/>
      <c r="G15" s="13"/>
      <c r="H15" s="18">
        <v>1</v>
      </c>
    </row>
    <row r="16" spans="1:31" x14ac:dyDescent="0.25">
      <c r="A16" s="2"/>
      <c r="B16" s="2"/>
      <c r="C16" s="2"/>
      <c r="D16" s="2"/>
      <c r="E16" s="2"/>
      <c r="F16" s="2"/>
      <c r="G16" s="2"/>
      <c r="H16" s="17"/>
    </row>
    <row r="17" spans="1:8" ht="15.75" x14ac:dyDescent="0.25">
      <c r="A17" s="19" t="s">
        <v>193</v>
      </c>
      <c r="B17" s="19" t="s">
        <v>194</v>
      </c>
      <c r="C17" s="2"/>
      <c r="D17" s="13" t="s">
        <v>192</v>
      </c>
      <c r="E17" s="13"/>
      <c r="F17" s="13"/>
      <c r="G17" s="13"/>
      <c r="H17" s="55">
        <v>0.5</v>
      </c>
    </row>
    <row r="18" spans="1:8" ht="15.75" x14ac:dyDescent="0.25">
      <c r="A18" s="19" t="s">
        <v>195</v>
      </c>
      <c r="B18" s="19" t="s">
        <v>196</v>
      </c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</sheetData>
  <mergeCells count="1"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zoomScaleNormal="100" workbookViewId="0">
      <selection activeCell="P23" sqref="P23"/>
    </sheetView>
  </sheetViews>
  <sheetFormatPr defaultRowHeight="15" x14ac:dyDescent="0.25"/>
  <cols>
    <col min="1" max="1" width="20" customWidth="1"/>
    <col min="2" max="2" width="21.5703125" customWidth="1"/>
    <col min="3" max="3" width="18.140625" customWidth="1"/>
    <col min="4" max="4" width="11.42578125" customWidth="1"/>
    <col min="5" max="5" width="15.28515625" customWidth="1"/>
    <col min="6" max="6" width="7.42578125" customWidth="1"/>
    <col min="7" max="7" width="7.7109375" customWidth="1"/>
    <col min="8" max="8" width="6.28515625" customWidth="1"/>
    <col min="13" max="13" width="8.85546875" style="5"/>
    <col min="15" max="15" width="19" customWidth="1"/>
    <col min="16" max="16" width="14.28515625" bestFit="1" customWidth="1"/>
    <col min="17" max="17" width="11.7109375" bestFit="1" customWidth="1"/>
  </cols>
  <sheetData>
    <row r="1" spans="1:18" ht="21" x14ac:dyDescent="0.35">
      <c r="A1" s="97" t="s">
        <v>250</v>
      </c>
    </row>
    <row r="2" spans="1:18" ht="21" x14ac:dyDescent="0.25">
      <c r="A2" s="99" t="s">
        <v>0</v>
      </c>
      <c r="B2" s="99" t="s">
        <v>37</v>
      </c>
      <c r="C2" s="99" t="s">
        <v>1</v>
      </c>
      <c r="D2" s="99" t="s">
        <v>38</v>
      </c>
      <c r="E2" s="99" t="s">
        <v>39</v>
      </c>
      <c r="F2" s="99" t="s">
        <v>3</v>
      </c>
      <c r="G2" s="99" t="s">
        <v>40</v>
      </c>
      <c r="H2" s="99" t="s">
        <v>5</v>
      </c>
      <c r="I2" s="99" t="s">
        <v>103</v>
      </c>
      <c r="J2" s="99" t="s">
        <v>48</v>
      </c>
      <c r="K2" s="99" t="s">
        <v>142</v>
      </c>
      <c r="L2" s="99" t="s">
        <v>143</v>
      </c>
      <c r="M2" s="99" t="s">
        <v>183</v>
      </c>
    </row>
    <row r="3" spans="1:18" x14ac:dyDescent="0.25">
      <c r="A3" s="5" t="s">
        <v>104</v>
      </c>
      <c r="B3" s="5">
        <v>17</v>
      </c>
      <c r="C3" s="5">
        <v>17</v>
      </c>
      <c r="D3" s="5">
        <v>65.400000000000006</v>
      </c>
      <c r="E3" s="5">
        <v>1</v>
      </c>
      <c r="F3" s="5">
        <v>548</v>
      </c>
      <c r="G3" s="5">
        <v>30</v>
      </c>
      <c r="H3" s="5">
        <v>18.260000000000002</v>
      </c>
      <c r="I3" s="5">
        <v>8.34</v>
      </c>
      <c r="J3" s="5">
        <v>13.1</v>
      </c>
      <c r="K3" s="5">
        <v>2</v>
      </c>
      <c r="L3" s="5">
        <v>0</v>
      </c>
      <c r="M3" s="5">
        <v>118</v>
      </c>
    </row>
    <row r="4" spans="1:18" ht="18.75" x14ac:dyDescent="0.3">
      <c r="A4" s="5" t="s">
        <v>105</v>
      </c>
      <c r="B4" s="5">
        <v>15</v>
      </c>
      <c r="C4" s="5">
        <v>15</v>
      </c>
      <c r="D4" s="5">
        <v>60</v>
      </c>
      <c r="E4" s="5">
        <v>2</v>
      </c>
      <c r="F4" s="5">
        <v>404</v>
      </c>
      <c r="G4" s="5">
        <v>27</v>
      </c>
      <c r="H4" s="5">
        <v>14.96</v>
      </c>
      <c r="I4" s="5">
        <v>8.34</v>
      </c>
      <c r="J4" s="5">
        <v>13.3</v>
      </c>
      <c r="K4" s="5">
        <v>2</v>
      </c>
      <c r="L4" s="5">
        <v>0</v>
      </c>
      <c r="M4" s="5">
        <v>117</v>
      </c>
      <c r="P4" s="105" t="s">
        <v>193</v>
      </c>
      <c r="Q4" s="106" t="str">
        <f>INDEX(Table9[Player],MATCH(MAX(Table9[Points]),Table9[Points],0))</f>
        <v>K Rabada</v>
      </c>
      <c r="R4" s="107">
        <f>MAX(Table9[Points])*2</f>
        <v>236</v>
      </c>
    </row>
    <row r="5" spans="1:18" ht="18.75" x14ac:dyDescent="0.3">
      <c r="A5" s="5" t="s">
        <v>106</v>
      </c>
      <c r="B5" s="5">
        <v>15</v>
      </c>
      <c r="C5" s="5">
        <v>15</v>
      </c>
      <c r="D5" s="5">
        <v>57.2</v>
      </c>
      <c r="E5" s="5">
        <v>3</v>
      </c>
      <c r="F5" s="5">
        <v>457</v>
      </c>
      <c r="G5" s="5">
        <v>25</v>
      </c>
      <c r="H5" s="5">
        <v>18.28</v>
      </c>
      <c r="I5" s="5">
        <v>8.34</v>
      </c>
      <c r="J5" s="5">
        <v>13.7</v>
      </c>
      <c r="K5" s="5">
        <v>1</v>
      </c>
      <c r="L5" s="5">
        <v>0</v>
      </c>
      <c r="M5" s="5">
        <v>109</v>
      </c>
      <c r="P5" s="108" t="s">
        <v>195</v>
      </c>
      <c r="Q5" s="109" t="str">
        <f>INDEX(Table9[Player],MATCH(LARGE(Table9[Points],2),Table9[Points],0))</f>
        <v>JJ Bumrah</v>
      </c>
      <c r="R5" s="110">
        <f>LARGE(Table9[Points],2)*1.5</f>
        <v>175.5</v>
      </c>
    </row>
    <row r="6" spans="1:18" ht="18.75" x14ac:dyDescent="0.3">
      <c r="A6" s="5" t="s">
        <v>107</v>
      </c>
      <c r="B6" s="5">
        <v>16</v>
      </c>
      <c r="C6" s="5">
        <v>16</v>
      </c>
      <c r="D6" s="5">
        <v>61</v>
      </c>
      <c r="E6" s="5">
        <v>0</v>
      </c>
      <c r="F6" s="5">
        <v>512</v>
      </c>
      <c r="G6" s="5">
        <v>22</v>
      </c>
      <c r="H6" s="5">
        <v>23.27</v>
      </c>
      <c r="I6" s="5">
        <v>8.34</v>
      </c>
      <c r="J6" s="5">
        <v>16.600000000000001</v>
      </c>
      <c r="K6" s="5">
        <v>0</v>
      </c>
      <c r="L6" s="5">
        <v>0</v>
      </c>
      <c r="M6" s="5">
        <v>66</v>
      </c>
      <c r="P6" s="111" t="s">
        <v>216</v>
      </c>
      <c r="Q6" s="112">
        <f>SUM(R4:R5,M5:M17)</f>
        <v>1119.5</v>
      </c>
    </row>
    <row r="7" spans="1:18" x14ac:dyDescent="0.25">
      <c r="A7" s="5" t="s">
        <v>108</v>
      </c>
      <c r="B7" s="5">
        <v>15</v>
      </c>
      <c r="C7" s="5">
        <v>15</v>
      </c>
      <c r="D7" s="5">
        <v>57.1</v>
      </c>
      <c r="E7" s="5">
        <v>0</v>
      </c>
      <c r="F7" s="5">
        <v>405</v>
      </c>
      <c r="G7" s="5">
        <v>21</v>
      </c>
      <c r="H7" s="5">
        <v>19.28</v>
      </c>
      <c r="I7" s="5">
        <v>8.34</v>
      </c>
      <c r="J7" s="5">
        <v>16.3</v>
      </c>
      <c r="K7" s="5">
        <v>0</v>
      </c>
      <c r="L7" s="5">
        <v>0</v>
      </c>
      <c r="M7" s="5">
        <v>63</v>
      </c>
    </row>
    <row r="8" spans="1:18" x14ac:dyDescent="0.25">
      <c r="A8" s="5" t="s">
        <v>110</v>
      </c>
      <c r="B8" s="5">
        <v>14</v>
      </c>
      <c r="C8" s="5">
        <v>14</v>
      </c>
      <c r="D8" s="5">
        <v>53.4</v>
      </c>
      <c r="E8" s="5">
        <v>0</v>
      </c>
      <c r="F8" s="5">
        <v>460</v>
      </c>
      <c r="G8" s="5">
        <v>20</v>
      </c>
      <c r="H8" s="5">
        <v>23</v>
      </c>
      <c r="I8" s="5">
        <v>8.34</v>
      </c>
      <c r="J8" s="5">
        <v>16.100000000000001</v>
      </c>
      <c r="K8" s="5">
        <v>0</v>
      </c>
      <c r="L8" s="5">
        <v>0</v>
      </c>
      <c r="M8" s="5">
        <v>60</v>
      </c>
    </row>
    <row r="9" spans="1:18" x14ac:dyDescent="0.25">
      <c r="A9" s="5" t="s">
        <v>109</v>
      </c>
      <c r="B9" s="5">
        <v>14</v>
      </c>
      <c r="C9" s="5">
        <v>14</v>
      </c>
      <c r="D9" s="5">
        <v>55.4</v>
      </c>
      <c r="E9" s="5">
        <v>0</v>
      </c>
      <c r="F9" s="5">
        <v>365</v>
      </c>
      <c r="G9" s="5">
        <v>20</v>
      </c>
      <c r="H9" s="5">
        <v>18.25</v>
      </c>
      <c r="I9" s="5">
        <v>8.34</v>
      </c>
      <c r="J9" s="5">
        <v>16.7</v>
      </c>
      <c r="K9" s="5">
        <v>0</v>
      </c>
      <c r="L9" s="5">
        <v>0</v>
      </c>
      <c r="M9" s="5">
        <v>60</v>
      </c>
    </row>
    <row r="10" spans="1:18" x14ac:dyDescent="0.25">
      <c r="A10" s="5" t="s">
        <v>111</v>
      </c>
      <c r="B10" s="5">
        <v>13</v>
      </c>
      <c r="C10" s="5">
        <v>13</v>
      </c>
      <c r="D10" s="5">
        <v>52</v>
      </c>
      <c r="E10" s="5">
        <v>0</v>
      </c>
      <c r="F10" s="5">
        <v>356</v>
      </c>
      <c r="G10" s="5">
        <v>17</v>
      </c>
      <c r="H10" s="5">
        <v>20.94</v>
      </c>
      <c r="I10" s="5">
        <v>8.34</v>
      </c>
      <c r="J10" s="5">
        <v>18.3</v>
      </c>
      <c r="K10" s="5">
        <v>0</v>
      </c>
      <c r="L10" s="5">
        <v>1</v>
      </c>
      <c r="M10" s="5">
        <v>51</v>
      </c>
    </row>
    <row r="11" spans="1:18" x14ac:dyDescent="0.25">
      <c r="A11" s="5" t="s">
        <v>119</v>
      </c>
      <c r="B11" s="5">
        <v>9</v>
      </c>
      <c r="C11" s="5">
        <v>9</v>
      </c>
      <c r="D11" s="5">
        <v>31.4</v>
      </c>
      <c r="E11" s="5">
        <v>1</v>
      </c>
      <c r="F11" s="5">
        <v>210</v>
      </c>
      <c r="G11" s="5">
        <v>11</v>
      </c>
      <c r="H11" s="5">
        <v>19.09</v>
      </c>
      <c r="I11" s="5">
        <v>8.34</v>
      </c>
      <c r="J11" s="5">
        <v>17.2</v>
      </c>
      <c r="K11" s="5">
        <v>1</v>
      </c>
      <c r="L11" s="5">
        <v>0</v>
      </c>
      <c r="M11" s="5">
        <v>51</v>
      </c>
    </row>
    <row r="12" spans="1:18" x14ac:dyDescent="0.25">
      <c r="A12" s="5" t="s">
        <v>120</v>
      </c>
      <c r="B12" s="5">
        <v>9</v>
      </c>
      <c r="C12" s="5">
        <v>9</v>
      </c>
      <c r="D12" s="5">
        <v>27.1</v>
      </c>
      <c r="E12" s="5">
        <v>2</v>
      </c>
      <c r="F12" s="5">
        <v>236</v>
      </c>
      <c r="G12" s="5">
        <v>11</v>
      </c>
      <c r="H12" s="5">
        <v>21.45</v>
      </c>
      <c r="I12" s="5">
        <v>8.34</v>
      </c>
      <c r="J12" s="5">
        <v>14.8</v>
      </c>
      <c r="K12" s="5">
        <v>0</v>
      </c>
      <c r="L12" s="5">
        <v>0</v>
      </c>
      <c r="M12" s="5">
        <v>49</v>
      </c>
    </row>
    <row r="13" spans="1:18" x14ac:dyDescent="0.25">
      <c r="A13" s="5" t="s">
        <v>126</v>
      </c>
      <c r="B13" s="5">
        <v>8</v>
      </c>
      <c r="C13" s="5">
        <v>8</v>
      </c>
      <c r="D13" s="5">
        <v>26</v>
      </c>
      <c r="E13" s="5">
        <v>2</v>
      </c>
      <c r="F13" s="5">
        <v>212</v>
      </c>
      <c r="G13" s="5">
        <v>9</v>
      </c>
      <c r="H13" s="5">
        <v>23.55</v>
      </c>
      <c r="I13" s="5">
        <v>8.34</v>
      </c>
      <c r="J13" s="5">
        <v>17.3</v>
      </c>
      <c r="K13" s="5">
        <v>0</v>
      </c>
      <c r="L13" s="5">
        <v>0</v>
      </c>
      <c r="M13" s="5">
        <v>43</v>
      </c>
    </row>
    <row r="14" spans="1:18" x14ac:dyDescent="0.25">
      <c r="A14" s="5" t="s">
        <v>114</v>
      </c>
      <c r="B14" s="5">
        <v>7</v>
      </c>
      <c r="C14" s="5">
        <v>7</v>
      </c>
      <c r="D14" s="5">
        <v>28</v>
      </c>
      <c r="E14" s="5">
        <v>0</v>
      </c>
      <c r="F14" s="5">
        <v>233</v>
      </c>
      <c r="G14" s="5">
        <v>14</v>
      </c>
      <c r="H14" s="5">
        <v>16.64</v>
      </c>
      <c r="I14" s="5">
        <v>8.34</v>
      </c>
      <c r="J14" s="5">
        <v>12</v>
      </c>
      <c r="K14" s="5">
        <v>0</v>
      </c>
      <c r="L14" s="5">
        <v>0</v>
      </c>
      <c r="M14" s="5">
        <v>42</v>
      </c>
    </row>
    <row r="15" spans="1:18" x14ac:dyDescent="0.25">
      <c r="A15" s="5" t="s">
        <v>112</v>
      </c>
      <c r="B15" s="5">
        <v>16</v>
      </c>
      <c r="C15" s="5">
        <v>16</v>
      </c>
      <c r="D15" s="5">
        <v>62.5</v>
      </c>
      <c r="E15" s="5">
        <v>1</v>
      </c>
      <c r="F15" s="5">
        <v>504</v>
      </c>
      <c r="G15" s="5">
        <v>16</v>
      </c>
      <c r="H15" s="5">
        <v>31.5</v>
      </c>
      <c r="I15" s="5">
        <v>8.34</v>
      </c>
      <c r="J15" s="5">
        <v>23.5</v>
      </c>
      <c r="K15" s="5">
        <v>0</v>
      </c>
      <c r="L15" s="5">
        <v>0</v>
      </c>
      <c r="M15" s="5">
        <v>40</v>
      </c>
    </row>
    <row r="16" spans="1:18" x14ac:dyDescent="0.25">
      <c r="A16" s="5" t="s">
        <v>70</v>
      </c>
      <c r="B16" s="5">
        <v>17</v>
      </c>
      <c r="C16" s="5">
        <v>13</v>
      </c>
      <c r="D16" s="5">
        <v>29.4</v>
      </c>
      <c r="E16" s="5">
        <v>0</v>
      </c>
      <c r="F16" s="5">
        <v>283</v>
      </c>
      <c r="G16" s="5">
        <v>13</v>
      </c>
      <c r="H16" s="5">
        <v>21.76</v>
      </c>
      <c r="I16" s="5">
        <v>8.34</v>
      </c>
      <c r="J16" s="5">
        <v>13.6</v>
      </c>
      <c r="K16" s="5">
        <v>0</v>
      </c>
      <c r="L16" s="5">
        <v>0</v>
      </c>
      <c r="M16" s="5">
        <v>39</v>
      </c>
    </row>
    <row r="17" spans="1:17" x14ac:dyDescent="0.25">
      <c r="A17" s="5" t="s">
        <v>127</v>
      </c>
      <c r="B17" s="5">
        <v>8</v>
      </c>
      <c r="C17" s="5">
        <v>8</v>
      </c>
      <c r="D17" s="5">
        <v>24.5</v>
      </c>
      <c r="E17" s="5">
        <v>1</v>
      </c>
      <c r="F17" s="5">
        <v>218</v>
      </c>
      <c r="G17" s="5">
        <v>9</v>
      </c>
      <c r="H17" s="5">
        <v>24.22</v>
      </c>
      <c r="I17" s="5">
        <v>8.34</v>
      </c>
      <c r="J17" s="5">
        <v>16.5</v>
      </c>
      <c r="K17" s="5">
        <v>0</v>
      </c>
      <c r="L17" s="5">
        <v>0</v>
      </c>
      <c r="M17" s="5">
        <v>35</v>
      </c>
    </row>
    <row r="21" spans="1:17" ht="21" x14ac:dyDescent="0.35">
      <c r="A21" s="97" t="s">
        <v>251</v>
      </c>
    </row>
    <row r="22" spans="1:17" ht="21" x14ac:dyDescent="0.35">
      <c r="A22" s="98" t="s">
        <v>0</v>
      </c>
      <c r="B22" s="98" t="s">
        <v>37</v>
      </c>
      <c r="C22" s="98" t="s">
        <v>1</v>
      </c>
      <c r="D22" s="98" t="s">
        <v>38</v>
      </c>
      <c r="E22" s="98" t="s">
        <v>39</v>
      </c>
      <c r="F22" s="98" t="s">
        <v>3</v>
      </c>
      <c r="G22" s="98" t="s">
        <v>40</v>
      </c>
      <c r="H22" s="98" t="s">
        <v>46</v>
      </c>
      <c r="I22" s="98" t="s">
        <v>103</v>
      </c>
      <c r="J22" s="98" t="s">
        <v>48</v>
      </c>
      <c r="K22" s="98" t="s">
        <v>142</v>
      </c>
      <c r="L22" s="98" t="s">
        <v>143</v>
      </c>
      <c r="M22" s="104" t="s">
        <v>183</v>
      </c>
    </row>
    <row r="23" spans="1:17" ht="18.75" x14ac:dyDescent="0.3">
      <c r="A23" t="s">
        <v>102</v>
      </c>
      <c r="B23">
        <v>17</v>
      </c>
      <c r="C23">
        <v>17</v>
      </c>
      <c r="D23">
        <v>64.2</v>
      </c>
      <c r="E23">
        <v>1</v>
      </c>
      <c r="F23">
        <v>431</v>
      </c>
      <c r="G23">
        <v>26</v>
      </c>
      <c r="H23">
        <v>16.57</v>
      </c>
      <c r="I23">
        <v>6.69</v>
      </c>
      <c r="J23">
        <v>14.8</v>
      </c>
      <c r="K23">
        <v>2</v>
      </c>
      <c r="L23">
        <v>0</v>
      </c>
      <c r="M23" s="5">
        <v>119</v>
      </c>
      <c r="O23" s="105" t="s">
        <v>193</v>
      </c>
      <c r="P23" s="106" t="str">
        <f>INDEX(Table10[Player],MATCH(MAX(Table10[Points]),Table10[Points],0))</f>
        <v>Imran Tahir</v>
      </c>
      <c r="Q23" s="107">
        <f>MAX(Table10[Points])*2</f>
        <v>238</v>
      </c>
    </row>
    <row r="24" spans="1:17" ht="18.75" x14ac:dyDescent="0.3">
      <c r="A24" t="s">
        <v>104</v>
      </c>
      <c r="B24">
        <v>12</v>
      </c>
      <c r="C24">
        <v>12</v>
      </c>
      <c r="D24">
        <v>47</v>
      </c>
      <c r="E24">
        <v>0</v>
      </c>
      <c r="F24">
        <v>368</v>
      </c>
      <c r="G24">
        <v>25</v>
      </c>
      <c r="H24">
        <v>14.72</v>
      </c>
      <c r="I24">
        <v>7.82</v>
      </c>
      <c r="J24">
        <v>11.2</v>
      </c>
      <c r="K24">
        <v>2</v>
      </c>
      <c r="L24">
        <v>0</v>
      </c>
      <c r="M24" s="5">
        <v>107.5</v>
      </c>
      <c r="O24" s="108" t="s">
        <v>195</v>
      </c>
      <c r="P24" s="109" t="str">
        <f>INDEX(Table10[Player],MATCH(LARGE(Table10[Points],2),Table10[Points],0))</f>
        <v>K Rabada</v>
      </c>
      <c r="Q24" s="110">
        <f>LARGE(Table10[Points],2)*1.5</f>
        <v>161.25</v>
      </c>
    </row>
    <row r="25" spans="1:17" ht="18.75" x14ac:dyDescent="0.3">
      <c r="A25" t="s">
        <v>118</v>
      </c>
      <c r="B25">
        <v>17</v>
      </c>
      <c r="C25">
        <v>17</v>
      </c>
      <c r="D25">
        <v>64.3</v>
      </c>
      <c r="E25">
        <v>2</v>
      </c>
      <c r="F25">
        <v>482</v>
      </c>
      <c r="G25">
        <v>22</v>
      </c>
      <c r="H25">
        <v>21.9</v>
      </c>
      <c r="I25">
        <v>7.47</v>
      </c>
      <c r="J25">
        <v>17.5</v>
      </c>
      <c r="K25">
        <v>0</v>
      </c>
      <c r="L25">
        <v>0</v>
      </c>
      <c r="M25" s="5">
        <v>93</v>
      </c>
      <c r="O25" s="111" t="s">
        <v>216</v>
      </c>
      <c r="P25" s="112">
        <f>SUM(Q23:Q24,M25:M37)</f>
        <v>1158.25</v>
      </c>
    </row>
    <row r="26" spans="1:17" x14ac:dyDescent="0.25">
      <c r="A26" t="s">
        <v>108</v>
      </c>
      <c r="B26">
        <v>14</v>
      </c>
      <c r="C26">
        <v>14</v>
      </c>
      <c r="D26">
        <v>49.2</v>
      </c>
      <c r="E26">
        <v>1</v>
      </c>
      <c r="F26">
        <v>386</v>
      </c>
      <c r="G26">
        <v>18</v>
      </c>
      <c r="H26">
        <v>21.44</v>
      </c>
      <c r="I26">
        <v>7.82</v>
      </c>
      <c r="J26">
        <v>16.399999999999999</v>
      </c>
      <c r="K26">
        <v>1</v>
      </c>
      <c r="L26">
        <v>0</v>
      </c>
      <c r="M26" s="5">
        <v>81</v>
      </c>
    </row>
    <row r="27" spans="1:17" x14ac:dyDescent="0.25">
      <c r="A27" t="s">
        <v>124</v>
      </c>
      <c r="B27">
        <v>14</v>
      </c>
      <c r="C27">
        <v>14</v>
      </c>
      <c r="D27">
        <v>48</v>
      </c>
      <c r="E27">
        <v>1</v>
      </c>
      <c r="F27">
        <v>347</v>
      </c>
      <c r="G27">
        <v>20</v>
      </c>
      <c r="H27">
        <v>17.350000000000001</v>
      </c>
      <c r="I27">
        <v>7.22</v>
      </c>
      <c r="J27">
        <v>14.4</v>
      </c>
      <c r="K27">
        <v>0</v>
      </c>
      <c r="L27">
        <v>0</v>
      </c>
      <c r="M27" s="5">
        <v>78</v>
      </c>
    </row>
    <row r="28" spans="1:17" x14ac:dyDescent="0.25">
      <c r="A28" t="s">
        <v>159</v>
      </c>
      <c r="B28">
        <v>12</v>
      </c>
      <c r="C28">
        <v>12</v>
      </c>
      <c r="D28">
        <v>44.5</v>
      </c>
      <c r="E28">
        <v>0</v>
      </c>
      <c r="F28">
        <v>438</v>
      </c>
      <c r="G28">
        <v>16</v>
      </c>
      <c r="H28">
        <v>27.37</v>
      </c>
      <c r="I28">
        <v>9.76</v>
      </c>
      <c r="J28">
        <v>16.8</v>
      </c>
      <c r="K28">
        <v>2</v>
      </c>
      <c r="L28">
        <v>0</v>
      </c>
      <c r="M28" s="5">
        <v>68</v>
      </c>
    </row>
    <row r="29" spans="1:17" x14ac:dyDescent="0.25">
      <c r="A29" t="s">
        <v>44</v>
      </c>
      <c r="B29">
        <v>11</v>
      </c>
      <c r="C29">
        <v>11</v>
      </c>
      <c r="D29">
        <v>44</v>
      </c>
      <c r="E29">
        <v>1</v>
      </c>
      <c r="F29">
        <v>312</v>
      </c>
      <c r="G29">
        <v>16</v>
      </c>
      <c r="H29">
        <v>19.5</v>
      </c>
      <c r="I29">
        <v>7.09</v>
      </c>
      <c r="J29">
        <v>16.5</v>
      </c>
      <c r="K29">
        <v>0</v>
      </c>
      <c r="L29">
        <v>0</v>
      </c>
      <c r="M29" s="5">
        <v>64</v>
      </c>
    </row>
    <row r="30" spans="1:17" x14ac:dyDescent="0.25">
      <c r="A30" t="s">
        <v>110</v>
      </c>
      <c r="B30">
        <v>14</v>
      </c>
      <c r="C30">
        <v>14</v>
      </c>
      <c r="D30">
        <v>54</v>
      </c>
      <c r="E30">
        <v>0</v>
      </c>
      <c r="F30">
        <v>469</v>
      </c>
      <c r="G30">
        <v>19</v>
      </c>
      <c r="H30">
        <v>24.68</v>
      </c>
      <c r="I30">
        <v>8.68</v>
      </c>
      <c r="J30">
        <v>17</v>
      </c>
      <c r="K30">
        <v>0</v>
      </c>
      <c r="L30">
        <v>0</v>
      </c>
      <c r="M30" s="5">
        <v>57</v>
      </c>
    </row>
    <row r="31" spans="1:17" x14ac:dyDescent="0.25">
      <c r="A31" t="s">
        <v>130</v>
      </c>
      <c r="B31">
        <v>9</v>
      </c>
      <c r="C31">
        <v>9</v>
      </c>
      <c r="D31">
        <v>34.5</v>
      </c>
      <c r="E31">
        <v>0</v>
      </c>
      <c r="F31">
        <v>287</v>
      </c>
      <c r="G31">
        <v>19</v>
      </c>
      <c r="H31">
        <v>15.1</v>
      </c>
      <c r="I31">
        <v>8.23</v>
      </c>
      <c r="J31">
        <v>11</v>
      </c>
      <c r="K31">
        <v>0</v>
      </c>
      <c r="L31">
        <v>0</v>
      </c>
      <c r="M31" s="5">
        <v>57</v>
      </c>
    </row>
    <row r="32" spans="1:17" x14ac:dyDescent="0.25">
      <c r="A32" t="s">
        <v>41</v>
      </c>
      <c r="B32">
        <v>15</v>
      </c>
      <c r="C32">
        <v>15</v>
      </c>
      <c r="D32">
        <v>60</v>
      </c>
      <c r="E32">
        <v>1</v>
      </c>
      <c r="F32">
        <v>377</v>
      </c>
      <c r="G32">
        <v>17</v>
      </c>
      <c r="H32">
        <v>22.17</v>
      </c>
      <c r="I32">
        <v>6.28</v>
      </c>
      <c r="J32">
        <v>21.1</v>
      </c>
      <c r="K32">
        <v>0</v>
      </c>
      <c r="L32">
        <v>0</v>
      </c>
      <c r="M32" s="5">
        <v>50.5</v>
      </c>
    </row>
    <row r="33" spans="1:13" x14ac:dyDescent="0.25">
      <c r="A33" t="s">
        <v>85</v>
      </c>
      <c r="B33">
        <v>16</v>
      </c>
      <c r="C33">
        <v>16</v>
      </c>
      <c r="D33">
        <v>54</v>
      </c>
      <c r="E33">
        <v>1</v>
      </c>
      <c r="F33">
        <v>343</v>
      </c>
      <c r="G33">
        <v>15</v>
      </c>
      <c r="H33">
        <v>22.86</v>
      </c>
      <c r="I33">
        <v>6.35</v>
      </c>
      <c r="J33">
        <v>21.6</v>
      </c>
      <c r="K33">
        <v>0</v>
      </c>
      <c r="L33">
        <v>0</v>
      </c>
      <c r="M33" s="5">
        <v>45.5</v>
      </c>
    </row>
    <row r="34" spans="1:13" x14ac:dyDescent="0.25">
      <c r="A34" t="s">
        <v>109</v>
      </c>
      <c r="B34">
        <v>11</v>
      </c>
      <c r="C34">
        <v>11</v>
      </c>
      <c r="D34">
        <v>43</v>
      </c>
      <c r="E34">
        <v>2</v>
      </c>
      <c r="F34">
        <v>291</v>
      </c>
      <c r="G34">
        <v>11</v>
      </c>
      <c r="H34">
        <v>26.45</v>
      </c>
      <c r="I34">
        <v>6.76</v>
      </c>
      <c r="J34">
        <v>23.4</v>
      </c>
      <c r="K34">
        <v>0</v>
      </c>
      <c r="L34">
        <v>0</v>
      </c>
      <c r="M34" s="5">
        <v>43.5</v>
      </c>
    </row>
    <row r="35" spans="1:13" x14ac:dyDescent="0.25">
      <c r="A35" t="s">
        <v>80</v>
      </c>
      <c r="B35">
        <v>16</v>
      </c>
      <c r="C35">
        <v>16</v>
      </c>
      <c r="D35">
        <v>42.3</v>
      </c>
      <c r="E35">
        <v>0</v>
      </c>
      <c r="F35">
        <v>390</v>
      </c>
      <c r="G35">
        <v>14</v>
      </c>
      <c r="H35">
        <v>27.85</v>
      </c>
      <c r="I35">
        <v>9.17</v>
      </c>
      <c r="J35">
        <v>18.2</v>
      </c>
      <c r="K35">
        <v>0</v>
      </c>
      <c r="L35">
        <v>0</v>
      </c>
      <c r="M35" s="5">
        <v>42</v>
      </c>
    </row>
    <row r="36" spans="1:13" x14ac:dyDescent="0.25">
      <c r="A36" t="s">
        <v>160</v>
      </c>
      <c r="B36">
        <v>13</v>
      </c>
      <c r="C36">
        <v>13</v>
      </c>
      <c r="D36">
        <v>46</v>
      </c>
      <c r="E36">
        <v>1</v>
      </c>
      <c r="F36">
        <v>349</v>
      </c>
      <c r="G36">
        <v>13</v>
      </c>
      <c r="H36">
        <v>26.84</v>
      </c>
      <c r="I36">
        <v>7.58</v>
      </c>
      <c r="J36">
        <v>21.2</v>
      </c>
      <c r="K36">
        <v>0</v>
      </c>
      <c r="L36">
        <v>0</v>
      </c>
      <c r="M36" s="5">
        <v>40.5</v>
      </c>
    </row>
    <row r="37" spans="1:13" x14ac:dyDescent="0.25">
      <c r="A37" t="s">
        <v>119</v>
      </c>
      <c r="B37">
        <v>9</v>
      </c>
      <c r="C37">
        <v>9</v>
      </c>
      <c r="D37">
        <v>33</v>
      </c>
      <c r="E37">
        <v>0</v>
      </c>
      <c r="F37">
        <v>306</v>
      </c>
      <c r="G37">
        <v>13</v>
      </c>
      <c r="H37">
        <v>23.53</v>
      </c>
      <c r="I37">
        <v>9.27</v>
      </c>
      <c r="J37">
        <v>15.2</v>
      </c>
      <c r="K37">
        <v>0</v>
      </c>
      <c r="L37">
        <v>0</v>
      </c>
      <c r="M37" s="5">
        <v>39</v>
      </c>
    </row>
    <row r="59" spans="3:5" x14ac:dyDescent="0.25">
      <c r="C59" t="s">
        <v>217</v>
      </c>
      <c r="E59" t="s">
        <v>218</v>
      </c>
    </row>
    <row r="61" spans="3:5" x14ac:dyDescent="0.25">
      <c r="C61" t="s">
        <v>34</v>
      </c>
    </row>
    <row r="64" spans="3:5" x14ac:dyDescent="0.25">
      <c r="C64" t="s">
        <v>35</v>
      </c>
    </row>
    <row r="65" spans="3:3" x14ac:dyDescent="0.25">
      <c r="C65" t="s">
        <v>36</v>
      </c>
    </row>
  </sheetData>
  <pageMargins left="0.7" right="0.7" top="0.75" bottom="0.75" header="0.3" footer="0.3"/>
  <ignoredErrors>
    <ignoredError sqref="Q6 P25" formulaRange="1"/>
  </ignoredErrors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"/>
  <sheetViews>
    <sheetView topLeftCell="A10" zoomScale="115" zoomScaleNormal="115" workbookViewId="0">
      <selection activeCell="F9" sqref="F9"/>
    </sheetView>
  </sheetViews>
  <sheetFormatPr defaultRowHeight="15" x14ac:dyDescent="0.25"/>
  <cols>
    <col min="1" max="1" width="25" customWidth="1"/>
    <col min="2" max="2" width="11.42578125" customWidth="1"/>
    <col min="3" max="3" width="8.140625" customWidth="1"/>
    <col min="4" max="4" width="7.7109375" customWidth="1"/>
    <col min="5" max="5" width="15" customWidth="1"/>
    <col min="6" max="6" width="10.140625" customWidth="1"/>
    <col min="7" max="7" width="19" customWidth="1"/>
  </cols>
  <sheetData>
    <row r="1" spans="1:7" ht="18.75" x14ac:dyDescent="0.3">
      <c r="A1" s="96" t="s">
        <v>254</v>
      </c>
      <c r="B1" s="94"/>
    </row>
    <row r="2" spans="1:7" x14ac:dyDescent="0.25">
      <c r="A2" s="5" t="s">
        <v>252</v>
      </c>
      <c r="B2" s="5" t="s">
        <v>253</v>
      </c>
      <c r="C2" s="5" t="s">
        <v>183</v>
      </c>
    </row>
    <row r="3" spans="1:7" x14ac:dyDescent="0.25">
      <c r="A3" s="5" t="s">
        <v>50</v>
      </c>
      <c r="B3" s="5">
        <v>17</v>
      </c>
      <c r="C3" s="5">
        <v>1568</v>
      </c>
      <c r="E3" s="116" t="s">
        <v>193</v>
      </c>
      <c r="F3" s="116" t="str">
        <f>INDEX(Table11[Players],MATCH(MAX(Table11[Points]),Table11[Points],0))</f>
        <v>S Dhawan</v>
      </c>
      <c r="G3" s="116">
        <f>MAX(Table11[Points])*2</f>
        <v>3136</v>
      </c>
    </row>
    <row r="4" spans="1:7" x14ac:dyDescent="0.25">
      <c r="A4" s="5" t="s">
        <v>58</v>
      </c>
      <c r="B4" s="5">
        <v>15</v>
      </c>
      <c r="C4" s="5">
        <v>1069</v>
      </c>
      <c r="E4" s="116" t="s">
        <v>195</v>
      </c>
      <c r="F4" s="116" t="str">
        <f>INDEX(Table11[Players],MATCH(LARGE(Table11[Points],2),Table11[Points],0))</f>
        <v>V Kohli</v>
      </c>
      <c r="G4" s="116">
        <f>LARGE(Table11[Points],2)*1.5</f>
        <v>1603.5</v>
      </c>
    </row>
    <row r="5" spans="1:7" x14ac:dyDescent="0.25">
      <c r="A5" s="5" t="s">
        <v>49</v>
      </c>
      <c r="B5" s="5">
        <v>14</v>
      </c>
      <c r="C5" s="5">
        <v>992</v>
      </c>
      <c r="E5" s="116" t="s">
        <v>216</v>
      </c>
      <c r="F5" s="116">
        <f>SUM(G3:G4,C5:C17)</f>
        <v>10937.5</v>
      </c>
      <c r="G5" s="116"/>
    </row>
    <row r="6" spans="1:7" x14ac:dyDescent="0.25">
      <c r="A6" s="5" t="s">
        <v>51</v>
      </c>
      <c r="B6" s="5">
        <v>16</v>
      </c>
      <c r="C6" s="5">
        <v>876</v>
      </c>
    </row>
    <row r="7" spans="1:7" x14ac:dyDescent="0.25">
      <c r="A7" s="5" t="s">
        <v>56</v>
      </c>
      <c r="B7" s="5">
        <v>16</v>
      </c>
      <c r="C7" s="5">
        <v>787</v>
      </c>
    </row>
    <row r="8" spans="1:7" x14ac:dyDescent="0.25">
      <c r="A8" s="5" t="s">
        <v>54</v>
      </c>
      <c r="B8" s="5">
        <v>14</v>
      </c>
      <c r="C8" s="5">
        <v>772</v>
      </c>
    </row>
    <row r="9" spans="1:7" x14ac:dyDescent="0.25">
      <c r="A9" s="5" t="s">
        <v>55</v>
      </c>
      <c r="B9" s="5">
        <v>16</v>
      </c>
      <c r="C9" s="5">
        <v>757</v>
      </c>
    </row>
    <row r="10" spans="1:7" x14ac:dyDescent="0.25">
      <c r="A10" s="5" t="s">
        <v>57</v>
      </c>
      <c r="B10" s="5">
        <v>15</v>
      </c>
      <c r="C10" s="5">
        <v>754</v>
      </c>
    </row>
    <row r="11" spans="1:7" x14ac:dyDescent="0.25">
      <c r="A11" s="5" t="s">
        <v>53</v>
      </c>
      <c r="B11" s="5">
        <v>17</v>
      </c>
      <c r="C11" s="5">
        <v>727</v>
      </c>
    </row>
    <row r="12" spans="1:7" x14ac:dyDescent="0.25">
      <c r="A12" s="5" t="s">
        <v>104</v>
      </c>
      <c r="B12" s="5">
        <v>17</v>
      </c>
      <c r="C12" s="5">
        <v>118</v>
      </c>
    </row>
    <row r="13" spans="1:7" x14ac:dyDescent="0.25">
      <c r="A13" s="5" t="s">
        <v>105</v>
      </c>
      <c r="B13" s="5">
        <v>15</v>
      </c>
      <c r="C13" s="5">
        <v>117</v>
      </c>
    </row>
    <row r="14" spans="1:7" x14ac:dyDescent="0.25">
      <c r="A14" s="5" t="s">
        <v>106</v>
      </c>
      <c r="B14" s="5">
        <v>15</v>
      </c>
      <c r="C14" s="5">
        <v>109</v>
      </c>
    </row>
    <row r="15" spans="1:7" x14ac:dyDescent="0.25">
      <c r="A15" s="5" t="s">
        <v>107</v>
      </c>
      <c r="B15" s="5">
        <v>16</v>
      </c>
      <c r="C15" s="5">
        <v>66</v>
      </c>
    </row>
    <row r="16" spans="1:7" x14ac:dyDescent="0.25">
      <c r="A16" s="5" t="s">
        <v>108</v>
      </c>
      <c r="B16" s="5">
        <v>15</v>
      </c>
      <c r="C16" s="5">
        <v>63</v>
      </c>
    </row>
    <row r="17" spans="1:7" x14ac:dyDescent="0.25">
      <c r="A17" s="5" t="s">
        <v>110</v>
      </c>
      <c r="B17" s="5">
        <v>14</v>
      </c>
      <c r="C17" s="5">
        <v>60</v>
      </c>
    </row>
    <row r="19" spans="1:7" ht="18.75" x14ac:dyDescent="0.3">
      <c r="A19" s="96" t="s">
        <v>255</v>
      </c>
      <c r="B19" s="94"/>
    </row>
    <row r="20" spans="1:7" x14ac:dyDescent="0.25">
      <c r="A20" s="113" t="s">
        <v>252</v>
      </c>
      <c r="B20" s="114" t="s">
        <v>253</v>
      </c>
      <c r="C20" s="115" t="s">
        <v>183</v>
      </c>
    </row>
    <row r="21" spans="1:7" x14ac:dyDescent="0.25">
      <c r="A21" s="93" t="s">
        <v>100</v>
      </c>
      <c r="B21" s="93">
        <v>14</v>
      </c>
      <c r="C21" s="93">
        <v>1349</v>
      </c>
    </row>
    <row r="22" spans="1:7" x14ac:dyDescent="0.25">
      <c r="A22" s="93" t="s">
        <v>51</v>
      </c>
      <c r="B22" s="93">
        <v>12</v>
      </c>
      <c r="C22" s="93">
        <v>1111</v>
      </c>
    </row>
    <row r="23" spans="1:7" x14ac:dyDescent="0.25">
      <c r="A23" s="93" t="s">
        <v>49</v>
      </c>
      <c r="B23" s="93">
        <v>14</v>
      </c>
      <c r="C23" s="93">
        <v>904</v>
      </c>
      <c r="E23" s="116" t="s">
        <v>193</v>
      </c>
      <c r="F23" s="116" t="str">
        <f>INDEX(A21:A35,MATCH(MAX(C21:C35),C21:C35,0))</f>
        <v>AD Russell</v>
      </c>
      <c r="G23" s="116">
        <f>MAX(C21:C35)*2</f>
        <v>2698</v>
      </c>
    </row>
    <row r="24" spans="1:7" x14ac:dyDescent="0.25">
      <c r="A24" s="93" t="s">
        <v>50</v>
      </c>
      <c r="B24" s="93">
        <v>16</v>
      </c>
      <c r="C24" s="93">
        <v>828</v>
      </c>
      <c r="E24" s="116" t="s">
        <v>195</v>
      </c>
      <c r="F24" s="116" t="str">
        <f>INDEX(A21:A35,MATCH(LARGE(C21:C35,2),C21:C35,0))</f>
        <v>DA Warner</v>
      </c>
      <c r="G24" s="116">
        <f>LARGE(C21:C35,2)*1.5</f>
        <v>1666.5</v>
      </c>
    </row>
    <row r="25" spans="1:7" x14ac:dyDescent="0.25">
      <c r="A25" s="93" t="s">
        <v>78</v>
      </c>
      <c r="B25" s="93">
        <v>13</v>
      </c>
      <c r="C25" s="93">
        <v>793</v>
      </c>
      <c r="E25" s="116" t="s">
        <v>216</v>
      </c>
      <c r="F25" s="116">
        <f>SUM(G23:G24,C23:C35)</f>
        <v>9909.5</v>
      </c>
      <c r="G25" s="116"/>
    </row>
    <row r="26" spans="1:7" x14ac:dyDescent="0.25">
      <c r="A26" s="93" t="s">
        <v>55</v>
      </c>
      <c r="B26" s="93">
        <v>16</v>
      </c>
      <c r="C26" s="93">
        <v>792</v>
      </c>
    </row>
    <row r="27" spans="1:7" x14ac:dyDescent="0.25">
      <c r="A27" s="93" t="s">
        <v>72</v>
      </c>
      <c r="B27" s="93">
        <v>16</v>
      </c>
      <c r="C27" s="93">
        <v>731</v>
      </c>
    </row>
    <row r="28" spans="1:7" x14ac:dyDescent="0.25">
      <c r="A28" s="93" t="s">
        <v>71</v>
      </c>
      <c r="B28" s="93">
        <v>10</v>
      </c>
      <c r="C28" s="93">
        <v>689</v>
      </c>
    </row>
    <row r="29" spans="1:7" x14ac:dyDescent="0.25">
      <c r="A29" s="93" t="s">
        <v>58</v>
      </c>
      <c r="B29" s="93">
        <v>14</v>
      </c>
      <c r="C29" s="93">
        <v>686</v>
      </c>
    </row>
    <row r="30" spans="1:7" x14ac:dyDescent="0.25">
      <c r="A30" s="100" t="s">
        <v>102</v>
      </c>
      <c r="B30" s="64">
        <v>17</v>
      </c>
      <c r="C30" s="101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22</v>
      </c>
    </row>
    <row r="31" spans="1:7" x14ac:dyDescent="0.25">
      <c r="A31" s="102" t="s">
        <v>104</v>
      </c>
      <c r="B31" s="65">
        <v>12</v>
      </c>
      <c r="C31" s="103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22</v>
      </c>
    </row>
    <row r="32" spans="1:7" x14ac:dyDescent="0.25">
      <c r="A32" s="100" t="s">
        <v>118</v>
      </c>
      <c r="B32" s="64">
        <v>17</v>
      </c>
      <c r="C32" s="101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20</v>
      </c>
    </row>
    <row r="33" spans="1:3" x14ac:dyDescent="0.25">
      <c r="A33" s="102" t="s">
        <v>108</v>
      </c>
      <c r="B33" s="65">
        <v>14</v>
      </c>
      <c r="C33" s="103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20</v>
      </c>
    </row>
    <row r="34" spans="1:3" x14ac:dyDescent="0.25">
      <c r="A34" s="100" t="s">
        <v>124</v>
      </c>
      <c r="B34" s="64">
        <v>14</v>
      </c>
      <c r="C34" s="101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20</v>
      </c>
    </row>
    <row r="35" spans="1:3" x14ac:dyDescent="0.25">
      <c r="A35" s="102" t="s">
        <v>159</v>
      </c>
      <c r="B35" s="65">
        <v>12</v>
      </c>
      <c r="C35" s="103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18</v>
      </c>
    </row>
    <row r="216" spans="1:1" x14ac:dyDescent="0.25">
      <c r="A216" t="s">
        <v>219</v>
      </c>
    </row>
    <row r="315" spans="1:1" x14ac:dyDescent="0.25">
      <c r="A315" t="s">
        <v>223</v>
      </c>
    </row>
    <row r="316" spans="1:1" x14ac:dyDescent="0.25">
      <c r="A316" t="s">
        <v>225</v>
      </c>
    </row>
    <row r="317" spans="1:1" x14ac:dyDescent="0.25">
      <c r="A317" t="s">
        <v>226</v>
      </c>
    </row>
    <row r="318" spans="1:1" x14ac:dyDescent="0.25">
      <c r="A318" t="s">
        <v>227</v>
      </c>
    </row>
    <row r="319" spans="1:1" x14ac:dyDescent="0.25">
      <c r="A319" t="s">
        <v>228</v>
      </c>
    </row>
    <row r="320" spans="1:1" x14ac:dyDescent="0.25">
      <c r="A320" t="s">
        <v>229</v>
      </c>
    </row>
    <row r="321" spans="1:1" x14ac:dyDescent="0.25">
      <c r="A321" t="s">
        <v>230</v>
      </c>
    </row>
    <row r="322" spans="1:1" x14ac:dyDescent="0.25">
      <c r="A322" t="s">
        <v>231</v>
      </c>
    </row>
    <row r="323" spans="1:1" x14ac:dyDescent="0.25">
      <c r="A323" t="s">
        <v>232</v>
      </c>
    </row>
    <row r="324" spans="1:1" x14ac:dyDescent="0.25">
      <c r="A324" t="s">
        <v>233</v>
      </c>
    </row>
    <row r="325" spans="1:1" x14ac:dyDescent="0.25">
      <c r="A325" t="s">
        <v>234</v>
      </c>
    </row>
    <row r="326" spans="1:1" x14ac:dyDescent="0.25">
      <c r="A326" t="s">
        <v>235</v>
      </c>
    </row>
    <row r="327" spans="1:1" x14ac:dyDescent="0.25">
      <c r="A327" t="s">
        <v>236</v>
      </c>
    </row>
    <row r="328" spans="1:1" x14ac:dyDescent="0.25">
      <c r="A328" t="s">
        <v>237</v>
      </c>
    </row>
    <row r="329" spans="1:1" x14ac:dyDescent="0.25">
      <c r="A329" t="s">
        <v>238</v>
      </c>
    </row>
    <row r="330" spans="1:1" x14ac:dyDescent="0.25">
      <c r="A330" t="s">
        <v>239</v>
      </c>
    </row>
    <row r="331" spans="1:1" x14ac:dyDescent="0.25">
      <c r="A331" t="s">
        <v>240</v>
      </c>
    </row>
    <row r="332" spans="1:1" x14ac:dyDescent="0.25">
      <c r="A332" t="s">
        <v>241</v>
      </c>
    </row>
    <row r="333" spans="1:1" x14ac:dyDescent="0.25">
      <c r="A333" t="s">
        <v>242</v>
      </c>
    </row>
    <row r="334" spans="1:1" x14ac:dyDescent="0.25">
      <c r="A334" t="s">
        <v>243</v>
      </c>
    </row>
    <row r="335" spans="1:1" x14ac:dyDescent="0.25">
      <c r="A335" t="s">
        <v>101</v>
      </c>
    </row>
  </sheetData>
  <sortState ref="A21:C35">
    <sortCondition descending="1" ref="C21"/>
  </sortState>
  <pageMargins left="0.7" right="0.7" top="0.75" bottom="0.75" header="0.3" footer="0.3"/>
  <pageSetup orientation="portrait" r:id="rId1"/>
  <ignoredErrors>
    <ignoredError sqref="F5" formulaRange="1"/>
  </ignoredErrors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7" zoomScale="110" zoomScaleNormal="110" workbookViewId="0">
      <selection activeCell="F25" sqref="F25"/>
    </sheetView>
  </sheetViews>
  <sheetFormatPr defaultRowHeight="15" x14ac:dyDescent="0.25"/>
  <cols>
    <col min="1" max="1" width="24.7109375" customWidth="1"/>
    <col min="5" max="5" width="14.28515625" customWidth="1"/>
    <col min="6" max="6" width="11.7109375" customWidth="1"/>
  </cols>
  <sheetData>
    <row r="1" spans="1:7" ht="18.75" x14ac:dyDescent="0.3">
      <c r="A1" s="96" t="s">
        <v>256</v>
      </c>
      <c r="B1" s="94"/>
      <c r="C1" s="94"/>
      <c r="D1" s="94"/>
    </row>
    <row r="2" spans="1:7" x14ac:dyDescent="0.25">
      <c r="A2" s="117" t="s">
        <v>252</v>
      </c>
      <c r="B2" s="118" t="s">
        <v>253</v>
      </c>
      <c r="C2" s="119" t="s">
        <v>183</v>
      </c>
      <c r="D2" s="94"/>
    </row>
    <row r="3" spans="1:7" x14ac:dyDescent="0.25">
      <c r="A3" s="60" t="s">
        <v>50</v>
      </c>
      <c r="B3" s="60">
        <v>17</v>
      </c>
      <c r="C3" s="122">
        <v>1568</v>
      </c>
    </row>
    <row r="4" spans="1:7" x14ac:dyDescent="0.25">
      <c r="A4" s="58" t="s">
        <v>58</v>
      </c>
      <c r="B4" s="58">
        <v>15</v>
      </c>
      <c r="C4" s="122">
        <v>1069</v>
      </c>
    </row>
    <row r="5" spans="1:7" x14ac:dyDescent="0.25">
      <c r="A5" s="60" t="s">
        <v>49</v>
      </c>
      <c r="B5" s="60">
        <v>14</v>
      </c>
      <c r="C5" s="122">
        <v>992</v>
      </c>
      <c r="E5" s="121" t="s">
        <v>193</v>
      </c>
      <c r="F5" s="121" t="str">
        <f>INDEX(A3:A17,MATCH(MAX(C3:C17),C3:C17,0))</f>
        <v>S Dhawan</v>
      </c>
      <c r="G5" s="121">
        <f>MAX(C3:C17)*2</f>
        <v>3136</v>
      </c>
    </row>
    <row r="6" spans="1:7" x14ac:dyDescent="0.25">
      <c r="A6" s="58" t="s">
        <v>51</v>
      </c>
      <c r="B6" s="58">
        <v>16</v>
      </c>
      <c r="C6" s="122">
        <v>876</v>
      </c>
      <c r="E6" s="121" t="s">
        <v>195</v>
      </c>
      <c r="F6" s="121" t="str">
        <f>INDEX(A3:A17,MATCH(LARGE(C3:C17,2),C3:C17,0))</f>
        <v>V Kohli</v>
      </c>
      <c r="G6" s="121">
        <f>LARGE(C3:C17,2)*1.5</f>
        <v>1603.5</v>
      </c>
    </row>
    <row r="7" spans="1:7" x14ac:dyDescent="0.25">
      <c r="A7" s="60" t="s">
        <v>54</v>
      </c>
      <c r="B7" s="60">
        <v>14</v>
      </c>
      <c r="C7" s="122">
        <v>772</v>
      </c>
      <c r="E7" s="121" t="s">
        <v>216</v>
      </c>
      <c r="F7" s="121">
        <f>SUM(G5:G6,C5:C17)</f>
        <v>8831.5</v>
      </c>
      <c r="G7" s="121"/>
    </row>
    <row r="8" spans="1:7" x14ac:dyDescent="0.25">
      <c r="A8" s="58" t="s">
        <v>55</v>
      </c>
      <c r="B8" s="58">
        <v>16</v>
      </c>
      <c r="C8" s="122">
        <v>757</v>
      </c>
    </row>
    <row r="9" spans="1:7" x14ac:dyDescent="0.25">
      <c r="A9" s="122" t="s">
        <v>104</v>
      </c>
      <c r="B9" s="122">
        <v>17</v>
      </c>
      <c r="C9" s="122">
        <v>118</v>
      </c>
    </row>
    <row r="10" spans="1:7" x14ac:dyDescent="0.25">
      <c r="A10" s="122" t="s">
        <v>105</v>
      </c>
      <c r="B10" s="122">
        <v>15</v>
      </c>
      <c r="C10" s="122">
        <v>117</v>
      </c>
    </row>
    <row r="11" spans="1:7" x14ac:dyDescent="0.25">
      <c r="A11" s="122" t="s">
        <v>106</v>
      </c>
      <c r="B11" s="122">
        <v>15</v>
      </c>
      <c r="C11" s="122">
        <v>109</v>
      </c>
    </row>
    <row r="12" spans="1:7" x14ac:dyDescent="0.25">
      <c r="A12" s="122" t="s">
        <v>107</v>
      </c>
      <c r="B12" s="122">
        <v>16</v>
      </c>
      <c r="C12" s="122">
        <v>66</v>
      </c>
    </row>
    <row r="13" spans="1:7" x14ac:dyDescent="0.25">
      <c r="A13" s="122" t="s">
        <v>108</v>
      </c>
      <c r="B13" s="122">
        <v>15</v>
      </c>
      <c r="C13" s="122">
        <v>63</v>
      </c>
    </row>
    <row r="14" spans="1:7" x14ac:dyDescent="0.25">
      <c r="A14" s="122" t="s">
        <v>110</v>
      </c>
      <c r="B14" s="122">
        <v>14</v>
      </c>
      <c r="C14" s="122">
        <v>60</v>
      </c>
    </row>
    <row r="15" spans="1:7" x14ac:dyDescent="0.25">
      <c r="A15" s="122" t="s">
        <v>109</v>
      </c>
      <c r="B15" s="122">
        <v>14</v>
      </c>
      <c r="C15" s="122">
        <v>60</v>
      </c>
    </row>
    <row r="16" spans="1:7" x14ac:dyDescent="0.25">
      <c r="A16" s="122" t="s">
        <v>111</v>
      </c>
      <c r="B16" s="122">
        <v>13</v>
      </c>
      <c r="C16" s="122">
        <v>51</v>
      </c>
    </row>
    <row r="17" spans="1:14" x14ac:dyDescent="0.25">
      <c r="A17" s="122" t="s">
        <v>119</v>
      </c>
      <c r="B17" s="122">
        <v>9</v>
      </c>
      <c r="C17" s="122">
        <v>51</v>
      </c>
    </row>
    <row r="20" spans="1:14" ht="18.75" x14ac:dyDescent="0.3">
      <c r="A20" s="96" t="s">
        <v>257</v>
      </c>
      <c r="B20" s="94"/>
      <c r="C20" s="94"/>
    </row>
    <row r="21" spans="1:14" x14ac:dyDescent="0.25">
      <c r="A21" s="117" t="s">
        <v>252</v>
      </c>
      <c r="B21" s="118" t="s">
        <v>253</v>
      </c>
      <c r="C21" s="119" t="s">
        <v>183</v>
      </c>
    </row>
    <row r="22" spans="1:14" x14ac:dyDescent="0.25">
      <c r="A22" s="124" t="s">
        <v>100</v>
      </c>
      <c r="B22" s="124">
        <v>14</v>
      </c>
      <c r="C22" s="120">
        <v>1349</v>
      </c>
    </row>
    <row r="23" spans="1:14" x14ac:dyDescent="0.25">
      <c r="A23" s="58" t="s">
        <v>51</v>
      </c>
      <c r="B23" s="58">
        <v>12</v>
      </c>
      <c r="C23" s="120">
        <v>1111</v>
      </c>
      <c r="E23" s="121" t="s">
        <v>193</v>
      </c>
      <c r="F23" s="121" t="str">
        <f>INDEX(A22:A36,MATCH(MAX(C22:C36),C22:C36,0))</f>
        <v>AD Russell</v>
      </c>
      <c r="G23" s="121">
        <f>MAX(C22:C36)*2</f>
        <v>2698</v>
      </c>
    </row>
    <row r="24" spans="1:14" x14ac:dyDescent="0.25">
      <c r="A24" s="124" t="s">
        <v>49</v>
      </c>
      <c r="B24" s="124">
        <v>14</v>
      </c>
      <c r="C24" s="120">
        <v>904</v>
      </c>
      <c r="E24" s="121" t="s">
        <v>195</v>
      </c>
      <c r="F24" s="121" t="str">
        <f>INDEX(A21:A35,MATCH(LARGE(C21:C35,2),C21:C35,0))</f>
        <v>DA Warner</v>
      </c>
      <c r="G24" s="121">
        <f>LARGE(C22:C36,2)*1.5</f>
        <v>1666.5</v>
      </c>
    </row>
    <row r="25" spans="1:14" x14ac:dyDescent="0.25">
      <c r="A25" s="58" t="s">
        <v>50</v>
      </c>
      <c r="B25" s="58">
        <v>16</v>
      </c>
      <c r="C25" s="120">
        <v>828</v>
      </c>
      <c r="E25" s="121" t="s">
        <v>216</v>
      </c>
      <c r="F25" s="121">
        <f>SUM(G23:G24,C24:C36)</f>
        <v>8406</v>
      </c>
      <c r="G25" s="121"/>
    </row>
    <row r="26" spans="1:14" x14ac:dyDescent="0.25">
      <c r="A26" s="124" t="s">
        <v>78</v>
      </c>
      <c r="B26" s="124">
        <v>13</v>
      </c>
      <c r="C26" s="120">
        <v>793</v>
      </c>
    </row>
    <row r="27" spans="1:14" x14ac:dyDescent="0.25">
      <c r="A27" s="58" t="s">
        <v>55</v>
      </c>
      <c r="B27" s="58">
        <v>16</v>
      </c>
      <c r="C27" s="120">
        <v>792</v>
      </c>
    </row>
    <row r="28" spans="1:14" x14ac:dyDescent="0.25">
      <c r="A28" s="123" t="s">
        <v>102</v>
      </c>
      <c r="B28" s="123">
        <v>17</v>
      </c>
      <c r="C28" s="120">
        <v>119</v>
      </c>
    </row>
    <row r="29" spans="1:14" x14ac:dyDescent="0.25">
      <c r="A29" s="58" t="s">
        <v>104</v>
      </c>
      <c r="B29" s="58">
        <v>12</v>
      </c>
      <c r="C29" s="120">
        <v>107.5</v>
      </c>
      <c r="K29" s="53"/>
      <c r="L29" s="53"/>
      <c r="M29" s="53"/>
      <c r="N29" s="53"/>
    </row>
    <row r="30" spans="1:14" x14ac:dyDescent="0.25">
      <c r="A30" s="123" t="s">
        <v>118</v>
      </c>
      <c r="B30" s="123">
        <v>17</v>
      </c>
      <c r="C30" s="120">
        <v>93</v>
      </c>
      <c r="K30" s="53"/>
      <c r="L30" s="53"/>
      <c r="M30" s="53"/>
      <c r="N30" s="53"/>
    </row>
    <row r="31" spans="1:14" x14ac:dyDescent="0.25">
      <c r="A31" s="58" t="s">
        <v>108</v>
      </c>
      <c r="B31" s="58">
        <v>14</v>
      </c>
      <c r="C31" s="120">
        <v>81</v>
      </c>
      <c r="K31" s="53"/>
      <c r="L31" s="53"/>
      <c r="M31" s="53"/>
      <c r="N31" s="53"/>
    </row>
    <row r="32" spans="1:14" x14ac:dyDescent="0.25">
      <c r="A32" s="123" t="s">
        <v>124</v>
      </c>
      <c r="B32" s="123">
        <v>14</v>
      </c>
      <c r="C32" s="120">
        <v>78</v>
      </c>
      <c r="K32" s="53"/>
      <c r="L32" s="53"/>
      <c r="M32" s="53"/>
      <c r="N32" s="53"/>
    </row>
    <row r="33" spans="1:14" x14ac:dyDescent="0.25">
      <c r="A33" s="58" t="s">
        <v>159</v>
      </c>
      <c r="B33" s="58">
        <v>12</v>
      </c>
      <c r="C33" s="120">
        <v>68</v>
      </c>
      <c r="K33" s="53"/>
      <c r="L33" s="53"/>
      <c r="M33" s="53"/>
      <c r="N33" s="53"/>
    </row>
    <row r="34" spans="1:14" x14ac:dyDescent="0.25">
      <c r="A34" s="123" t="s">
        <v>44</v>
      </c>
      <c r="B34" s="123">
        <v>11</v>
      </c>
      <c r="C34" s="120">
        <v>64</v>
      </c>
      <c r="K34" s="53"/>
      <c r="L34" s="53"/>
      <c r="M34" s="53"/>
      <c r="N34" s="53"/>
    </row>
    <row r="35" spans="1:14" x14ac:dyDescent="0.25">
      <c r="A35" s="58" t="s">
        <v>110</v>
      </c>
      <c r="B35" s="58">
        <v>14</v>
      </c>
      <c r="C35" s="120">
        <v>57</v>
      </c>
    </row>
    <row r="36" spans="1:14" x14ac:dyDescent="0.25">
      <c r="A36" s="123" t="s">
        <v>130</v>
      </c>
      <c r="B36" s="123">
        <v>9</v>
      </c>
      <c r="C36" s="120">
        <v>57</v>
      </c>
    </row>
  </sheetData>
  <sortState ref="A3:C17">
    <sortCondition descending="1" ref="C3"/>
  </sortState>
  <pageMargins left="0.7" right="0.7" top="0.75" bottom="0.75" header="0.3" footer="0.3"/>
  <ignoredErrors>
    <ignoredError sqref="F7 F2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7" workbookViewId="0">
      <selection activeCell="E26" sqref="E26"/>
    </sheetView>
  </sheetViews>
  <sheetFormatPr defaultRowHeight="15" x14ac:dyDescent="0.25"/>
  <cols>
    <col min="1" max="1" width="34.28515625" bestFit="1" customWidth="1"/>
    <col min="2" max="2" width="15.28515625" customWidth="1"/>
    <col min="3" max="3" width="10.5703125" customWidth="1"/>
    <col min="4" max="4" width="12.5703125" customWidth="1"/>
    <col min="5" max="5" width="11.28515625" customWidth="1"/>
  </cols>
  <sheetData>
    <row r="1" spans="1:6" ht="18.75" x14ac:dyDescent="0.3">
      <c r="A1" s="96" t="s">
        <v>258</v>
      </c>
      <c r="B1" s="94"/>
      <c r="C1" s="94"/>
    </row>
    <row r="2" spans="1:6" x14ac:dyDescent="0.25">
      <c r="A2" s="117" t="s">
        <v>252</v>
      </c>
      <c r="B2" s="119" t="s">
        <v>183</v>
      </c>
    </row>
    <row r="3" spans="1:6" ht="15.75" x14ac:dyDescent="0.25">
      <c r="A3" s="125" t="s">
        <v>58</v>
      </c>
      <c r="B3" s="125">
        <v>1069</v>
      </c>
    </row>
    <row r="4" spans="1:6" ht="15.75" x14ac:dyDescent="0.25">
      <c r="A4" s="125" t="s">
        <v>49</v>
      </c>
      <c r="B4" s="125">
        <v>992</v>
      </c>
    </row>
    <row r="5" spans="1:6" ht="15.75" x14ac:dyDescent="0.25">
      <c r="A5" s="125" t="s">
        <v>51</v>
      </c>
      <c r="B5" s="125">
        <v>876</v>
      </c>
      <c r="D5" s="126" t="s">
        <v>193</v>
      </c>
      <c r="E5" s="126" t="str">
        <f>INDEX(A3:A16,MATCH(MAX(B3:B16),B3:B16,0))</f>
        <v>V Kohli</v>
      </c>
      <c r="F5" s="126">
        <f>MAX(B3:B16)*2</f>
        <v>2138</v>
      </c>
    </row>
    <row r="6" spans="1:6" ht="15.75" x14ac:dyDescent="0.25">
      <c r="A6" s="125" t="s">
        <v>56</v>
      </c>
      <c r="B6" s="125">
        <v>787</v>
      </c>
      <c r="D6" s="126" t="s">
        <v>195</v>
      </c>
      <c r="E6" s="126" t="str">
        <f>INDEX(A3:A17,MATCH(LARGE(B3:B16,2),B3:B16,0))</f>
        <v>KL Rahul</v>
      </c>
      <c r="F6" s="126">
        <f>LARGE(B3:B16,2)*1.5</f>
        <v>1488</v>
      </c>
    </row>
    <row r="7" spans="1:6" ht="15.75" x14ac:dyDescent="0.25">
      <c r="A7" s="125" t="s">
        <v>54</v>
      </c>
      <c r="B7" s="125">
        <v>772</v>
      </c>
      <c r="D7" s="126" t="s">
        <v>216</v>
      </c>
      <c r="E7" s="126">
        <f>SUM(F5:F6,B5:B16)</f>
        <v>8823</v>
      </c>
      <c r="F7" s="126"/>
    </row>
    <row r="8" spans="1:6" ht="15.75" x14ac:dyDescent="0.25">
      <c r="A8" s="125" t="s">
        <v>55</v>
      </c>
      <c r="B8" s="125">
        <v>757</v>
      </c>
    </row>
    <row r="9" spans="1:6" ht="15.75" x14ac:dyDescent="0.25">
      <c r="A9" s="125" t="s">
        <v>70</v>
      </c>
      <c r="B9" s="125">
        <v>568</v>
      </c>
    </row>
    <row r="10" spans="1:6" ht="15.75" x14ac:dyDescent="0.25">
      <c r="A10" s="125" t="s">
        <v>84</v>
      </c>
      <c r="B10" s="125">
        <v>385</v>
      </c>
    </row>
    <row r="11" spans="1:6" ht="15.75" x14ac:dyDescent="0.25">
      <c r="A11" s="125" t="s">
        <v>85</v>
      </c>
      <c r="B11" s="125">
        <v>359</v>
      </c>
    </row>
    <row r="12" spans="1:6" ht="15.75" x14ac:dyDescent="0.25">
      <c r="A12" s="125" t="s">
        <v>92</v>
      </c>
      <c r="B12" s="125">
        <v>283</v>
      </c>
    </row>
    <row r="13" spans="1:6" ht="15.75" x14ac:dyDescent="0.25">
      <c r="A13" s="125" t="s">
        <v>104</v>
      </c>
      <c r="B13" s="125">
        <v>118</v>
      </c>
    </row>
    <row r="14" spans="1:6" ht="15.75" x14ac:dyDescent="0.25">
      <c r="A14" s="125" t="s">
        <v>105</v>
      </c>
      <c r="B14" s="125">
        <v>117</v>
      </c>
    </row>
    <row r="15" spans="1:6" ht="15.75" x14ac:dyDescent="0.25">
      <c r="A15" s="125" t="s">
        <v>106</v>
      </c>
      <c r="B15" s="125">
        <v>109</v>
      </c>
    </row>
    <row r="16" spans="1:6" ht="15.75" x14ac:dyDescent="0.25">
      <c r="A16" s="125" t="s">
        <v>107</v>
      </c>
      <c r="B16" s="125">
        <v>66</v>
      </c>
    </row>
    <row r="20" spans="1:6" ht="18.75" x14ac:dyDescent="0.3">
      <c r="A20" s="96" t="s">
        <v>259</v>
      </c>
      <c r="B20" s="94"/>
    </row>
    <row r="21" spans="1:6" x14ac:dyDescent="0.25">
      <c r="A21" s="117" t="s">
        <v>252</v>
      </c>
      <c r="B21" s="119" t="s">
        <v>183</v>
      </c>
    </row>
    <row r="22" spans="1:6" x14ac:dyDescent="0.25">
      <c r="A22" s="120" t="s">
        <v>100</v>
      </c>
      <c r="B22" s="120">
        <v>1382</v>
      </c>
    </row>
    <row r="23" spans="1:6" x14ac:dyDescent="0.25">
      <c r="A23" s="120" t="s">
        <v>51</v>
      </c>
      <c r="B23" s="120">
        <v>1111</v>
      </c>
    </row>
    <row r="24" spans="1:6" x14ac:dyDescent="0.25">
      <c r="A24" s="120" t="s">
        <v>49</v>
      </c>
      <c r="B24" s="120">
        <v>904</v>
      </c>
      <c r="D24" s="126" t="s">
        <v>193</v>
      </c>
      <c r="E24" s="126" t="str">
        <f>INDEX(A22:A36,MATCH(MAX(B22:B36),B22:B36,0))</f>
        <v>AD Russell</v>
      </c>
      <c r="F24" s="126">
        <f>MAX(B22:B36)*2</f>
        <v>2764</v>
      </c>
    </row>
    <row r="25" spans="1:6" x14ac:dyDescent="0.25">
      <c r="A25" s="120" t="s">
        <v>50</v>
      </c>
      <c r="B25" s="120">
        <v>828</v>
      </c>
      <c r="D25" s="126" t="s">
        <v>195</v>
      </c>
      <c r="E25" s="126" t="str">
        <f>INDEX(A22:A36,MATCH(LARGE(B22:B36,2),B22:B36,0))</f>
        <v>DA Warner</v>
      </c>
      <c r="F25" s="126">
        <f>LARGE(B22:B36,2)*1.5</f>
        <v>1666.5</v>
      </c>
    </row>
    <row r="26" spans="1:6" x14ac:dyDescent="0.25">
      <c r="A26" s="120" t="s">
        <v>78</v>
      </c>
      <c r="B26" s="120">
        <v>793</v>
      </c>
      <c r="D26" s="126" t="s">
        <v>216</v>
      </c>
      <c r="E26" s="126">
        <f>SUM(F24:F25,B24:B36)</f>
        <v>10626</v>
      </c>
      <c r="F26" s="126"/>
    </row>
    <row r="27" spans="1:6" x14ac:dyDescent="0.25">
      <c r="A27" s="120" t="s">
        <v>55</v>
      </c>
      <c r="B27" s="120">
        <v>792</v>
      </c>
    </row>
    <row r="28" spans="1:6" x14ac:dyDescent="0.25">
      <c r="A28" s="120" t="s">
        <v>72</v>
      </c>
      <c r="B28" s="120">
        <v>731</v>
      </c>
    </row>
    <row r="29" spans="1:6" x14ac:dyDescent="0.25">
      <c r="A29" s="120" t="s">
        <v>80</v>
      </c>
      <c r="B29" s="120">
        <v>648</v>
      </c>
    </row>
    <row r="30" spans="1:6" x14ac:dyDescent="0.25">
      <c r="A30" s="58" t="s">
        <v>71</v>
      </c>
      <c r="B30" s="58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449</v>
      </c>
    </row>
    <row r="31" spans="1:6" x14ac:dyDescent="0.25">
      <c r="A31" s="120" t="s">
        <v>152</v>
      </c>
      <c r="B31" s="120">
        <v>367</v>
      </c>
    </row>
    <row r="32" spans="1:6" x14ac:dyDescent="0.25">
      <c r="A32" s="120" t="s">
        <v>137</v>
      </c>
      <c r="B32" s="120">
        <v>283</v>
      </c>
    </row>
    <row r="33" spans="1:2" x14ac:dyDescent="0.25">
      <c r="A33" s="120" t="s">
        <v>102</v>
      </c>
      <c r="B33" s="120">
        <v>119</v>
      </c>
    </row>
    <row r="34" spans="1:2" x14ac:dyDescent="0.25">
      <c r="A34" s="120" t="s">
        <v>104</v>
      </c>
      <c r="B34" s="120">
        <v>107.5</v>
      </c>
    </row>
    <row r="35" spans="1:2" x14ac:dyDescent="0.25">
      <c r="A35" s="120" t="s">
        <v>118</v>
      </c>
      <c r="B35" s="120">
        <v>93</v>
      </c>
    </row>
    <row r="36" spans="1:2" x14ac:dyDescent="0.25">
      <c r="A36" s="120" t="s">
        <v>108</v>
      </c>
      <c r="B36" s="120">
        <v>81</v>
      </c>
    </row>
  </sheetData>
  <sortState ref="A21:B36">
    <sortCondition descending="1" ref="B22"/>
  </sortState>
  <pageMargins left="0.7" right="0.7" top="0.75" bottom="0.75" header="0.3" footer="0.3"/>
  <ignoredErrors>
    <ignoredError sqref="E7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10" zoomScaleNormal="110" workbookViewId="0">
      <selection activeCell="A17" sqref="A17:B17"/>
    </sheetView>
  </sheetViews>
  <sheetFormatPr defaultRowHeight="15" x14ac:dyDescent="0.25"/>
  <cols>
    <col min="1" max="1" width="23.140625" customWidth="1"/>
    <col min="2" max="2" width="14.5703125" customWidth="1"/>
    <col min="4" max="4" width="13.5703125" bestFit="1" customWidth="1"/>
    <col min="5" max="5" width="12.85546875" customWidth="1"/>
  </cols>
  <sheetData>
    <row r="1" spans="1:6" ht="18.75" x14ac:dyDescent="0.3">
      <c r="A1" s="96" t="s">
        <v>260</v>
      </c>
      <c r="B1" s="94"/>
    </row>
    <row r="2" spans="1:6" x14ac:dyDescent="0.25">
      <c r="A2" s="117" t="s">
        <v>252</v>
      </c>
      <c r="B2" s="119" t="s">
        <v>183</v>
      </c>
    </row>
    <row r="3" spans="1:6" x14ac:dyDescent="0.25">
      <c r="A3" s="120" t="s">
        <v>50</v>
      </c>
      <c r="B3" s="120">
        <v>1568</v>
      </c>
    </row>
    <row r="4" spans="1:6" ht="15.75" x14ac:dyDescent="0.25">
      <c r="A4" s="120" t="s">
        <v>58</v>
      </c>
      <c r="B4" s="120">
        <v>1069</v>
      </c>
      <c r="D4" s="127" t="s">
        <v>193</v>
      </c>
      <c r="E4" s="127" t="str">
        <f>INDEX(A3:A16,MATCH(MAX(B3:B16),B3:B16,0))</f>
        <v>S Dhawan</v>
      </c>
      <c r="F4" s="127">
        <f>MAX(B3:B16)*2</f>
        <v>3136</v>
      </c>
    </row>
    <row r="5" spans="1:6" ht="15.75" x14ac:dyDescent="0.25">
      <c r="A5" s="120" t="s">
        <v>49</v>
      </c>
      <c r="B5" s="120">
        <v>992</v>
      </c>
      <c r="D5" s="127" t="s">
        <v>195</v>
      </c>
      <c r="E5" s="127" t="str">
        <f>INDEX(A3:A19,MATCH(LARGE(B3:B16,2),B3:B18,0))</f>
        <v>V Kohli</v>
      </c>
      <c r="F5" s="127">
        <f>LARGE(B3:B16,2)*1.5</f>
        <v>1603.5</v>
      </c>
    </row>
    <row r="6" spans="1:6" ht="15.75" x14ac:dyDescent="0.25">
      <c r="A6" s="120" t="s">
        <v>51</v>
      </c>
      <c r="B6" s="120">
        <v>876</v>
      </c>
      <c r="D6" s="127" t="s">
        <v>216</v>
      </c>
      <c r="E6" s="127">
        <f>SUM(F4:F5,B5:B17)</f>
        <v>9235.5</v>
      </c>
      <c r="F6" s="127"/>
    </row>
    <row r="7" spans="1:6" x14ac:dyDescent="0.25">
      <c r="A7" s="120" t="s">
        <v>70</v>
      </c>
      <c r="B7" s="120">
        <v>568</v>
      </c>
    </row>
    <row r="8" spans="1:6" x14ac:dyDescent="0.25">
      <c r="A8" s="120" t="s">
        <v>84</v>
      </c>
      <c r="B8" s="120">
        <v>385</v>
      </c>
    </row>
    <row r="9" spans="1:6" x14ac:dyDescent="0.25">
      <c r="A9" s="120" t="s">
        <v>85</v>
      </c>
      <c r="B9" s="120">
        <v>359</v>
      </c>
    </row>
    <row r="10" spans="1:6" x14ac:dyDescent="0.25">
      <c r="A10" s="120" t="s">
        <v>92</v>
      </c>
      <c r="B10" s="120">
        <v>283</v>
      </c>
    </row>
    <row r="11" spans="1:6" x14ac:dyDescent="0.25">
      <c r="A11" s="120" t="s">
        <v>105</v>
      </c>
      <c r="B11" s="120">
        <v>117</v>
      </c>
    </row>
    <row r="12" spans="1:6" x14ac:dyDescent="0.25">
      <c r="A12" s="120" t="s">
        <v>106</v>
      </c>
      <c r="B12" s="120">
        <v>109</v>
      </c>
    </row>
    <row r="13" spans="1:6" x14ac:dyDescent="0.25">
      <c r="A13" s="120" t="s">
        <v>107</v>
      </c>
      <c r="B13" s="120">
        <v>66</v>
      </c>
    </row>
    <row r="14" spans="1:6" x14ac:dyDescent="0.25">
      <c r="A14" s="120" t="s">
        <v>108</v>
      </c>
      <c r="B14" s="120">
        <v>63</v>
      </c>
    </row>
    <row r="15" spans="1:6" x14ac:dyDescent="0.25">
      <c r="A15" s="120" t="s">
        <v>110</v>
      </c>
      <c r="B15" s="120">
        <v>60</v>
      </c>
    </row>
    <row r="16" spans="1:6" x14ac:dyDescent="0.25">
      <c r="A16" s="120" t="s">
        <v>109</v>
      </c>
      <c r="B16" s="120">
        <v>60</v>
      </c>
    </row>
    <row r="17" spans="1:6" x14ac:dyDescent="0.25">
      <c r="A17" s="60" t="s">
        <v>54</v>
      </c>
      <c r="B17" s="60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558</v>
      </c>
    </row>
    <row r="18" spans="1:6" x14ac:dyDescent="0.25">
      <c r="A18" s="128"/>
      <c r="B18" s="94"/>
    </row>
    <row r="19" spans="1:6" ht="18.75" x14ac:dyDescent="0.3">
      <c r="A19" s="96" t="s">
        <v>261</v>
      </c>
      <c r="B19" s="119" t="s">
        <v>183</v>
      </c>
    </row>
    <row r="20" spans="1:6" ht="15.75" x14ac:dyDescent="0.25">
      <c r="A20" s="117" t="s">
        <v>252</v>
      </c>
      <c r="B20" s="128">
        <v>1382</v>
      </c>
      <c r="D20" s="127" t="s">
        <v>193</v>
      </c>
      <c r="E20" s="127" t="str">
        <f>INDEX(A21:A35,MATCH(MAX(B20:B34),B20:B34,0))</f>
        <v>AD Russell</v>
      </c>
      <c r="F20" s="127">
        <f>MAX(B20:B34)*2</f>
        <v>2764</v>
      </c>
    </row>
    <row r="21" spans="1:6" ht="15.75" x14ac:dyDescent="0.25">
      <c r="A21" s="128" t="s">
        <v>100</v>
      </c>
      <c r="B21" s="128">
        <v>1111</v>
      </c>
      <c r="D21" s="127" t="s">
        <v>195</v>
      </c>
      <c r="E21" s="127" t="str">
        <f>INDEX(A21:A35,MATCH(LARGE(B20:B34,2),B20:B34,0))</f>
        <v>DA Warner</v>
      </c>
      <c r="F21" s="127">
        <f>LARGE(B20:B34,2)*1.5</f>
        <v>1666.5</v>
      </c>
    </row>
    <row r="22" spans="1:6" ht="15.75" x14ac:dyDescent="0.25">
      <c r="A22" s="128" t="s">
        <v>51</v>
      </c>
      <c r="B22" s="128">
        <v>904</v>
      </c>
      <c r="D22" s="127" t="s">
        <v>216</v>
      </c>
      <c r="E22" s="127">
        <f>SUM(F20:F21,B22:B32)</f>
        <v>8732</v>
      </c>
      <c r="F22" s="127"/>
    </row>
    <row r="23" spans="1:6" x14ac:dyDescent="0.25">
      <c r="A23" s="128" t="s">
        <v>49</v>
      </c>
      <c r="B23" s="128">
        <v>828</v>
      </c>
    </row>
    <row r="24" spans="1:6" x14ac:dyDescent="0.25">
      <c r="A24" s="128" t="s">
        <v>50</v>
      </c>
      <c r="B24" s="128">
        <v>793</v>
      </c>
    </row>
    <row r="25" spans="1:6" x14ac:dyDescent="0.25">
      <c r="A25" s="128" t="s">
        <v>78</v>
      </c>
      <c r="B25" s="128">
        <v>648</v>
      </c>
    </row>
    <row r="26" spans="1:6" x14ac:dyDescent="0.25">
      <c r="A26" s="128" t="s">
        <v>80</v>
      </c>
      <c r="B26" s="128">
        <v>367</v>
      </c>
    </row>
    <row r="27" spans="1:6" x14ac:dyDescent="0.25">
      <c r="A27" s="128" t="s">
        <v>152</v>
      </c>
      <c r="B27" s="93">
        <v>283</v>
      </c>
    </row>
    <row r="28" spans="1:6" x14ac:dyDescent="0.25">
      <c r="A28" s="93" t="s">
        <v>137</v>
      </c>
      <c r="B28" s="93">
        <v>119</v>
      </c>
    </row>
    <row r="29" spans="1:6" x14ac:dyDescent="0.25">
      <c r="A29" s="93" t="s">
        <v>102</v>
      </c>
      <c r="B29" s="93">
        <v>107.5</v>
      </c>
    </row>
    <row r="30" spans="1:6" x14ac:dyDescent="0.25">
      <c r="A30" s="93" t="s">
        <v>104</v>
      </c>
      <c r="B30" s="93">
        <v>93</v>
      </c>
    </row>
    <row r="31" spans="1:6" x14ac:dyDescent="0.25">
      <c r="A31" s="93" t="s">
        <v>118</v>
      </c>
      <c r="B31" s="93">
        <v>81</v>
      </c>
    </row>
    <row r="32" spans="1:6" x14ac:dyDescent="0.25">
      <c r="A32" s="93" t="s">
        <v>108</v>
      </c>
      <c r="B32" s="93">
        <v>78</v>
      </c>
    </row>
    <row r="33" spans="1:2" x14ac:dyDescent="0.25">
      <c r="A33" s="93" t="s">
        <v>124</v>
      </c>
      <c r="B33" s="93">
        <v>68</v>
      </c>
    </row>
    <row r="34" spans="1:2" x14ac:dyDescent="0.25">
      <c r="A34" s="93" t="s">
        <v>159</v>
      </c>
      <c r="B34" s="93">
        <v>64</v>
      </c>
    </row>
    <row r="35" spans="1:2" x14ac:dyDescent="0.25">
      <c r="A35" s="93" t="s">
        <v>44</v>
      </c>
    </row>
  </sheetData>
  <sortState ref="A19:B34">
    <sortCondition descending="1" ref="B20"/>
  </sortState>
  <pageMargins left="0.7" right="0.7" top="0.75" bottom="0.75" header="0.3" footer="0.3"/>
  <ignoredErrors>
    <ignoredError sqref="E22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6" sqref="E6:G8"/>
    </sheetView>
  </sheetViews>
  <sheetFormatPr defaultRowHeight="15" x14ac:dyDescent="0.25"/>
  <cols>
    <col min="1" max="1" width="17.42578125" customWidth="1"/>
    <col min="4" max="4" width="13.7109375" bestFit="1" customWidth="1"/>
    <col min="5" max="5" width="15.5703125" customWidth="1"/>
    <col min="6" max="6" width="11.140625" bestFit="1" customWidth="1"/>
  </cols>
  <sheetData>
    <row r="1" spans="1:7" ht="21" x14ac:dyDescent="0.35">
      <c r="A1" s="97" t="s">
        <v>264</v>
      </c>
      <c r="B1" s="130"/>
      <c r="C1" s="130"/>
      <c r="D1" s="130"/>
      <c r="E1" s="52"/>
    </row>
    <row r="2" spans="1:7" ht="15.75" x14ac:dyDescent="0.25">
      <c r="A2" s="131" t="s">
        <v>252</v>
      </c>
      <c r="B2" s="132" t="s">
        <v>183</v>
      </c>
    </row>
    <row r="3" spans="1:7" x14ac:dyDescent="0.25">
      <c r="A3" s="120" t="s">
        <v>50</v>
      </c>
      <c r="B3" s="120">
        <v>1568</v>
      </c>
    </row>
    <row r="4" spans="1:7" x14ac:dyDescent="0.25">
      <c r="A4" s="120" t="s">
        <v>58</v>
      </c>
      <c r="B4" s="120">
        <v>1069</v>
      </c>
    </row>
    <row r="5" spans="1:7" x14ac:dyDescent="0.25">
      <c r="A5" s="120" t="s">
        <v>49</v>
      </c>
      <c r="B5" s="120">
        <v>992</v>
      </c>
    </row>
    <row r="6" spans="1:7" ht="15.75" x14ac:dyDescent="0.25">
      <c r="A6" s="120" t="s">
        <v>51</v>
      </c>
      <c r="B6" s="120">
        <v>876</v>
      </c>
      <c r="E6" s="127" t="s">
        <v>193</v>
      </c>
      <c r="F6" s="127" t="str">
        <f>INDEX(A3:A16,MATCH(MAX(B3:B16),B3:B16,0))</f>
        <v>S Dhawan</v>
      </c>
      <c r="G6" s="127">
        <f>MAX(B3:B16)*2</f>
        <v>3136</v>
      </c>
    </row>
    <row r="7" spans="1:7" ht="15.75" x14ac:dyDescent="0.25">
      <c r="A7" s="120" t="s">
        <v>54</v>
      </c>
      <c r="B7" s="120">
        <v>772</v>
      </c>
      <c r="E7" s="127" t="s">
        <v>195</v>
      </c>
      <c r="F7" s="127" t="str">
        <f>INDEX(A3:A16,MATCH(LARGE(B3:B16,2),B3:B16,0))</f>
        <v>V Kohli</v>
      </c>
      <c r="G7" s="127">
        <f>LARGE(B3:B16,2)*1.5</f>
        <v>1603.5</v>
      </c>
    </row>
    <row r="8" spans="1:7" ht="15.75" x14ac:dyDescent="0.25">
      <c r="A8" s="120" t="s">
        <v>70</v>
      </c>
      <c r="B8" s="120">
        <v>568</v>
      </c>
      <c r="E8" s="127" t="s">
        <v>216</v>
      </c>
      <c r="F8" s="134">
        <f>SUM(G6:G7,B5:B17)</f>
        <v>9816</v>
      </c>
      <c r="G8" s="127"/>
    </row>
    <row r="9" spans="1:7" x14ac:dyDescent="0.25">
      <c r="A9" s="120" t="s">
        <v>84</v>
      </c>
      <c r="B9" s="120">
        <v>385</v>
      </c>
    </row>
    <row r="10" spans="1:7" x14ac:dyDescent="0.25">
      <c r="A10" s="120" t="s">
        <v>85</v>
      </c>
      <c r="B10" s="120">
        <v>359</v>
      </c>
    </row>
    <row r="11" spans="1:7" x14ac:dyDescent="0.25">
      <c r="A11" s="120" t="s">
        <v>92</v>
      </c>
      <c r="B11" s="120">
        <v>283</v>
      </c>
    </row>
    <row r="12" spans="1:7" x14ac:dyDescent="0.25">
      <c r="A12" s="120" t="s">
        <v>95</v>
      </c>
      <c r="B12" s="120">
        <v>241</v>
      </c>
    </row>
    <row r="13" spans="1:7" x14ac:dyDescent="0.25">
      <c r="A13" s="120" t="s">
        <v>98</v>
      </c>
      <c r="B13" s="120">
        <v>190.5</v>
      </c>
    </row>
    <row r="14" spans="1:7" x14ac:dyDescent="0.25">
      <c r="A14" s="120" t="s">
        <v>104</v>
      </c>
      <c r="B14" s="120">
        <v>118</v>
      </c>
    </row>
    <row r="15" spans="1:7" x14ac:dyDescent="0.25">
      <c r="A15" s="120" t="s">
        <v>105</v>
      </c>
      <c r="B15" s="120">
        <v>117</v>
      </c>
    </row>
    <row r="16" spans="1:7" x14ac:dyDescent="0.25">
      <c r="A16" s="120" t="s">
        <v>106</v>
      </c>
      <c r="B16" s="120">
        <v>109</v>
      </c>
    </row>
    <row r="17" spans="1:6" x14ac:dyDescent="0.25">
      <c r="A17" s="120" t="s">
        <v>107</v>
      </c>
      <c r="B17" s="120">
        <v>66</v>
      </c>
    </row>
    <row r="19" spans="1:6" ht="21" x14ac:dyDescent="0.35">
      <c r="A19" s="97" t="s">
        <v>265</v>
      </c>
      <c r="B19" s="130"/>
      <c r="C19" s="130"/>
      <c r="D19" s="130"/>
      <c r="E19" s="52"/>
    </row>
    <row r="20" spans="1:6" ht="15.75" x14ac:dyDescent="0.25">
      <c r="A20" s="131" t="s">
        <v>252</v>
      </c>
      <c r="B20" s="132" t="s">
        <v>183</v>
      </c>
    </row>
    <row r="21" spans="1:6" x14ac:dyDescent="0.25">
      <c r="A21" s="122" t="s">
        <v>100</v>
      </c>
      <c r="B21" s="122">
        <v>1382</v>
      </c>
    </row>
    <row r="22" spans="1:6" x14ac:dyDescent="0.25">
      <c r="A22" s="122" t="s">
        <v>80</v>
      </c>
      <c r="B22" s="122">
        <v>648</v>
      </c>
    </row>
    <row r="23" spans="1:6" ht="15.75" x14ac:dyDescent="0.25">
      <c r="A23" s="122" t="s">
        <v>152</v>
      </c>
      <c r="B23" s="122">
        <v>367</v>
      </c>
      <c r="D23" s="127" t="s">
        <v>193</v>
      </c>
      <c r="E23" s="127" t="str">
        <f>INDEX(A21:A35,MATCH(MAX(B21:B35),B21:B35,0))</f>
        <v>AD Russell</v>
      </c>
      <c r="F23" s="127">
        <f>MAX(B21:B35)*2</f>
        <v>2764</v>
      </c>
    </row>
    <row r="24" spans="1:6" ht="15.75" x14ac:dyDescent="0.25">
      <c r="A24" s="122" t="s">
        <v>137</v>
      </c>
      <c r="B24" s="122">
        <v>283</v>
      </c>
      <c r="D24" s="127" t="s">
        <v>195</v>
      </c>
      <c r="E24" s="127" t="str">
        <f>INDEX(A21:A35,MATCH(LARGE(B21:B35,2),B21:B35,0))</f>
        <v>DA Warner</v>
      </c>
      <c r="F24" s="127">
        <f>LARGE(B21:B35,2)*1.5</f>
        <v>2023.5</v>
      </c>
    </row>
    <row r="25" spans="1:6" ht="15.75" x14ac:dyDescent="0.25">
      <c r="A25" s="122" t="s">
        <v>98</v>
      </c>
      <c r="B25" s="122">
        <v>258</v>
      </c>
      <c r="D25" s="127" t="s">
        <v>216</v>
      </c>
      <c r="E25" s="133">
        <f>SUM(F23:F24,B23:B35)</f>
        <v>11242</v>
      </c>
      <c r="F25" s="127"/>
    </row>
    <row r="26" spans="1:6" x14ac:dyDescent="0.25">
      <c r="A26" s="122" t="s">
        <v>42</v>
      </c>
      <c r="B26" s="122">
        <v>197</v>
      </c>
    </row>
    <row r="27" spans="1:6" x14ac:dyDescent="0.25">
      <c r="A27" s="122" t="s">
        <v>102</v>
      </c>
      <c r="B27" s="122">
        <v>119</v>
      </c>
    </row>
    <row r="28" spans="1:6" x14ac:dyDescent="0.25">
      <c r="A28" s="122" t="s">
        <v>104</v>
      </c>
      <c r="B28" s="122">
        <v>107.5</v>
      </c>
    </row>
    <row r="29" spans="1:6" x14ac:dyDescent="0.25">
      <c r="A29" s="122" t="s">
        <v>118</v>
      </c>
      <c r="B29" s="122">
        <v>93</v>
      </c>
    </row>
    <row r="30" spans="1:6" x14ac:dyDescent="0.25">
      <c r="A30" s="122" t="s">
        <v>108</v>
      </c>
      <c r="B30" s="122">
        <v>81</v>
      </c>
    </row>
    <row r="31" spans="1:6" x14ac:dyDescent="0.25">
      <c r="A31" s="122" t="s">
        <v>51</v>
      </c>
      <c r="B31" s="122">
        <v>1349</v>
      </c>
    </row>
    <row r="32" spans="1:6" x14ac:dyDescent="0.25">
      <c r="A32" s="122" t="s">
        <v>49</v>
      </c>
      <c r="B32" s="122">
        <v>1111</v>
      </c>
    </row>
    <row r="33" spans="1:2" x14ac:dyDescent="0.25">
      <c r="A33" s="122" t="s">
        <v>50</v>
      </c>
      <c r="B33" s="122">
        <v>904</v>
      </c>
    </row>
    <row r="34" spans="1:2" x14ac:dyDescent="0.25">
      <c r="A34" s="122" t="s">
        <v>78</v>
      </c>
      <c r="B34" s="122">
        <v>793</v>
      </c>
    </row>
    <row r="35" spans="1:2" x14ac:dyDescent="0.25">
      <c r="A35" s="122" t="s">
        <v>55</v>
      </c>
      <c r="B35" s="122">
        <v>792</v>
      </c>
    </row>
  </sheetData>
  <pageMargins left="0.7" right="0.7" top="0.75" bottom="0.75" header="0.3" footer="0.3"/>
  <pageSetup orientation="portrait" r:id="rId1"/>
  <ignoredErrors>
    <ignoredError sqref="F6:F8 G6:G7 E2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6" workbookViewId="0">
      <selection activeCell="A33" sqref="A33"/>
    </sheetView>
  </sheetViews>
  <sheetFormatPr defaultRowHeight="15" x14ac:dyDescent="0.25"/>
  <cols>
    <col min="1" max="1" width="14.5703125" customWidth="1"/>
    <col min="4" max="4" width="13.7109375" bestFit="1" customWidth="1"/>
    <col min="5" max="5" width="16.42578125" customWidth="1"/>
  </cols>
  <sheetData>
    <row r="1" spans="1:6" ht="21" x14ac:dyDescent="0.35">
      <c r="A1" s="97" t="s">
        <v>264</v>
      </c>
      <c r="B1" s="130"/>
      <c r="C1" s="130"/>
      <c r="D1" s="130"/>
      <c r="E1" s="94"/>
    </row>
    <row r="2" spans="1:6" ht="15.75" x14ac:dyDescent="0.25">
      <c r="A2" s="131" t="s">
        <v>252</v>
      </c>
      <c r="B2" s="132" t="s">
        <v>183</v>
      </c>
    </row>
    <row r="3" spans="1:6" x14ac:dyDescent="0.25">
      <c r="A3" s="120" t="s">
        <v>50</v>
      </c>
      <c r="B3" s="120">
        <v>1568</v>
      </c>
    </row>
    <row r="4" spans="1:6" x14ac:dyDescent="0.25">
      <c r="A4" s="120" t="s">
        <v>58</v>
      </c>
      <c r="B4" s="120">
        <v>1069</v>
      </c>
    </row>
    <row r="5" spans="1:6" ht="15.75" x14ac:dyDescent="0.25">
      <c r="A5" s="120" t="s">
        <v>49</v>
      </c>
      <c r="B5" s="120">
        <v>992</v>
      </c>
      <c r="D5" s="127" t="s">
        <v>193</v>
      </c>
      <c r="E5" s="127" t="str">
        <f>INDEX(A3:A16,MATCH(MAX(B3:B16),B3:B16,0))</f>
        <v>S Dhawan</v>
      </c>
      <c r="F5" s="127">
        <f>MAX(B3:B16)*2</f>
        <v>3136</v>
      </c>
    </row>
    <row r="6" spans="1:6" ht="15.75" x14ac:dyDescent="0.25">
      <c r="A6" s="120" t="s">
        <v>51</v>
      </c>
      <c r="B6" s="120">
        <v>876</v>
      </c>
      <c r="D6" s="127" t="s">
        <v>195</v>
      </c>
      <c r="E6" s="127" t="str">
        <f>INDEX(A3:A16,MATCH(LARGE(B3:B16,2),B3:B16,0))</f>
        <v>V Kohli</v>
      </c>
      <c r="F6" s="127">
        <f>LARGE(B3:B16,2)*1.5</f>
        <v>1603.5</v>
      </c>
    </row>
    <row r="7" spans="1:6" ht="15.75" x14ac:dyDescent="0.25">
      <c r="A7" s="120" t="s">
        <v>54</v>
      </c>
      <c r="B7" s="120">
        <v>772</v>
      </c>
      <c r="D7" s="127" t="s">
        <v>216</v>
      </c>
      <c r="E7" s="134">
        <f>SUM(F5:F6,B5:B17)</f>
        <v>9935</v>
      </c>
      <c r="F7" s="127"/>
    </row>
    <row r="8" spans="1:6" x14ac:dyDescent="0.25">
      <c r="A8" s="120" t="s">
        <v>70</v>
      </c>
      <c r="B8" s="120">
        <v>568</v>
      </c>
    </row>
    <row r="9" spans="1:6" x14ac:dyDescent="0.25">
      <c r="A9" s="120" t="s">
        <v>84</v>
      </c>
      <c r="B9" s="120">
        <v>385</v>
      </c>
    </row>
    <row r="10" spans="1:6" x14ac:dyDescent="0.25">
      <c r="A10" s="120" t="s">
        <v>85</v>
      </c>
      <c r="B10" s="120">
        <v>359</v>
      </c>
    </row>
    <row r="11" spans="1:6" x14ac:dyDescent="0.25">
      <c r="A11" s="120" t="s">
        <v>92</v>
      </c>
      <c r="B11" s="120">
        <v>283</v>
      </c>
    </row>
    <row r="12" spans="1:6" x14ac:dyDescent="0.25">
      <c r="A12" s="120" t="s">
        <v>95</v>
      </c>
      <c r="B12" s="120">
        <v>241</v>
      </c>
    </row>
    <row r="13" spans="1:6" x14ac:dyDescent="0.25">
      <c r="A13" s="120" t="s">
        <v>98</v>
      </c>
      <c r="B13" s="120">
        <v>190.5</v>
      </c>
    </row>
    <row r="14" spans="1:6" x14ac:dyDescent="0.25">
      <c r="A14" s="120" t="s">
        <v>99</v>
      </c>
      <c r="B14" s="120">
        <v>185</v>
      </c>
    </row>
    <row r="15" spans="1:6" x14ac:dyDescent="0.25">
      <c r="A15" s="120" t="s">
        <v>104</v>
      </c>
      <c r="B15" s="120">
        <v>118</v>
      </c>
    </row>
    <row r="16" spans="1:6" x14ac:dyDescent="0.25">
      <c r="A16" s="120" t="s">
        <v>105</v>
      </c>
      <c r="B16" s="120">
        <v>117</v>
      </c>
    </row>
    <row r="17" spans="1:6" x14ac:dyDescent="0.25">
      <c r="A17" s="59" t="s">
        <v>106</v>
      </c>
      <c r="B17" s="122">
        <v>109</v>
      </c>
    </row>
    <row r="21" spans="1:6" ht="21" x14ac:dyDescent="0.35">
      <c r="A21" s="97" t="s">
        <v>265</v>
      </c>
      <c r="B21" s="130"/>
      <c r="C21" s="130"/>
      <c r="D21" s="130"/>
      <c r="E21" s="94"/>
    </row>
    <row r="22" spans="1:6" ht="15.75" x14ac:dyDescent="0.25">
      <c r="A22" s="131" t="s">
        <v>252</v>
      </c>
      <c r="B22" s="132" t="s">
        <v>183</v>
      </c>
    </row>
    <row r="23" spans="1:6" x14ac:dyDescent="0.25">
      <c r="A23" s="120" t="s">
        <v>100</v>
      </c>
      <c r="B23" s="120">
        <v>1382</v>
      </c>
    </row>
    <row r="24" spans="1:6" x14ac:dyDescent="0.25">
      <c r="A24" s="120" t="s">
        <v>51</v>
      </c>
      <c r="B24" s="120">
        <v>1111</v>
      </c>
    </row>
    <row r="25" spans="1:6" x14ac:dyDescent="0.25">
      <c r="A25" s="120" t="s">
        <v>49</v>
      </c>
      <c r="B25" s="120">
        <v>904</v>
      </c>
    </row>
    <row r="26" spans="1:6" x14ac:dyDescent="0.25">
      <c r="A26" s="120" t="s">
        <v>50</v>
      </c>
      <c r="B26" s="120">
        <v>828</v>
      </c>
    </row>
    <row r="27" spans="1:6" ht="15.75" x14ac:dyDescent="0.25">
      <c r="A27" s="120" t="s">
        <v>78</v>
      </c>
      <c r="B27" s="120">
        <v>793</v>
      </c>
      <c r="D27" s="127" t="s">
        <v>193</v>
      </c>
      <c r="E27" s="127" t="str">
        <f>INDEX(A23:A37,MATCH(MAX(B23:B37),B23:B37,0))</f>
        <v>AD Russell</v>
      </c>
      <c r="F27" s="127">
        <f>MAX(B23:B37)*2</f>
        <v>2764</v>
      </c>
    </row>
    <row r="28" spans="1:6" ht="15.75" x14ac:dyDescent="0.25">
      <c r="A28" s="120" t="s">
        <v>55</v>
      </c>
      <c r="B28" s="120">
        <v>792</v>
      </c>
      <c r="D28" s="127" t="s">
        <v>195</v>
      </c>
      <c r="E28" s="127" t="str">
        <f>INDEX(A23:A37,MATCH(LARGE(B23:B37,2),B23:B37,0))</f>
        <v>DA Warner</v>
      </c>
      <c r="F28" s="127">
        <f>LARGE(B23:B37,2)*1.5</f>
        <v>1666.5</v>
      </c>
    </row>
    <row r="29" spans="1:6" ht="15.75" x14ac:dyDescent="0.25">
      <c r="A29" s="120" t="s">
        <v>80</v>
      </c>
      <c r="B29" s="120">
        <v>648</v>
      </c>
      <c r="D29" s="127" t="s">
        <v>216</v>
      </c>
      <c r="E29" s="134">
        <f>SUM(B25:B37,F27:F28)</f>
        <v>9997</v>
      </c>
      <c r="F29" s="127"/>
    </row>
    <row r="30" spans="1:6" x14ac:dyDescent="0.25">
      <c r="A30" s="120" t="s">
        <v>152</v>
      </c>
      <c r="B30" s="120">
        <v>367</v>
      </c>
    </row>
    <row r="31" spans="1:6" x14ac:dyDescent="0.25">
      <c r="A31" s="120" t="s">
        <v>137</v>
      </c>
      <c r="B31" s="120">
        <v>283</v>
      </c>
    </row>
    <row r="32" spans="1:6" x14ac:dyDescent="0.25">
      <c r="A32" s="120" t="s">
        <v>98</v>
      </c>
      <c r="B32" s="120">
        <v>258</v>
      </c>
    </row>
    <row r="33" spans="1:2" x14ac:dyDescent="0.25">
      <c r="A33" s="120" t="s">
        <v>42</v>
      </c>
      <c r="B33" s="120">
        <v>197</v>
      </c>
    </row>
    <row r="34" spans="1:2" x14ac:dyDescent="0.25">
      <c r="A34" s="120" t="s">
        <v>79</v>
      </c>
      <c r="B34" s="120">
        <v>177</v>
      </c>
    </row>
    <row r="35" spans="1:2" x14ac:dyDescent="0.25">
      <c r="A35" s="120" t="s">
        <v>102</v>
      </c>
      <c r="B35" s="120">
        <v>119</v>
      </c>
    </row>
    <row r="36" spans="1:2" x14ac:dyDescent="0.25">
      <c r="A36" s="120" t="s">
        <v>104</v>
      </c>
      <c r="B36" s="120">
        <v>107.5</v>
      </c>
    </row>
    <row r="37" spans="1:2" x14ac:dyDescent="0.25">
      <c r="A37" s="120" t="s">
        <v>118</v>
      </c>
      <c r="B37" s="120">
        <v>93</v>
      </c>
    </row>
  </sheetData>
  <pageMargins left="0.7" right="0.7" top="0.75" bottom="0.75" header="0.3" footer="0.3"/>
  <ignoredErrors>
    <ignoredError sqref="E29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7"/>
  <sheetViews>
    <sheetView topLeftCell="A7" workbookViewId="0">
      <selection activeCell="D8" sqref="D8"/>
    </sheetView>
  </sheetViews>
  <sheetFormatPr defaultRowHeight="15" x14ac:dyDescent="0.25"/>
  <cols>
    <col min="1" max="1" width="52.28515625" customWidth="1"/>
    <col min="2" max="2" width="12.140625" customWidth="1"/>
    <col min="3" max="3" width="10.5703125" customWidth="1"/>
    <col min="4" max="4" width="20" customWidth="1"/>
    <col min="5" max="5" width="25.7109375" customWidth="1"/>
    <col min="12" max="12" width="12.140625" customWidth="1"/>
  </cols>
  <sheetData>
    <row r="4" spans="1:13" ht="21" x14ac:dyDescent="0.35">
      <c r="A4" s="171" t="s">
        <v>266</v>
      </c>
      <c r="B4" s="171"/>
      <c r="C4" s="171"/>
      <c r="D4" s="171"/>
    </row>
    <row r="7" spans="1:13" ht="15.75" x14ac:dyDescent="0.25">
      <c r="A7" s="135" t="s">
        <v>267</v>
      </c>
      <c r="B7" s="135">
        <v>2020</v>
      </c>
      <c r="C7" s="135">
        <v>2019</v>
      </c>
      <c r="D7" s="135" t="s">
        <v>268</v>
      </c>
      <c r="E7" s="135" t="s">
        <v>269</v>
      </c>
    </row>
    <row r="8" spans="1:13" ht="26.25" customHeight="1" x14ac:dyDescent="0.25">
      <c r="A8" s="139" t="s">
        <v>270</v>
      </c>
      <c r="B8" s="139">
        <v>14443.5</v>
      </c>
      <c r="C8" s="139">
        <v>13718.5</v>
      </c>
      <c r="D8" s="144">
        <f>AVERAGE(B8,C8)</f>
        <v>14081</v>
      </c>
      <c r="E8" s="139">
        <f>B8-C8</f>
        <v>725</v>
      </c>
    </row>
    <row r="9" spans="1:13" ht="33.75" customHeight="1" x14ac:dyDescent="0.25">
      <c r="A9" s="139" t="s">
        <v>271</v>
      </c>
      <c r="B9" s="138">
        <v>1119.5</v>
      </c>
      <c r="C9" s="138">
        <v>1158.25</v>
      </c>
      <c r="D9" s="144">
        <f>AVERAGE(B9,C9)</f>
        <v>1138.875</v>
      </c>
      <c r="E9" s="139">
        <f>-(B9-C9)</f>
        <v>38.75</v>
      </c>
      <c r="H9" s="136"/>
      <c r="I9" s="137"/>
      <c r="J9" s="137"/>
      <c r="K9" s="137"/>
      <c r="L9" s="137"/>
      <c r="M9" s="137"/>
    </row>
    <row r="10" spans="1:13" ht="27" customHeight="1" x14ac:dyDescent="0.25">
      <c r="A10" s="139" t="s">
        <v>272</v>
      </c>
      <c r="B10" s="138">
        <v>10937.5</v>
      </c>
      <c r="C10" s="138">
        <v>9909.5</v>
      </c>
      <c r="D10" s="144">
        <f t="shared" ref="D10:D15" si="0">AVERAGE(B10,C10)</f>
        <v>10423.5</v>
      </c>
      <c r="E10" s="139">
        <f t="shared" ref="E10:E13" si="1">B10-C10</f>
        <v>1028</v>
      </c>
    </row>
    <row r="11" spans="1:13" ht="21.75" customHeight="1" x14ac:dyDescent="0.25">
      <c r="A11" s="140" t="s">
        <v>273</v>
      </c>
      <c r="B11" s="141">
        <v>8831.5</v>
      </c>
      <c r="C11" s="141">
        <v>8406</v>
      </c>
      <c r="D11" s="145">
        <f t="shared" si="0"/>
        <v>8618.75</v>
      </c>
      <c r="E11" s="140">
        <f t="shared" si="1"/>
        <v>425.5</v>
      </c>
    </row>
    <row r="12" spans="1:13" ht="27.75" customHeight="1" x14ac:dyDescent="0.25">
      <c r="A12" s="139" t="s">
        <v>275</v>
      </c>
      <c r="B12" s="138">
        <v>8823</v>
      </c>
      <c r="C12" s="138">
        <v>10626</v>
      </c>
      <c r="D12" s="144">
        <f t="shared" si="0"/>
        <v>9724.5</v>
      </c>
      <c r="E12" s="139">
        <f>-(B12-C12)</f>
        <v>1803</v>
      </c>
    </row>
    <row r="13" spans="1:13" ht="28.5" customHeight="1" x14ac:dyDescent="0.25">
      <c r="A13" s="139" t="s">
        <v>274</v>
      </c>
      <c r="B13" s="138">
        <v>9235.5</v>
      </c>
      <c r="C13" s="138">
        <v>8732</v>
      </c>
      <c r="D13" s="144">
        <f t="shared" si="0"/>
        <v>8983.75</v>
      </c>
      <c r="E13" s="139">
        <f t="shared" si="1"/>
        <v>503.5</v>
      </c>
    </row>
    <row r="14" spans="1:13" ht="30" customHeight="1" x14ac:dyDescent="0.25">
      <c r="A14" s="139" t="s">
        <v>277</v>
      </c>
      <c r="B14" s="138">
        <v>9816</v>
      </c>
      <c r="C14" s="138">
        <v>11242</v>
      </c>
      <c r="D14" s="144">
        <f t="shared" si="0"/>
        <v>10529</v>
      </c>
      <c r="E14" s="139">
        <f>-(B14-C14)</f>
        <v>1426</v>
      </c>
    </row>
    <row r="15" spans="1:13" ht="27" customHeight="1" x14ac:dyDescent="0.25">
      <c r="A15" s="140" t="s">
        <v>276</v>
      </c>
      <c r="B15" s="141">
        <v>9826</v>
      </c>
      <c r="C15" s="141">
        <v>9997</v>
      </c>
      <c r="D15" s="145">
        <f t="shared" si="0"/>
        <v>9911.5</v>
      </c>
      <c r="E15" s="140">
        <f>-(B15-C15)</f>
        <v>171</v>
      </c>
    </row>
    <row r="17" spans="1:12" ht="18.75" x14ac:dyDescent="0.4">
      <c r="A17" s="142" t="s">
        <v>301</v>
      </c>
      <c r="B17" s="142"/>
      <c r="C17" s="142"/>
      <c r="D17" s="142"/>
      <c r="E17" s="142"/>
      <c r="F17" s="142"/>
      <c r="G17" s="142"/>
      <c r="H17" s="94"/>
      <c r="I17" s="94"/>
      <c r="J17" s="94"/>
      <c r="K17" s="94"/>
      <c r="L17" s="94"/>
    </row>
  </sheetData>
  <mergeCells count="1">
    <mergeCell ref="A4:D4"/>
  </mergeCells>
  <pageMargins left="0.7" right="0.7" top="0.75" bottom="0.75" header="0.3" footer="0.3"/>
  <ignoredErrors>
    <ignoredError sqref="E12:E13 E9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22" sqref="F22"/>
    </sheetView>
  </sheetViews>
  <sheetFormatPr defaultRowHeight="15" x14ac:dyDescent="0.25"/>
  <cols>
    <col min="1" max="1" width="16.28515625" style="93" customWidth="1"/>
    <col min="2" max="2" width="25.5703125" customWidth="1"/>
    <col min="3" max="3" width="20" customWidth="1"/>
    <col min="4" max="4" width="16.7109375" style="93" customWidth="1"/>
    <col min="5" max="5" width="23.7109375" customWidth="1"/>
    <col min="6" max="6" width="16.140625" customWidth="1"/>
    <col min="7" max="7" width="17.85546875" customWidth="1"/>
    <col min="8" max="8" width="25.85546875" customWidth="1"/>
    <col min="9" max="9" width="14.85546875" customWidth="1"/>
    <col min="10" max="10" width="14.5703125" customWidth="1"/>
    <col min="11" max="11" width="13.42578125" customWidth="1"/>
    <col min="12" max="12" width="18.5703125" customWidth="1"/>
  </cols>
  <sheetData>
    <row r="1" spans="1:13" ht="21" x14ac:dyDescent="0.35">
      <c r="A1" s="171" t="s">
        <v>283</v>
      </c>
      <c r="B1" s="172"/>
      <c r="C1" s="172"/>
      <c r="D1" s="171" t="s">
        <v>284</v>
      </c>
      <c r="E1" s="172"/>
      <c r="F1" s="172"/>
      <c r="H1" s="147">
        <v>2021</v>
      </c>
      <c r="I1" s="146"/>
    </row>
    <row r="2" spans="1:13" ht="15.75" x14ac:dyDescent="0.25">
      <c r="A2" s="150" t="s">
        <v>282</v>
      </c>
      <c r="B2" s="117" t="s">
        <v>252</v>
      </c>
      <c r="C2" s="118" t="s">
        <v>183</v>
      </c>
      <c r="D2" s="156" t="s">
        <v>282</v>
      </c>
      <c r="E2" s="157" t="s">
        <v>252</v>
      </c>
      <c r="F2" s="158" t="s">
        <v>183</v>
      </c>
      <c r="H2" s="166" t="s">
        <v>252</v>
      </c>
      <c r="I2" s="167" t="s">
        <v>183</v>
      </c>
    </row>
    <row r="3" spans="1:13" x14ac:dyDescent="0.25">
      <c r="A3" s="120" t="s">
        <v>278</v>
      </c>
      <c r="B3" s="120" t="s">
        <v>50</v>
      </c>
      <c r="C3" s="153">
        <v>1568</v>
      </c>
      <c r="D3" s="155" t="s">
        <v>279</v>
      </c>
      <c r="E3" s="148" t="s">
        <v>100</v>
      </c>
      <c r="F3" s="153">
        <v>1382</v>
      </c>
      <c r="H3" s="161" t="s">
        <v>285</v>
      </c>
      <c r="I3" s="162">
        <v>1111</v>
      </c>
    </row>
    <row r="4" spans="1:13" x14ac:dyDescent="0.25">
      <c r="A4" s="120" t="s">
        <v>278</v>
      </c>
      <c r="B4" s="116" t="s">
        <v>58</v>
      </c>
      <c r="C4" s="153">
        <v>1069</v>
      </c>
      <c r="D4" s="155" t="s">
        <v>281</v>
      </c>
      <c r="E4" s="116" t="s">
        <v>51</v>
      </c>
      <c r="F4" s="153">
        <v>1111</v>
      </c>
      <c r="H4" s="161" t="s">
        <v>286</v>
      </c>
      <c r="I4" s="162">
        <v>1069</v>
      </c>
    </row>
    <row r="5" spans="1:13" ht="15.75" x14ac:dyDescent="0.25">
      <c r="A5" s="120" t="s">
        <v>278</v>
      </c>
      <c r="B5" s="165" t="s">
        <v>49</v>
      </c>
      <c r="C5" s="153">
        <v>992</v>
      </c>
      <c r="D5" s="155" t="s">
        <v>281</v>
      </c>
      <c r="E5" s="116" t="s">
        <v>49</v>
      </c>
      <c r="F5" s="153">
        <v>904</v>
      </c>
      <c r="G5" s="152"/>
      <c r="H5" s="161" t="s">
        <v>287</v>
      </c>
      <c r="I5" s="162">
        <v>992</v>
      </c>
      <c r="J5" s="143" t="s">
        <v>193</v>
      </c>
      <c r="K5" s="127" t="s">
        <v>193</v>
      </c>
      <c r="L5" s="127" t="str">
        <f>INDEX(Table13[Players],MATCH(MAX(Table13[Points]),Table13[Points],0))</f>
        <v>AD Russell(ALL)</v>
      </c>
      <c r="M5" s="127">
        <f>MAX(Table13[Points])*2</f>
        <v>2764</v>
      </c>
    </row>
    <row r="6" spans="1:13" ht="15.75" x14ac:dyDescent="0.25">
      <c r="A6" s="120" t="s">
        <v>278</v>
      </c>
      <c r="B6" s="165" t="s">
        <v>51</v>
      </c>
      <c r="C6" s="153">
        <v>876</v>
      </c>
      <c r="D6" s="155" t="s">
        <v>281</v>
      </c>
      <c r="E6" s="116" t="s">
        <v>50</v>
      </c>
      <c r="F6" s="153">
        <v>828</v>
      </c>
      <c r="G6" s="152"/>
      <c r="H6" s="161" t="s">
        <v>288</v>
      </c>
      <c r="I6" s="162">
        <v>828</v>
      </c>
      <c r="J6" s="143" t="s">
        <v>195</v>
      </c>
      <c r="K6" s="127" t="s">
        <v>195</v>
      </c>
      <c r="L6" s="127" t="str">
        <f>INDEX(Table13[Players],MATCH(LARGE(Table13[Points],2),Table13[Points],0))</f>
        <v>DA Warner(BA)</v>
      </c>
      <c r="M6" s="127">
        <f>LARGE(Table13[Points],2)*1.5</f>
        <v>1666.5</v>
      </c>
    </row>
    <row r="7" spans="1:13" ht="15.75" x14ac:dyDescent="0.25">
      <c r="A7" s="120" t="s">
        <v>278</v>
      </c>
      <c r="B7" s="120" t="s">
        <v>54</v>
      </c>
      <c r="C7" s="153">
        <v>772</v>
      </c>
      <c r="D7" s="155" t="s">
        <v>281</v>
      </c>
      <c r="E7" s="116" t="s">
        <v>78</v>
      </c>
      <c r="F7" s="153">
        <v>793</v>
      </c>
      <c r="H7" s="161" t="s">
        <v>289</v>
      </c>
      <c r="I7" s="162">
        <v>793</v>
      </c>
      <c r="K7" s="127"/>
      <c r="L7" s="134"/>
      <c r="M7" s="127"/>
    </row>
    <row r="8" spans="1:13" x14ac:dyDescent="0.25">
      <c r="A8" s="120" t="s">
        <v>279</v>
      </c>
      <c r="B8" s="148" t="s">
        <v>70</v>
      </c>
      <c r="C8" s="153">
        <v>568</v>
      </c>
      <c r="D8" s="155" t="s">
        <v>281</v>
      </c>
      <c r="E8" s="120" t="s">
        <v>55</v>
      </c>
      <c r="F8" s="153">
        <v>792</v>
      </c>
      <c r="H8" s="161" t="s">
        <v>290</v>
      </c>
      <c r="I8" s="162">
        <v>1382</v>
      </c>
    </row>
    <row r="9" spans="1:13" x14ac:dyDescent="0.25">
      <c r="A9" s="120" t="s">
        <v>279</v>
      </c>
      <c r="B9" s="148" t="s">
        <v>84</v>
      </c>
      <c r="C9" s="153">
        <v>385</v>
      </c>
      <c r="D9" s="155" t="s">
        <v>279</v>
      </c>
      <c r="E9" s="148" t="s">
        <v>80</v>
      </c>
      <c r="F9" s="153">
        <v>648</v>
      </c>
      <c r="H9" s="161" t="s">
        <v>291</v>
      </c>
      <c r="I9" s="162">
        <v>648</v>
      </c>
    </row>
    <row r="10" spans="1:13" x14ac:dyDescent="0.25">
      <c r="A10" s="120" t="s">
        <v>279</v>
      </c>
      <c r="B10" s="148" t="s">
        <v>85</v>
      </c>
      <c r="C10" s="153">
        <v>359</v>
      </c>
      <c r="D10" s="155" t="s">
        <v>279</v>
      </c>
      <c r="E10" s="148" t="s">
        <v>152</v>
      </c>
      <c r="F10" s="153">
        <v>367</v>
      </c>
      <c r="H10" s="161" t="s">
        <v>292</v>
      </c>
      <c r="I10" s="162">
        <v>568</v>
      </c>
    </row>
    <row r="11" spans="1:13" x14ac:dyDescent="0.25">
      <c r="A11" s="120" t="s">
        <v>279</v>
      </c>
      <c r="B11" s="120" t="s">
        <v>92</v>
      </c>
      <c r="C11" s="153">
        <v>283</v>
      </c>
      <c r="D11" s="155" t="s">
        <v>279</v>
      </c>
      <c r="E11" s="148" t="s">
        <v>137</v>
      </c>
      <c r="F11" s="153">
        <v>283</v>
      </c>
      <c r="H11" s="161" t="s">
        <v>293</v>
      </c>
      <c r="I11" s="162">
        <v>385</v>
      </c>
    </row>
    <row r="12" spans="1:13" x14ac:dyDescent="0.25">
      <c r="A12" s="120" t="s">
        <v>279</v>
      </c>
      <c r="B12" s="120" t="s">
        <v>95</v>
      </c>
      <c r="C12" s="153">
        <v>241</v>
      </c>
      <c r="D12" s="155" t="s">
        <v>279</v>
      </c>
      <c r="E12" s="120" t="s">
        <v>98</v>
      </c>
      <c r="F12" s="153">
        <v>258</v>
      </c>
      <c r="H12" s="161" t="s">
        <v>294</v>
      </c>
      <c r="I12" s="162">
        <v>367</v>
      </c>
    </row>
    <row r="13" spans="1:13" x14ac:dyDescent="0.25">
      <c r="A13" s="120" t="s">
        <v>279</v>
      </c>
      <c r="B13" s="120" t="s">
        <v>98</v>
      </c>
      <c r="C13" s="153">
        <v>190.5</v>
      </c>
      <c r="D13" s="155" t="s">
        <v>279</v>
      </c>
      <c r="E13" s="120" t="s">
        <v>42</v>
      </c>
      <c r="F13" s="153">
        <v>197</v>
      </c>
      <c r="H13" s="161" t="s">
        <v>295</v>
      </c>
      <c r="I13" s="162">
        <v>359</v>
      </c>
    </row>
    <row r="14" spans="1:13" x14ac:dyDescent="0.25">
      <c r="A14" s="120" t="s">
        <v>279</v>
      </c>
      <c r="B14" s="120" t="s">
        <v>99</v>
      </c>
      <c r="C14" s="153">
        <v>185</v>
      </c>
      <c r="D14" s="155" t="s">
        <v>279</v>
      </c>
      <c r="E14" s="120" t="s">
        <v>79</v>
      </c>
      <c r="F14" s="153">
        <v>177</v>
      </c>
      <c r="H14" s="161" t="s">
        <v>296</v>
      </c>
      <c r="I14" s="162">
        <v>283</v>
      </c>
    </row>
    <row r="15" spans="1:13" x14ac:dyDescent="0.25">
      <c r="A15" s="120" t="s">
        <v>280</v>
      </c>
      <c r="B15" s="149" t="s">
        <v>104</v>
      </c>
      <c r="C15" s="153">
        <v>118</v>
      </c>
      <c r="D15" s="155" t="s">
        <v>280</v>
      </c>
      <c r="E15" s="149" t="s">
        <v>102</v>
      </c>
      <c r="F15" s="153">
        <v>119</v>
      </c>
      <c r="H15" s="161" t="s">
        <v>297</v>
      </c>
      <c r="I15" s="162">
        <v>119</v>
      </c>
    </row>
    <row r="16" spans="1:13" x14ac:dyDescent="0.25">
      <c r="A16" s="120" t="s">
        <v>280</v>
      </c>
      <c r="B16" s="149" t="s">
        <v>105</v>
      </c>
      <c r="C16" s="153">
        <v>117</v>
      </c>
      <c r="D16" s="159" t="s">
        <v>280</v>
      </c>
      <c r="E16" s="151" t="s">
        <v>104</v>
      </c>
      <c r="F16" s="160">
        <v>107.5</v>
      </c>
      <c r="H16" s="161" t="s">
        <v>298</v>
      </c>
      <c r="I16" s="162">
        <v>118</v>
      </c>
    </row>
    <row r="17" spans="1:9" x14ac:dyDescent="0.25">
      <c r="A17" s="151" t="s">
        <v>280</v>
      </c>
      <c r="B17" s="151" t="s">
        <v>106</v>
      </c>
      <c r="C17" s="154">
        <v>109</v>
      </c>
      <c r="D17" s="120" t="s">
        <v>280</v>
      </c>
      <c r="E17" s="120" t="s">
        <v>118</v>
      </c>
      <c r="F17" s="120">
        <v>93</v>
      </c>
      <c r="H17" s="163" t="s">
        <v>299</v>
      </c>
      <c r="I17" s="164">
        <v>117</v>
      </c>
    </row>
    <row r="21" spans="1:9" ht="18.75" customHeight="1" x14ac:dyDescent="0.25">
      <c r="B21" s="173" t="s">
        <v>300</v>
      </c>
      <c r="C21" s="173"/>
      <c r="D21" s="173"/>
      <c r="E21" s="173"/>
    </row>
    <row r="22" spans="1:9" ht="18.75" customHeight="1" x14ac:dyDescent="0.25">
      <c r="B22" s="173"/>
      <c r="C22" s="173"/>
      <c r="D22" s="173"/>
      <c r="E22" s="173"/>
    </row>
  </sheetData>
  <mergeCells count="3">
    <mergeCell ref="A1:C1"/>
    <mergeCell ref="D1:F1"/>
    <mergeCell ref="B21:E2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"/>
  <sheetViews>
    <sheetView tabSelected="1" topLeftCell="A13" workbookViewId="0">
      <selection activeCell="M33" sqref="M33"/>
    </sheetView>
  </sheetViews>
  <sheetFormatPr defaultRowHeight="15" x14ac:dyDescent="0.25"/>
  <cols>
    <col min="1" max="1" width="30.140625" customWidth="1"/>
    <col min="2" max="2" width="6.7109375" customWidth="1"/>
    <col min="3" max="3" width="8.85546875" customWidth="1"/>
    <col min="4" max="4" width="6.28515625" customWidth="1"/>
    <col min="5" max="6" width="9" customWidth="1"/>
    <col min="10" max="10" width="18.5703125" customWidth="1"/>
    <col min="11" max="11" width="6.7109375" customWidth="1"/>
    <col min="12" max="12" width="6.85546875" customWidth="1"/>
    <col min="13" max="13" width="7.5703125" customWidth="1"/>
    <col min="14" max="14" width="7" customWidth="1"/>
    <col min="15" max="15" width="8.7109375" customWidth="1"/>
    <col min="16" max="16" width="11.42578125" customWidth="1"/>
    <col min="17" max="17" width="13.28515625" customWidth="1"/>
  </cols>
  <sheetData>
    <row r="1" spans="1:15" x14ac:dyDescent="0.25">
      <c r="A1" t="s">
        <v>0</v>
      </c>
      <c r="B1" t="s">
        <v>37</v>
      </c>
      <c r="C1" t="s">
        <v>1</v>
      </c>
      <c r="D1" t="s">
        <v>220</v>
      </c>
      <c r="E1" t="s">
        <v>221</v>
      </c>
      <c r="F1" t="s">
        <v>222</v>
      </c>
      <c r="J1" t="s">
        <v>0</v>
      </c>
      <c r="K1" t="s">
        <v>37</v>
      </c>
      <c r="L1" t="s">
        <v>1</v>
      </c>
      <c r="M1" t="s">
        <v>220</v>
      </c>
      <c r="N1" t="s">
        <v>221</v>
      </c>
      <c r="O1" t="s">
        <v>222</v>
      </c>
    </row>
    <row r="2" spans="1:15" x14ac:dyDescent="0.25">
      <c r="A2" t="s">
        <v>104</v>
      </c>
      <c r="B2">
        <v>17</v>
      </c>
      <c r="C2">
        <v>17</v>
      </c>
      <c r="D2">
        <v>8</v>
      </c>
      <c r="E2">
        <v>1</v>
      </c>
      <c r="F2">
        <v>0.47</v>
      </c>
      <c r="J2" t="s">
        <v>106</v>
      </c>
      <c r="K2">
        <v>15</v>
      </c>
      <c r="L2">
        <v>15</v>
      </c>
      <c r="M2">
        <v>4</v>
      </c>
      <c r="N2">
        <v>1</v>
      </c>
      <c r="O2">
        <v>0.26600000000000001</v>
      </c>
    </row>
    <row r="3" spans="1:15" x14ac:dyDescent="0.25">
      <c r="A3" t="s">
        <v>53</v>
      </c>
      <c r="B3">
        <v>17</v>
      </c>
      <c r="C3">
        <v>17</v>
      </c>
      <c r="D3">
        <v>6</v>
      </c>
      <c r="E3">
        <v>1</v>
      </c>
      <c r="F3">
        <v>0.35199999999999998</v>
      </c>
      <c r="J3" t="s">
        <v>66</v>
      </c>
      <c r="K3">
        <v>14</v>
      </c>
      <c r="L3">
        <v>7</v>
      </c>
      <c r="M3">
        <v>4</v>
      </c>
      <c r="N3">
        <v>1</v>
      </c>
      <c r="O3">
        <v>0.57099999999999995</v>
      </c>
    </row>
    <row r="4" spans="1:15" x14ac:dyDescent="0.25">
      <c r="A4" t="s">
        <v>50</v>
      </c>
      <c r="B4">
        <v>17</v>
      </c>
      <c r="C4">
        <v>17</v>
      </c>
      <c r="D4">
        <v>5</v>
      </c>
      <c r="E4">
        <v>1</v>
      </c>
      <c r="F4">
        <v>0.29399999999999998</v>
      </c>
      <c r="J4" t="s">
        <v>53</v>
      </c>
      <c r="K4">
        <v>17</v>
      </c>
      <c r="L4">
        <v>17</v>
      </c>
      <c r="M4">
        <v>6</v>
      </c>
      <c r="N4">
        <v>1</v>
      </c>
      <c r="O4">
        <v>0.35199999999999998</v>
      </c>
    </row>
    <row r="5" spans="1:15" x14ac:dyDescent="0.25">
      <c r="A5" t="s">
        <v>51</v>
      </c>
      <c r="B5">
        <v>16</v>
      </c>
      <c r="C5">
        <v>16</v>
      </c>
      <c r="D5">
        <v>12</v>
      </c>
      <c r="E5">
        <v>2</v>
      </c>
      <c r="F5">
        <v>0.75</v>
      </c>
      <c r="J5" t="s">
        <v>93</v>
      </c>
      <c r="K5">
        <v>12</v>
      </c>
      <c r="L5">
        <v>12</v>
      </c>
      <c r="M5">
        <v>7</v>
      </c>
      <c r="N5">
        <v>3</v>
      </c>
      <c r="O5">
        <v>0.58299999999999996</v>
      </c>
    </row>
    <row r="6" spans="1:15" x14ac:dyDescent="0.25">
      <c r="A6" t="s">
        <v>83</v>
      </c>
      <c r="B6">
        <v>16</v>
      </c>
      <c r="C6">
        <v>16</v>
      </c>
      <c r="D6">
        <v>8</v>
      </c>
      <c r="E6">
        <v>2</v>
      </c>
      <c r="F6">
        <v>0.5</v>
      </c>
      <c r="J6" t="s">
        <v>92</v>
      </c>
      <c r="K6">
        <v>14</v>
      </c>
      <c r="L6">
        <v>14</v>
      </c>
      <c r="M6">
        <v>7</v>
      </c>
      <c r="N6">
        <v>2</v>
      </c>
      <c r="O6">
        <v>0.5</v>
      </c>
    </row>
    <row r="7" spans="1:15" x14ac:dyDescent="0.25">
      <c r="A7" t="s">
        <v>56</v>
      </c>
      <c r="B7">
        <v>16</v>
      </c>
      <c r="C7">
        <v>16</v>
      </c>
      <c r="D7">
        <v>8</v>
      </c>
      <c r="E7">
        <v>2</v>
      </c>
      <c r="F7">
        <v>0.5</v>
      </c>
      <c r="J7" t="s">
        <v>62</v>
      </c>
      <c r="K7">
        <v>14</v>
      </c>
      <c r="L7">
        <v>14</v>
      </c>
      <c r="M7">
        <v>7</v>
      </c>
      <c r="N7">
        <v>2</v>
      </c>
      <c r="O7">
        <v>0.5</v>
      </c>
    </row>
    <row r="8" spans="1:15" x14ac:dyDescent="0.25">
      <c r="A8" t="s">
        <v>63</v>
      </c>
      <c r="B8">
        <v>16</v>
      </c>
      <c r="C8">
        <v>16</v>
      </c>
      <c r="D8">
        <v>7</v>
      </c>
      <c r="E8">
        <v>1</v>
      </c>
      <c r="F8">
        <v>0.437</v>
      </c>
      <c r="J8" t="s">
        <v>126</v>
      </c>
      <c r="K8">
        <v>8</v>
      </c>
      <c r="L8">
        <v>8</v>
      </c>
      <c r="M8">
        <v>4</v>
      </c>
      <c r="N8">
        <v>2</v>
      </c>
      <c r="O8">
        <v>0.5</v>
      </c>
    </row>
    <row r="9" spans="1:15" x14ac:dyDescent="0.25">
      <c r="A9" t="s">
        <v>107</v>
      </c>
      <c r="B9">
        <v>16</v>
      </c>
      <c r="C9">
        <v>16</v>
      </c>
      <c r="D9">
        <v>4</v>
      </c>
      <c r="E9">
        <v>1</v>
      </c>
      <c r="F9">
        <v>0.25</v>
      </c>
      <c r="J9" t="s">
        <v>56</v>
      </c>
      <c r="K9">
        <v>16</v>
      </c>
      <c r="L9">
        <v>16</v>
      </c>
      <c r="M9">
        <v>8</v>
      </c>
      <c r="N9">
        <v>2</v>
      </c>
      <c r="O9">
        <v>0.5</v>
      </c>
    </row>
    <row r="10" spans="1:15" x14ac:dyDescent="0.25">
      <c r="A10" t="s">
        <v>137</v>
      </c>
      <c r="B10">
        <v>16</v>
      </c>
      <c r="C10">
        <v>16</v>
      </c>
      <c r="D10">
        <v>4</v>
      </c>
      <c r="E10">
        <v>2</v>
      </c>
      <c r="F10">
        <v>0.25</v>
      </c>
      <c r="J10" t="s">
        <v>50</v>
      </c>
      <c r="K10">
        <v>17</v>
      </c>
      <c r="L10">
        <v>17</v>
      </c>
      <c r="M10">
        <v>5</v>
      </c>
      <c r="N10">
        <v>1</v>
      </c>
      <c r="O10">
        <v>0.29399999999999998</v>
      </c>
    </row>
    <row r="11" spans="1:15" x14ac:dyDescent="0.25">
      <c r="A11" t="s">
        <v>57</v>
      </c>
      <c r="B11">
        <v>15</v>
      </c>
      <c r="C11">
        <v>15</v>
      </c>
      <c r="D11">
        <v>8</v>
      </c>
      <c r="E11">
        <v>2</v>
      </c>
      <c r="F11">
        <v>0.53300000000000003</v>
      </c>
      <c r="J11" t="s">
        <v>73</v>
      </c>
      <c r="K11">
        <v>12</v>
      </c>
      <c r="L11">
        <v>12</v>
      </c>
      <c r="M11">
        <v>6</v>
      </c>
      <c r="N11">
        <v>2</v>
      </c>
      <c r="O11">
        <v>0.5</v>
      </c>
    </row>
    <row r="12" spans="1:15" x14ac:dyDescent="0.25">
      <c r="A12" t="s">
        <v>99</v>
      </c>
      <c r="B12">
        <v>15</v>
      </c>
      <c r="C12">
        <v>15</v>
      </c>
      <c r="D12">
        <v>6</v>
      </c>
      <c r="E12">
        <v>1</v>
      </c>
      <c r="F12">
        <v>0.4</v>
      </c>
      <c r="J12" t="s">
        <v>89</v>
      </c>
      <c r="K12">
        <v>6</v>
      </c>
      <c r="L12">
        <v>6</v>
      </c>
      <c r="M12">
        <v>4</v>
      </c>
      <c r="N12">
        <v>2</v>
      </c>
      <c r="O12">
        <v>0.66600000000000004</v>
      </c>
    </row>
    <row r="13" spans="1:15" x14ac:dyDescent="0.25">
      <c r="A13" t="s">
        <v>106</v>
      </c>
      <c r="B13">
        <v>15</v>
      </c>
      <c r="C13">
        <v>15</v>
      </c>
      <c r="D13">
        <v>4</v>
      </c>
      <c r="E13">
        <v>1</v>
      </c>
      <c r="F13">
        <v>0.26600000000000001</v>
      </c>
      <c r="J13" t="s">
        <v>113</v>
      </c>
      <c r="K13">
        <v>15</v>
      </c>
      <c r="L13">
        <v>15</v>
      </c>
      <c r="M13">
        <v>4</v>
      </c>
      <c r="N13">
        <v>1</v>
      </c>
      <c r="O13">
        <v>0.26600000000000001</v>
      </c>
    </row>
    <row r="14" spans="1:15" x14ac:dyDescent="0.25">
      <c r="A14" t="s">
        <v>113</v>
      </c>
      <c r="B14">
        <v>15</v>
      </c>
      <c r="C14">
        <v>15</v>
      </c>
      <c r="D14">
        <v>4</v>
      </c>
      <c r="E14">
        <v>1</v>
      </c>
      <c r="F14">
        <v>0.26600000000000001</v>
      </c>
      <c r="J14" t="s">
        <v>85</v>
      </c>
      <c r="K14">
        <v>14</v>
      </c>
      <c r="L14">
        <v>14</v>
      </c>
      <c r="M14">
        <v>5</v>
      </c>
      <c r="N14">
        <v>2</v>
      </c>
      <c r="O14">
        <v>0.35699999999999998</v>
      </c>
    </row>
    <row r="15" spans="1:15" x14ac:dyDescent="0.25">
      <c r="A15" t="s">
        <v>84</v>
      </c>
      <c r="B15">
        <v>14</v>
      </c>
      <c r="C15">
        <v>14</v>
      </c>
      <c r="D15">
        <v>9</v>
      </c>
      <c r="E15">
        <v>2</v>
      </c>
      <c r="F15">
        <v>0.64200000000000002</v>
      </c>
      <c r="J15" t="s">
        <v>84</v>
      </c>
      <c r="K15">
        <v>14</v>
      </c>
      <c r="L15">
        <v>14</v>
      </c>
      <c r="M15">
        <v>9</v>
      </c>
      <c r="N15">
        <v>2</v>
      </c>
      <c r="O15">
        <v>0.64200000000000002</v>
      </c>
    </row>
    <row r="16" spans="1:15" x14ac:dyDescent="0.25">
      <c r="A16" t="s">
        <v>92</v>
      </c>
      <c r="B16">
        <v>14</v>
      </c>
      <c r="C16">
        <v>14</v>
      </c>
      <c r="D16">
        <v>7</v>
      </c>
      <c r="E16">
        <v>2</v>
      </c>
      <c r="F16">
        <v>0.5</v>
      </c>
      <c r="J16" t="s">
        <v>87</v>
      </c>
      <c r="K16">
        <v>13</v>
      </c>
      <c r="L16">
        <v>13</v>
      </c>
      <c r="M16">
        <v>4</v>
      </c>
      <c r="N16">
        <v>2</v>
      </c>
      <c r="O16">
        <v>0.307</v>
      </c>
    </row>
    <row r="17" spans="1:15" x14ac:dyDescent="0.25">
      <c r="A17" t="s">
        <v>62</v>
      </c>
      <c r="B17">
        <v>14</v>
      </c>
      <c r="C17">
        <v>14</v>
      </c>
      <c r="D17">
        <v>7</v>
      </c>
      <c r="E17">
        <v>2</v>
      </c>
      <c r="F17">
        <v>0.5</v>
      </c>
      <c r="J17" t="s">
        <v>96</v>
      </c>
      <c r="K17">
        <v>14</v>
      </c>
      <c r="L17">
        <v>14</v>
      </c>
      <c r="M17">
        <v>6</v>
      </c>
      <c r="N17">
        <v>2</v>
      </c>
      <c r="O17">
        <v>0.42799999999999999</v>
      </c>
    </row>
    <row r="18" spans="1:15" x14ac:dyDescent="0.25">
      <c r="A18" t="s">
        <v>96</v>
      </c>
      <c r="B18">
        <v>14</v>
      </c>
      <c r="C18">
        <v>14</v>
      </c>
      <c r="D18">
        <v>6</v>
      </c>
      <c r="E18">
        <v>2</v>
      </c>
      <c r="F18">
        <v>0.42799999999999999</v>
      </c>
      <c r="J18" t="s">
        <v>68</v>
      </c>
      <c r="K18">
        <v>14</v>
      </c>
      <c r="L18">
        <v>13</v>
      </c>
      <c r="M18">
        <v>7</v>
      </c>
      <c r="N18">
        <v>1</v>
      </c>
      <c r="O18">
        <v>0.53800000000000003</v>
      </c>
    </row>
    <row r="19" spans="1:15" x14ac:dyDescent="0.25">
      <c r="A19" t="s">
        <v>80</v>
      </c>
      <c r="B19">
        <v>14</v>
      </c>
      <c r="C19">
        <v>14</v>
      </c>
      <c r="D19">
        <v>6</v>
      </c>
      <c r="E19">
        <v>3</v>
      </c>
      <c r="F19">
        <v>0.42799999999999999</v>
      </c>
      <c r="J19" t="s">
        <v>120</v>
      </c>
      <c r="K19">
        <v>9</v>
      </c>
      <c r="L19">
        <v>9</v>
      </c>
      <c r="M19">
        <v>4</v>
      </c>
      <c r="N19">
        <v>1</v>
      </c>
      <c r="O19">
        <v>0.44400000000000001</v>
      </c>
    </row>
    <row r="20" spans="1:15" x14ac:dyDescent="0.25">
      <c r="A20" t="s">
        <v>109</v>
      </c>
      <c r="B20">
        <v>14</v>
      </c>
      <c r="C20">
        <v>14</v>
      </c>
      <c r="D20">
        <v>5</v>
      </c>
      <c r="E20">
        <v>2</v>
      </c>
      <c r="F20">
        <v>0.35699999999999998</v>
      </c>
      <c r="J20" t="s">
        <v>63</v>
      </c>
      <c r="K20">
        <v>16</v>
      </c>
      <c r="L20">
        <v>16</v>
      </c>
      <c r="M20">
        <v>7</v>
      </c>
      <c r="N20">
        <v>1</v>
      </c>
      <c r="O20">
        <v>0.437</v>
      </c>
    </row>
    <row r="21" spans="1:15" x14ac:dyDescent="0.25">
      <c r="A21" t="s">
        <v>85</v>
      </c>
      <c r="B21">
        <v>14</v>
      </c>
      <c r="C21">
        <v>14</v>
      </c>
      <c r="D21">
        <v>5</v>
      </c>
      <c r="E21">
        <v>2</v>
      </c>
      <c r="F21">
        <v>0.35699999999999998</v>
      </c>
      <c r="J21" t="s">
        <v>64</v>
      </c>
      <c r="K21">
        <v>11</v>
      </c>
      <c r="L21">
        <v>11</v>
      </c>
      <c r="M21">
        <v>6</v>
      </c>
      <c r="N21">
        <v>2</v>
      </c>
      <c r="O21">
        <v>0.54500000000000004</v>
      </c>
    </row>
    <row r="22" spans="1:15" x14ac:dyDescent="0.25">
      <c r="A22" t="s">
        <v>61</v>
      </c>
      <c r="B22">
        <v>13</v>
      </c>
      <c r="C22">
        <v>13</v>
      </c>
      <c r="D22">
        <v>12</v>
      </c>
      <c r="E22">
        <v>3</v>
      </c>
      <c r="F22">
        <v>0.92300000000000004</v>
      </c>
      <c r="J22" t="s">
        <v>122</v>
      </c>
      <c r="K22">
        <v>9</v>
      </c>
      <c r="L22">
        <v>9</v>
      </c>
      <c r="M22">
        <v>4</v>
      </c>
      <c r="N22">
        <v>2</v>
      </c>
      <c r="O22">
        <v>0.44400000000000001</v>
      </c>
    </row>
    <row r="23" spans="1:15" x14ac:dyDescent="0.25">
      <c r="A23" t="s">
        <v>68</v>
      </c>
      <c r="B23">
        <v>14</v>
      </c>
      <c r="C23">
        <v>13</v>
      </c>
      <c r="D23">
        <v>7</v>
      </c>
      <c r="E23">
        <v>1</v>
      </c>
      <c r="F23">
        <v>0.53800000000000003</v>
      </c>
      <c r="J23" t="s">
        <v>75</v>
      </c>
      <c r="K23">
        <v>12</v>
      </c>
      <c r="L23">
        <v>12</v>
      </c>
      <c r="M23">
        <v>6</v>
      </c>
      <c r="N23">
        <v>2</v>
      </c>
      <c r="O23">
        <v>0.5</v>
      </c>
    </row>
    <row r="24" spans="1:15" x14ac:dyDescent="0.25">
      <c r="A24" t="s">
        <v>224</v>
      </c>
      <c r="B24">
        <v>13</v>
      </c>
      <c r="C24">
        <v>13</v>
      </c>
      <c r="D24">
        <v>4</v>
      </c>
      <c r="E24">
        <v>2</v>
      </c>
      <c r="F24">
        <v>0.307</v>
      </c>
      <c r="J24" t="s">
        <v>141</v>
      </c>
      <c r="K24">
        <v>10</v>
      </c>
      <c r="L24">
        <v>10</v>
      </c>
      <c r="M24">
        <v>4</v>
      </c>
      <c r="N24">
        <v>2</v>
      </c>
      <c r="O24">
        <v>0.4</v>
      </c>
    </row>
    <row r="25" spans="1:15" x14ac:dyDescent="0.25">
      <c r="A25" t="s">
        <v>87</v>
      </c>
      <c r="B25">
        <v>13</v>
      </c>
      <c r="C25">
        <v>13</v>
      </c>
      <c r="D25">
        <v>4</v>
      </c>
      <c r="E25">
        <v>2</v>
      </c>
      <c r="F25">
        <v>0.307</v>
      </c>
      <c r="J25" t="s">
        <v>137</v>
      </c>
      <c r="K25">
        <v>16</v>
      </c>
      <c r="L25">
        <v>16</v>
      </c>
      <c r="M25">
        <v>4</v>
      </c>
      <c r="N25">
        <v>2</v>
      </c>
      <c r="O25">
        <v>0.25</v>
      </c>
    </row>
    <row r="26" spans="1:15" x14ac:dyDescent="0.25">
      <c r="A26" t="s">
        <v>93</v>
      </c>
      <c r="B26">
        <v>12</v>
      </c>
      <c r="C26">
        <v>12</v>
      </c>
      <c r="D26">
        <v>7</v>
      </c>
      <c r="E26">
        <v>3</v>
      </c>
      <c r="F26">
        <v>0.58299999999999996</v>
      </c>
      <c r="J26" t="s">
        <v>83</v>
      </c>
      <c r="K26">
        <v>16</v>
      </c>
      <c r="L26">
        <v>16</v>
      </c>
      <c r="M26">
        <v>8</v>
      </c>
      <c r="N26">
        <v>2</v>
      </c>
      <c r="O26">
        <v>0.5</v>
      </c>
    </row>
    <row r="27" spans="1:15" x14ac:dyDescent="0.25">
      <c r="A27" t="s">
        <v>73</v>
      </c>
      <c r="B27">
        <v>12</v>
      </c>
      <c r="C27">
        <v>12</v>
      </c>
      <c r="D27">
        <v>6</v>
      </c>
      <c r="E27">
        <v>2</v>
      </c>
      <c r="F27">
        <v>0.5</v>
      </c>
      <c r="J27" t="s">
        <v>104</v>
      </c>
      <c r="K27">
        <v>17</v>
      </c>
      <c r="L27">
        <v>17</v>
      </c>
      <c r="M27">
        <v>8</v>
      </c>
      <c r="N27">
        <v>1</v>
      </c>
      <c r="O27">
        <v>0.47</v>
      </c>
    </row>
    <row r="28" spans="1:15" x14ac:dyDescent="0.25">
      <c r="A28" t="s">
        <v>75</v>
      </c>
      <c r="B28">
        <v>12</v>
      </c>
      <c r="C28">
        <v>12</v>
      </c>
      <c r="D28">
        <v>6</v>
      </c>
      <c r="E28">
        <v>2</v>
      </c>
      <c r="F28">
        <v>0.5</v>
      </c>
      <c r="J28" t="s">
        <v>109</v>
      </c>
      <c r="K28">
        <v>14</v>
      </c>
      <c r="L28">
        <v>14</v>
      </c>
      <c r="M28">
        <v>5</v>
      </c>
      <c r="N28">
        <v>2</v>
      </c>
      <c r="O28">
        <v>0.35699999999999998</v>
      </c>
    </row>
    <row r="29" spans="1:15" x14ac:dyDescent="0.25">
      <c r="A29" t="s">
        <v>245</v>
      </c>
      <c r="B29">
        <v>12</v>
      </c>
      <c r="C29">
        <v>12</v>
      </c>
      <c r="D29">
        <v>5</v>
      </c>
      <c r="E29">
        <v>2</v>
      </c>
      <c r="F29">
        <v>0.41599999999999998</v>
      </c>
      <c r="J29" t="s">
        <v>80</v>
      </c>
      <c r="K29">
        <v>14</v>
      </c>
      <c r="L29">
        <v>14</v>
      </c>
      <c r="M29">
        <v>6</v>
      </c>
      <c r="N29">
        <v>3</v>
      </c>
      <c r="O29">
        <v>0.42799999999999999</v>
      </c>
    </row>
    <row r="30" spans="1:15" x14ac:dyDescent="0.25">
      <c r="A30" t="s">
        <v>64</v>
      </c>
      <c r="B30">
        <v>11</v>
      </c>
      <c r="C30">
        <v>11</v>
      </c>
      <c r="D30">
        <v>6</v>
      </c>
      <c r="E30">
        <v>2</v>
      </c>
      <c r="F30">
        <v>0.54500000000000004</v>
      </c>
      <c r="J30" t="s">
        <v>244</v>
      </c>
      <c r="K30">
        <v>8</v>
      </c>
      <c r="L30">
        <v>8</v>
      </c>
      <c r="M30">
        <v>5</v>
      </c>
      <c r="N30">
        <v>2</v>
      </c>
      <c r="O30">
        <v>0.625</v>
      </c>
    </row>
    <row r="31" spans="1:15" x14ac:dyDescent="0.25">
      <c r="A31" t="s">
        <v>141</v>
      </c>
      <c r="B31">
        <v>10</v>
      </c>
      <c r="C31">
        <v>10</v>
      </c>
      <c r="D31">
        <v>4</v>
      </c>
      <c r="E31">
        <v>2</v>
      </c>
      <c r="F31">
        <v>0.4</v>
      </c>
      <c r="J31" t="s">
        <v>224</v>
      </c>
      <c r="K31">
        <v>13</v>
      </c>
      <c r="L31">
        <v>13</v>
      </c>
      <c r="M31">
        <v>4</v>
      </c>
      <c r="N31">
        <v>2</v>
      </c>
      <c r="O31">
        <v>0.307</v>
      </c>
    </row>
    <row r="32" spans="1:15" x14ac:dyDescent="0.25">
      <c r="A32" t="s">
        <v>119</v>
      </c>
      <c r="B32">
        <v>9</v>
      </c>
      <c r="C32">
        <v>9</v>
      </c>
      <c r="D32">
        <v>7</v>
      </c>
      <c r="E32">
        <v>2</v>
      </c>
      <c r="F32">
        <v>0.77700000000000002</v>
      </c>
      <c r="J32" t="s">
        <v>61</v>
      </c>
      <c r="K32">
        <v>13</v>
      </c>
      <c r="L32">
        <v>13</v>
      </c>
      <c r="M32">
        <v>12</v>
      </c>
      <c r="N32">
        <v>3</v>
      </c>
      <c r="O32">
        <v>0.92300000000000004</v>
      </c>
    </row>
    <row r="33" spans="1:15" x14ac:dyDescent="0.25">
      <c r="A33" t="s">
        <v>128</v>
      </c>
      <c r="B33">
        <v>9</v>
      </c>
      <c r="C33">
        <v>9</v>
      </c>
      <c r="D33">
        <v>5</v>
      </c>
      <c r="E33">
        <v>2</v>
      </c>
      <c r="F33">
        <v>0.55500000000000005</v>
      </c>
      <c r="J33" t="s">
        <v>51</v>
      </c>
      <c r="K33">
        <v>16</v>
      </c>
      <c r="L33">
        <v>16</v>
      </c>
      <c r="M33">
        <v>12</v>
      </c>
      <c r="N33">
        <v>2</v>
      </c>
      <c r="O33">
        <v>0.75</v>
      </c>
    </row>
    <row r="34" spans="1:15" x14ac:dyDescent="0.25">
      <c r="A34" t="s">
        <v>122</v>
      </c>
      <c r="B34">
        <v>9</v>
      </c>
      <c r="C34">
        <v>9</v>
      </c>
      <c r="D34">
        <v>4</v>
      </c>
      <c r="E34">
        <v>2</v>
      </c>
      <c r="F34">
        <v>0.44400000000000001</v>
      </c>
      <c r="J34" t="s">
        <v>57</v>
      </c>
      <c r="K34">
        <v>15</v>
      </c>
      <c r="L34">
        <v>15</v>
      </c>
      <c r="M34">
        <v>8</v>
      </c>
      <c r="N34">
        <v>2</v>
      </c>
      <c r="O34">
        <v>0.53300000000000003</v>
      </c>
    </row>
    <row r="35" spans="1:15" x14ac:dyDescent="0.25">
      <c r="A35" t="s">
        <v>120</v>
      </c>
      <c r="B35">
        <v>9</v>
      </c>
      <c r="C35">
        <v>9</v>
      </c>
      <c r="D35">
        <v>4</v>
      </c>
      <c r="E35">
        <v>1</v>
      </c>
      <c r="F35">
        <v>0.44400000000000001</v>
      </c>
      <c r="J35" t="s">
        <v>128</v>
      </c>
      <c r="K35">
        <v>9</v>
      </c>
      <c r="L35">
        <v>9</v>
      </c>
      <c r="M35">
        <v>5</v>
      </c>
      <c r="N35">
        <v>2</v>
      </c>
      <c r="O35">
        <v>0.55500000000000005</v>
      </c>
    </row>
    <row r="36" spans="1:15" x14ac:dyDescent="0.25">
      <c r="A36" t="s">
        <v>147</v>
      </c>
      <c r="B36">
        <v>9</v>
      </c>
      <c r="C36">
        <v>9</v>
      </c>
      <c r="D36">
        <v>4</v>
      </c>
      <c r="E36">
        <v>1</v>
      </c>
      <c r="F36">
        <v>0.44400000000000001</v>
      </c>
      <c r="J36" t="s">
        <v>119</v>
      </c>
      <c r="K36">
        <v>9</v>
      </c>
      <c r="L36">
        <v>9</v>
      </c>
      <c r="M36">
        <v>7</v>
      </c>
      <c r="N36">
        <v>2</v>
      </c>
      <c r="O36">
        <v>0.77700000000000002</v>
      </c>
    </row>
    <row r="37" spans="1:15" x14ac:dyDescent="0.25">
      <c r="A37" t="s">
        <v>79</v>
      </c>
      <c r="B37">
        <v>8</v>
      </c>
      <c r="C37">
        <v>8</v>
      </c>
      <c r="D37">
        <v>6</v>
      </c>
      <c r="E37">
        <v>2</v>
      </c>
      <c r="F37">
        <v>0.75</v>
      </c>
      <c r="J37" t="s">
        <v>79</v>
      </c>
      <c r="K37">
        <v>8</v>
      </c>
      <c r="L37">
        <v>8</v>
      </c>
      <c r="M37">
        <v>6</v>
      </c>
      <c r="N37">
        <v>2</v>
      </c>
      <c r="O37">
        <v>0.75</v>
      </c>
    </row>
    <row r="38" spans="1:15" x14ac:dyDescent="0.25">
      <c r="A38" t="s">
        <v>244</v>
      </c>
      <c r="B38">
        <v>8</v>
      </c>
      <c r="C38">
        <v>8</v>
      </c>
      <c r="D38">
        <v>5</v>
      </c>
      <c r="E38">
        <v>2</v>
      </c>
      <c r="F38">
        <v>0.625</v>
      </c>
      <c r="J38" t="s">
        <v>99</v>
      </c>
      <c r="K38">
        <v>15</v>
      </c>
      <c r="L38">
        <v>15</v>
      </c>
      <c r="M38">
        <v>6</v>
      </c>
      <c r="N38">
        <v>1</v>
      </c>
      <c r="O38">
        <v>0.4</v>
      </c>
    </row>
    <row r="39" spans="1:15" x14ac:dyDescent="0.25">
      <c r="A39" t="s">
        <v>126</v>
      </c>
      <c r="B39">
        <v>8</v>
      </c>
      <c r="C39">
        <v>8</v>
      </c>
      <c r="D39">
        <v>4</v>
      </c>
      <c r="E39">
        <v>2</v>
      </c>
      <c r="F39">
        <v>0.5</v>
      </c>
      <c r="J39" t="s">
        <v>147</v>
      </c>
      <c r="K39">
        <v>9</v>
      </c>
      <c r="L39">
        <v>9</v>
      </c>
      <c r="M39">
        <v>4</v>
      </c>
      <c r="N39">
        <v>1</v>
      </c>
      <c r="O39">
        <v>0.44400000000000001</v>
      </c>
    </row>
    <row r="40" spans="1:15" x14ac:dyDescent="0.25">
      <c r="A40" t="s">
        <v>66</v>
      </c>
      <c r="B40">
        <v>14</v>
      </c>
      <c r="C40">
        <v>7</v>
      </c>
      <c r="D40">
        <v>4</v>
      </c>
      <c r="E40">
        <v>1</v>
      </c>
      <c r="F40">
        <v>0.57099999999999995</v>
      </c>
      <c r="J40" t="s">
        <v>245</v>
      </c>
      <c r="K40">
        <v>12</v>
      </c>
      <c r="L40">
        <v>12</v>
      </c>
      <c r="M40">
        <v>5</v>
      </c>
      <c r="N40">
        <v>2</v>
      </c>
      <c r="O40">
        <v>0.41599999999999998</v>
      </c>
    </row>
    <row r="41" spans="1:15" x14ac:dyDescent="0.25">
      <c r="A41" t="s">
        <v>89</v>
      </c>
      <c r="B41">
        <v>6</v>
      </c>
      <c r="C41">
        <v>6</v>
      </c>
      <c r="D41">
        <v>4</v>
      </c>
      <c r="E41">
        <v>2</v>
      </c>
      <c r="F41">
        <v>0.66600000000000004</v>
      </c>
      <c r="J41" t="s">
        <v>107</v>
      </c>
      <c r="K41">
        <v>16</v>
      </c>
      <c r="L41">
        <v>16</v>
      </c>
      <c r="M41">
        <v>4</v>
      </c>
      <c r="N41">
        <v>1</v>
      </c>
      <c r="O41">
        <v>0.25</v>
      </c>
    </row>
    <row r="81" spans="16:17" x14ac:dyDescent="0.25">
      <c r="P81" s="26" t="s">
        <v>137</v>
      </c>
      <c r="Q81" s="28" t="s">
        <v>61</v>
      </c>
    </row>
    <row r="82" spans="16:17" x14ac:dyDescent="0.25">
      <c r="P82" s="28" t="s">
        <v>68</v>
      </c>
      <c r="Q82" s="26" t="s">
        <v>147</v>
      </c>
    </row>
    <row r="83" spans="16:17" x14ac:dyDescent="0.25">
      <c r="P83" s="26" t="s">
        <v>75</v>
      </c>
      <c r="Q83" s="28" t="s">
        <v>87</v>
      </c>
    </row>
    <row r="84" spans="16:17" x14ac:dyDescent="0.25">
      <c r="P84" s="26" t="s">
        <v>79</v>
      </c>
      <c r="Q84" s="26" t="s">
        <v>63</v>
      </c>
    </row>
    <row r="85" spans="16:17" x14ac:dyDescent="0.25">
      <c r="P85" s="28" t="s">
        <v>99</v>
      </c>
      <c r="Q85" s="28" t="s">
        <v>66</v>
      </c>
    </row>
    <row r="86" spans="16:17" x14ac:dyDescent="0.25">
      <c r="Q86" s="26" t="s">
        <v>64</v>
      </c>
    </row>
    <row r="87" spans="16:17" x14ac:dyDescent="0.25">
      <c r="Q87" s="26" t="s">
        <v>62</v>
      </c>
    </row>
    <row r="88" spans="16:17" x14ac:dyDescent="0.25">
      <c r="Q88" s="28" t="s">
        <v>83</v>
      </c>
    </row>
    <row r="89" spans="16:17" x14ac:dyDescent="0.25">
      <c r="Q89" s="26" t="s">
        <v>137</v>
      </c>
    </row>
    <row r="90" spans="16:17" x14ac:dyDescent="0.25">
      <c r="Q90" s="28" t="s">
        <v>68</v>
      </c>
    </row>
    <row r="91" spans="16:17" x14ac:dyDescent="0.25">
      <c r="Q91" s="26" t="s">
        <v>75</v>
      </c>
    </row>
    <row r="92" spans="16:17" x14ac:dyDescent="0.25">
      <c r="Q92" s="26" t="s">
        <v>79</v>
      </c>
    </row>
    <row r="93" spans="16:17" x14ac:dyDescent="0.25">
      <c r="Q93" s="28" t="s">
        <v>99</v>
      </c>
    </row>
    <row r="215" spans="10:10" x14ac:dyDescent="0.25">
      <c r="J215" t="s">
        <v>219</v>
      </c>
    </row>
    <row r="313" spans="10:10" x14ac:dyDescent="0.25">
      <c r="J313" t="s">
        <v>243</v>
      </c>
    </row>
    <row r="314" spans="10:10" x14ac:dyDescent="0.25">
      <c r="J314" t="s">
        <v>101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workbookViewId="0">
      <selection activeCell="I23" sqref="I23"/>
    </sheetView>
  </sheetViews>
  <sheetFormatPr defaultRowHeight="15" x14ac:dyDescent="0.25"/>
  <cols>
    <col min="1" max="1" width="9.140625" customWidth="1"/>
    <col min="2" max="2" width="9.5703125" customWidth="1"/>
    <col min="3" max="3" width="7.7109375" customWidth="1"/>
    <col min="4" max="4" width="7.140625" customWidth="1"/>
    <col min="5" max="5" width="10.42578125" customWidth="1"/>
    <col min="6" max="6" width="8.140625" customWidth="1"/>
    <col min="7" max="7" width="5.42578125" bestFit="1" customWidth="1"/>
    <col min="8" max="8" width="5" bestFit="1" customWidth="1"/>
  </cols>
  <sheetData>
    <row r="1" spans="1:42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</row>
    <row r="2" spans="1:42" ht="18.75" x14ac:dyDescent="0.3">
      <c r="A2" s="69" t="s">
        <v>207</v>
      </c>
      <c r="B2" s="69"/>
      <c r="C2" s="69"/>
      <c r="D2" s="69"/>
      <c r="E2" s="69"/>
      <c r="F2" s="68"/>
      <c r="G2" s="68"/>
      <c r="H2" s="70"/>
      <c r="I2" s="70"/>
      <c r="J2" s="70"/>
      <c r="K2" s="70"/>
      <c r="L2" s="70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</row>
    <row r="3" spans="1:42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</row>
    <row r="4" spans="1:42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</row>
    <row r="5" spans="1:42" ht="18.75" x14ac:dyDescent="0.3">
      <c r="A5" s="74" t="s">
        <v>208</v>
      </c>
      <c r="B5" s="74"/>
      <c r="C5" s="74"/>
      <c r="D5" s="74"/>
      <c r="E5" s="74"/>
      <c r="F5" s="68"/>
      <c r="G5" s="68"/>
      <c r="H5" s="81" t="s">
        <v>263</v>
      </c>
      <c r="I5" s="81"/>
      <c r="J5" s="81"/>
      <c r="K5" s="81"/>
      <c r="L5" s="82"/>
      <c r="M5" s="82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</row>
    <row r="6" spans="1:42" x14ac:dyDescent="0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</row>
    <row r="7" spans="1:42" x14ac:dyDescent="0.25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</row>
    <row r="8" spans="1:42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</row>
    <row r="9" spans="1:42" ht="18.75" x14ac:dyDescent="0.3">
      <c r="A9" s="75" t="s">
        <v>209</v>
      </c>
      <c r="B9" s="75"/>
      <c r="C9" s="75"/>
      <c r="D9" s="75"/>
      <c r="E9" s="75"/>
      <c r="F9" s="68"/>
      <c r="G9" s="68"/>
      <c r="H9" s="74" t="s">
        <v>262</v>
      </c>
      <c r="I9" s="74"/>
      <c r="J9" s="74"/>
      <c r="K9" s="74"/>
      <c r="L9" s="83"/>
      <c r="M9" s="83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</row>
    <row r="10" spans="1:42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</row>
    <row r="11" spans="1:42" x14ac:dyDescent="0.25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</row>
    <row r="12" spans="1:42" ht="18.75" x14ac:dyDescent="0.3">
      <c r="A12" s="76" t="s">
        <v>211</v>
      </c>
      <c r="B12" s="76"/>
      <c r="C12" s="76"/>
      <c r="D12" s="76"/>
      <c r="E12" s="76"/>
      <c r="F12" s="68"/>
      <c r="G12" s="68"/>
      <c r="H12" s="70"/>
      <c r="I12" s="70"/>
      <c r="J12" s="70"/>
      <c r="K12" s="70"/>
      <c r="L12" s="129"/>
      <c r="M12" s="129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</row>
    <row r="13" spans="1:42" x14ac:dyDescent="0.25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</row>
    <row r="14" spans="1:42" x14ac:dyDescent="0.25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</row>
    <row r="15" spans="1:42" x14ac:dyDescent="0.2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</row>
    <row r="16" spans="1:42" ht="18.75" x14ac:dyDescent="0.3">
      <c r="A16" s="77" t="s">
        <v>212</v>
      </c>
      <c r="B16" s="78"/>
      <c r="C16" s="78"/>
      <c r="D16" s="78"/>
      <c r="E16" s="78"/>
      <c r="F16" s="78"/>
      <c r="G16" s="68"/>
      <c r="H16" s="70"/>
      <c r="I16" s="70"/>
      <c r="J16" s="70"/>
      <c r="K16" s="70"/>
      <c r="L16" s="70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</row>
    <row r="17" spans="1:42" x14ac:dyDescent="0.25">
      <c r="A17" s="68"/>
      <c r="B17" s="68"/>
      <c r="C17" s="68"/>
      <c r="D17" s="68"/>
      <c r="E17" s="68"/>
      <c r="F17" s="68"/>
      <c r="G17" s="68"/>
      <c r="H17" s="71"/>
      <c r="I17" s="71"/>
      <c r="J17" s="71"/>
      <c r="K17" s="71"/>
      <c r="L17" s="71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</row>
    <row r="18" spans="1:42" x14ac:dyDescent="0.25">
      <c r="A18" s="68"/>
      <c r="B18" s="68"/>
      <c r="C18" s="68"/>
      <c r="D18" s="68"/>
      <c r="E18" s="68"/>
      <c r="F18" s="68"/>
      <c r="G18" s="68"/>
      <c r="H18" s="71"/>
      <c r="I18" s="71"/>
      <c r="J18" s="71"/>
      <c r="K18" s="71"/>
      <c r="L18" s="71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</row>
    <row r="19" spans="1:42" x14ac:dyDescent="0.25">
      <c r="A19" s="68"/>
      <c r="B19" s="68"/>
      <c r="C19" s="68"/>
      <c r="D19" s="68"/>
      <c r="E19" s="68"/>
      <c r="F19" s="68"/>
      <c r="G19" s="68"/>
      <c r="H19" s="71"/>
      <c r="I19" s="71"/>
      <c r="J19" s="71"/>
      <c r="K19" s="71"/>
      <c r="L19" s="71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</row>
    <row r="20" spans="1:42" ht="18.75" x14ac:dyDescent="0.3">
      <c r="A20" s="79" t="s">
        <v>210</v>
      </c>
      <c r="B20" s="80"/>
      <c r="C20" s="80"/>
      <c r="D20" s="80"/>
      <c r="E20" s="80"/>
      <c r="F20" s="80"/>
      <c r="G20" s="68"/>
      <c r="H20" s="70"/>
      <c r="I20" s="70"/>
      <c r="J20" s="70"/>
      <c r="K20" s="70"/>
      <c r="L20" s="70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</row>
    <row r="21" spans="1:4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</row>
    <row r="22" spans="1:42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</row>
    <row r="23" spans="1:42" x14ac:dyDescent="0.2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</row>
    <row r="24" spans="1:42" x14ac:dyDescent="0.2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</row>
    <row r="25" spans="1:42" x14ac:dyDescent="0.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</row>
    <row r="26" spans="1:42" x14ac:dyDescent="0.2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</row>
    <row r="27" spans="1:42" x14ac:dyDescent="0.2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</row>
    <row r="28" spans="1:42" x14ac:dyDescent="0.25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</row>
    <row r="29" spans="1:42" x14ac:dyDescent="0.25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</row>
    <row r="30" spans="1:42" x14ac:dyDescent="0.25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</row>
    <row r="31" spans="1:42" x14ac:dyDescent="0.25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</row>
    <row r="32" spans="1:42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</row>
    <row r="33" spans="1:19" x14ac:dyDescent="0.25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</row>
    <row r="34" spans="1:19" x14ac:dyDescent="0.25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</row>
    <row r="35" spans="1:19" x14ac:dyDescent="0.2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</row>
    <row r="36" spans="1:19" x14ac:dyDescent="0.25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</row>
    <row r="37" spans="1:19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</row>
    <row r="38" spans="1:19" x14ac:dyDescent="0.25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</row>
    <row r="39" spans="1:19" x14ac:dyDescent="0.25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</row>
    <row r="40" spans="1:19" x14ac:dyDescent="0.25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</row>
    <row r="41" spans="1:19" x14ac:dyDescent="0.25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</row>
    <row r="42" spans="1:19" x14ac:dyDescent="0.25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</row>
    <row r="43" spans="1:19" x14ac:dyDescent="0.25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</row>
    <row r="44" spans="1:19" x14ac:dyDescent="0.25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</row>
    <row r="45" spans="1:19" x14ac:dyDescent="0.2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</row>
    <row r="46" spans="1:19" x14ac:dyDescent="0.25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</row>
    <row r="47" spans="1:19" x14ac:dyDescent="0.25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</row>
    <row r="48" spans="1:19" x14ac:dyDescent="0.25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</row>
    <row r="49" spans="1:19" x14ac:dyDescent="0.25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</row>
    <row r="50" spans="1:19" x14ac:dyDescent="0.25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</row>
    <row r="51" spans="1:19" x14ac:dyDescent="0.25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</row>
    <row r="52" spans="1:19" x14ac:dyDescent="0.25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</row>
    <row r="53" spans="1:19" x14ac:dyDescent="0.25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</row>
    <row r="54" spans="1:19" x14ac:dyDescent="0.25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</row>
    <row r="55" spans="1:19" x14ac:dyDescent="0.2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</row>
    <row r="56" spans="1:19" x14ac:dyDescent="0.2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</row>
    <row r="60" spans="1:19" x14ac:dyDescent="0.25">
      <c r="C60" t="s">
        <v>34</v>
      </c>
    </row>
    <row r="63" spans="1:19" x14ac:dyDescent="0.25">
      <c r="C63" t="s">
        <v>35</v>
      </c>
    </row>
    <row r="64" spans="1:19" x14ac:dyDescent="0.25">
      <c r="C6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workbookViewId="0">
      <selection activeCell="P10" sqref="P10"/>
    </sheetView>
  </sheetViews>
  <sheetFormatPr defaultRowHeight="15" x14ac:dyDescent="0.25"/>
  <cols>
    <col min="1" max="1" width="21.140625" style="5" customWidth="1"/>
    <col min="2" max="2" width="8.28515625" style="5" customWidth="1"/>
    <col min="3" max="3" width="9" style="5" customWidth="1"/>
    <col min="4" max="4" width="7.42578125" style="5" customWidth="1"/>
    <col min="5" max="5" width="8.28515625" style="5" customWidth="1"/>
    <col min="6" max="6" width="5.42578125" style="5" customWidth="1"/>
    <col min="7" max="7" width="7.85546875" style="5" customWidth="1"/>
    <col min="8" max="8" width="5.28515625" style="5" customWidth="1"/>
    <col min="9" max="9" width="7" style="5" customWidth="1"/>
    <col min="10" max="10" width="6.140625" style="5" customWidth="1"/>
    <col min="11" max="11" width="5.85546875" style="5" customWidth="1"/>
    <col min="12" max="12" width="5.42578125" style="5" customWidth="1"/>
    <col min="13" max="13" width="5.140625" style="5" customWidth="1"/>
    <col min="14" max="14" width="5.28515625" style="5" customWidth="1"/>
    <col min="15" max="15" width="13.85546875" customWidth="1"/>
    <col min="16" max="16" width="14.42578125" customWidth="1"/>
    <col min="17" max="17" width="11.85546875" customWidth="1"/>
    <col min="18" max="18" width="19.140625" customWidth="1"/>
  </cols>
  <sheetData>
    <row r="1" spans="1:21" x14ac:dyDescent="0.25">
      <c r="A1" s="4" t="s">
        <v>0</v>
      </c>
      <c r="B1" s="4" t="s">
        <v>37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46</v>
      </c>
      <c r="H1" s="4" t="s">
        <v>47</v>
      </c>
      <c r="I1" s="4" t="s">
        <v>48</v>
      </c>
      <c r="J1" s="4" t="s">
        <v>174</v>
      </c>
      <c r="K1" s="4" t="s">
        <v>175</v>
      </c>
      <c r="L1" s="4" t="s">
        <v>176</v>
      </c>
      <c r="M1" s="4" t="s">
        <v>6</v>
      </c>
      <c r="N1" s="4" t="s">
        <v>7</v>
      </c>
      <c r="O1" s="4" t="s">
        <v>247</v>
      </c>
      <c r="P1" s="4" t="s">
        <v>248</v>
      </c>
      <c r="Q1" s="4" t="s">
        <v>183</v>
      </c>
      <c r="R1" s="29" t="s">
        <v>200</v>
      </c>
    </row>
    <row r="2" spans="1:21" x14ac:dyDescent="0.25">
      <c r="A2" s="5" t="s">
        <v>50</v>
      </c>
      <c r="B2" s="5">
        <v>17</v>
      </c>
      <c r="C2" s="5">
        <v>17</v>
      </c>
      <c r="D2" s="5">
        <v>3</v>
      </c>
      <c r="E2" s="5">
        <v>618</v>
      </c>
      <c r="F2" s="5" t="s">
        <v>26</v>
      </c>
      <c r="G2" s="5">
        <v>44.14</v>
      </c>
      <c r="H2" s="5">
        <v>427</v>
      </c>
      <c r="I2" s="5">
        <v>210.69</v>
      </c>
      <c r="J2" s="5">
        <v>2</v>
      </c>
      <c r="K2" s="5">
        <v>4</v>
      </c>
      <c r="L2" s="5">
        <v>4</v>
      </c>
      <c r="M2" s="5">
        <v>67</v>
      </c>
      <c r="N2" s="5">
        <v>12</v>
      </c>
      <c r="O2" s="5" t="str">
        <f>IFERROR(VLOOKUP(Table3[[#This Row],[Player]],Table6[Player],1,0),"NA")</f>
        <v>S Dhawan</v>
      </c>
      <c r="P2" s="5">
        <f>IFERROR(VLOOKUP(Table3[[#This Row],[Player]],workbook!J2:O41,4,0),"0")</f>
        <v>5</v>
      </c>
      <c r="Q2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1568</v>
      </c>
      <c r="R2" s="5" t="str">
        <f>IFERROR(VLOOKUP(Table3[[#This Row],[Player]],'2020 Bowlers'!$A$3:$A$50,1,0),"NA")</f>
        <v>NA</v>
      </c>
      <c r="S2" s="169"/>
      <c r="T2" s="169"/>
      <c r="U2" s="50"/>
    </row>
    <row r="3" spans="1:21" x14ac:dyDescent="0.25">
      <c r="A3" s="5" t="s">
        <v>58</v>
      </c>
      <c r="B3" s="5">
        <v>15</v>
      </c>
      <c r="C3" s="5">
        <v>15</v>
      </c>
      <c r="D3" s="5">
        <v>4</v>
      </c>
      <c r="E3" s="5">
        <v>466</v>
      </c>
      <c r="F3" s="5" t="s">
        <v>59</v>
      </c>
      <c r="G3" s="5">
        <v>42.36</v>
      </c>
      <c r="H3" s="5">
        <v>384</v>
      </c>
      <c r="I3" s="5">
        <v>223.63</v>
      </c>
      <c r="J3" s="5">
        <v>0</v>
      </c>
      <c r="K3" s="5">
        <v>3</v>
      </c>
      <c r="L3" s="5">
        <v>0</v>
      </c>
      <c r="M3" s="5">
        <v>23</v>
      </c>
      <c r="N3" s="5">
        <v>11</v>
      </c>
      <c r="O3" s="5" t="str">
        <f>IFERROR(VLOOKUP(Table3[[#This Row],[Player]],Table6[Player],1,0),"NA")</f>
        <v>NA</v>
      </c>
      <c r="P3" s="5" t="str">
        <f>IFERROR(VLOOKUP(Table3[[#This Row],[Player]],workbook!J3:O42,4,0),"0")</f>
        <v>0</v>
      </c>
      <c r="Q3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1069</v>
      </c>
      <c r="R3" s="5" t="str">
        <f>IFERROR(VLOOKUP(Table3[[#This Row],[Player]],'2020 Bowlers'!$A$3:$A$50,1,0),"NA")</f>
        <v>NA</v>
      </c>
      <c r="S3" s="50"/>
      <c r="T3" s="50"/>
      <c r="U3" s="50"/>
    </row>
    <row r="4" spans="1:21" ht="15.75" x14ac:dyDescent="0.25">
      <c r="A4" s="5" t="s">
        <v>49</v>
      </c>
      <c r="B4" s="5">
        <v>14</v>
      </c>
      <c r="C4" s="5">
        <v>14</v>
      </c>
      <c r="D4" s="5">
        <v>2</v>
      </c>
      <c r="E4" s="5">
        <v>670</v>
      </c>
      <c r="F4" s="5" t="s">
        <v>19</v>
      </c>
      <c r="G4" s="5">
        <v>55.83</v>
      </c>
      <c r="H4" s="5">
        <v>518</v>
      </c>
      <c r="I4" s="5">
        <v>129.34</v>
      </c>
      <c r="J4" s="5">
        <v>1</v>
      </c>
      <c r="K4" s="5">
        <v>5</v>
      </c>
      <c r="L4" s="5">
        <v>0</v>
      </c>
      <c r="M4" s="5">
        <v>58</v>
      </c>
      <c r="N4" s="5">
        <v>23</v>
      </c>
      <c r="O4" s="5" t="str">
        <f>IFERROR(VLOOKUP(Table3[[#This Row],[Player]],Table6[Player],1,0),"NA")</f>
        <v>NA</v>
      </c>
      <c r="P4" s="5" t="str">
        <f>IFERROR(VLOOKUP(Table3[[#This Row],[Player]],workbook!J4:O43,4,0),"0")</f>
        <v>0</v>
      </c>
      <c r="Q4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992</v>
      </c>
      <c r="R4" s="5" t="str">
        <f>IFERROR(VLOOKUP(Table3[[#This Row],[Player]],'2020 Bowlers'!$A$3:$A$50,1,0),"NA")</f>
        <v>NA</v>
      </c>
      <c r="S4" s="50"/>
      <c r="T4" s="50"/>
      <c r="U4" s="51"/>
    </row>
    <row r="5" spans="1:21" x14ac:dyDescent="0.25">
      <c r="A5" s="5" t="s">
        <v>51</v>
      </c>
      <c r="B5" s="5">
        <v>16</v>
      </c>
      <c r="C5" s="5">
        <v>16</v>
      </c>
      <c r="D5" s="5">
        <v>2</v>
      </c>
      <c r="E5" s="5">
        <v>548</v>
      </c>
      <c r="F5" s="5" t="s">
        <v>52</v>
      </c>
      <c r="G5" s="5">
        <v>39.14</v>
      </c>
      <c r="H5" s="5">
        <v>407</v>
      </c>
      <c r="I5" s="5">
        <v>134.63999999999999</v>
      </c>
      <c r="J5" s="5">
        <v>0</v>
      </c>
      <c r="K5" s="5">
        <v>4</v>
      </c>
      <c r="L5" s="5">
        <v>0</v>
      </c>
      <c r="M5" s="5">
        <v>52</v>
      </c>
      <c r="N5" s="5">
        <v>14</v>
      </c>
      <c r="O5" s="5" t="str">
        <f>IFERROR(VLOOKUP(Table3[[#This Row],[Player]],Table6[Player],1,0),"NA")</f>
        <v>DA Warner</v>
      </c>
      <c r="P5" s="5">
        <f>IFERROR(VLOOKUP(Table3[[#This Row],[Player]],workbook!J5:O44,4,0),"0")</f>
        <v>12</v>
      </c>
      <c r="Q5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876</v>
      </c>
      <c r="R5" s="5" t="str">
        <f>IFERROR(VLOOKUP(Table3[[#This Row],[Player]],'2020 Bowlers'!$A$3:$A$50,1,0),"NA")</f>
        <v>NA</v>
      </c>
    </row>
    <row r="6" spans="1:21" x14ac:dyDescent="0.25">
      <c r="A6" s="5" t="s">
        <v>54</v>
      </c>
      <c r="B6" s="5">
        <v>14</v>
      </c>
      <c r="C6" s="5">
        <v>13</v>
      </c>
      <c r="D6" s="5">
        <v>4</v>
      </c>
      <c r="E6" s="5">
        <v>516</v>
      </c>
      <c r="F6" s="5">
        <v>99</v>
      </c>
      <c r="G6" s="5">
        <v>57.33</v>
      </c>
      <c r="H6" s="5">
        <v>354</v>
      </c>
      <c r="I6" s="5">
        <v>145.76</v>
      </c>
      <c r="J6" s="5">
        <v>0</v>
      </c>
      <c r="K6" s="5">
        <v>4</v>
      </c>
      <c r="L6" s="5">
        <v>1</v>
      </c>
      <c r="M6" s="5">
        <v>36</v>
      </c>
      <c r="N6" s="5">
        <v>30</v>
      </c>
      <c r="O6" s="5" t="str">
        <f>IFERROR(VLOOKUP(Table3[[#This Row],[Player]],Table6[Player],1,0),"NA")</f>
        <v>NA</v>
      </c>
      <c r="P6" s="5" t="str">
        <f>IFERROR(VLOOKUP(Table3[[#This Row],[Player]],workbook!J6:O45,4,0),"0")</f>
        <v>0</v>
      </c>
      <c r="Q6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772</v>
      </c>
      <c r="R6" s="5" t="str">
        <f>IFERROR(VLOOKUP(Table3[[#This Row],[Player]],'2020 Bowlers'!$A$3:$A$50,1,0),"NA")</f>
        <v>NA</v>
      </c>
    </row>
    <row r="7" spans="1:21" x14ac:dyDescent="0.25">
      <c r="A7" s="5" t="s">
        <v>55</v>
      </c>
      <c r="B7" s="5">
        <v>16</v>
      </c>
      <c r="C7" s="5">
        <v>16</v>
      </c>
      <c r="D7" s="5">
        <v>2</v>
      </c>
      <c r="E7" s="5">
        <v>503</v>
      </c>
      <c r="F7" s="5" t="s">
        <v>29</v>
      </c>
      <c r="G7" s="5">
        <v>35.92</v>
      </c>
      <c r="H7" s="5">
        <v>358</v>
      </c>
      <c r="I7" s="5">
        <v>140.5</v>
      </c>
      <c r="J7" s="5">
        <v>0</v>
      </c>
      <c r="K7" s="5">
        <v>4</v>
      </c>
      <c r="L7" s="5">
        <v>1</v>
      </c>
      <c r="M7" s="5">
        <v>46</v>
      </c>
      <c r="N7" s="5">
        <v>22</v>
      </c>
      <c r="O7" s="5" t="str">
        <f>IFERROR(VLOOKUP(Table3[[#This Row],[Player]],Table6[Player],1,0),"NA")</f>
        <v>NA</v>
      </c>
      <c r="P7" s="5" t="str">
        <f>IFERROR(VLOOKUP(Table3[[#This Row],[Player]],workbook!J7:O46,4,0),"0")</f>
        <v>0</v>
      </c>
      <c r="Q7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757</v>
      </c>
      <c r="R7" s="5" t="str">
        <f>IFERROR(VLOOKUP(Table3[[#This Row],[Player]],'2020 Bowlers'!$A$3:$A$50,1,0),"NA")</f>
        <v>NA</v>
      </c>
    </row>
    <row r="8" spans="1:21" x14ac:dyDescent="0.25">
      <c r="A8" s="5" t="s">
        <v>56</v>
      </c>
      <c r="B8" s="5">
        <v>16</v>
      </c>
      <c r="C8" s="5">
        <v>15</v>
      </c>
      <c r="D8" s="5">
        <v>3</v>
      </c>
      <c r="E8" s="5">
        <v>480</v>
      </c>
      <c r="F8" s="5" t="s">
        <v>22</v>
      </c>
      <c r="G8" s="5">
        <v>40</v>
      </c>
      <c r="H8" s="5">
        <v>331</v>
      </c>
      <c r="I8" s="5">
        <v>145.01</v>
      </c>
      <c r="J8" s="5">
        <v>0</v>
      </c>
      <c r="K8" s="5">
        <v>4</v>
      </c>
      <c r="L8" s="5">
        <v>2</v>
      </c>
      <c r="M8" s="5">
        <v>61</v>
      </c>
      <c r="N8" s="5">
        <v>11</v>
      </c>
      <c r="O8" s="5" t="str">
        <f>IFERROR(VLOOKUP(Table3[[#This Row],[Player]],Table6[Player],1,0),"NA")</f>
        <v>SA Yadav</v>
      </c>
      <c r="P8" s="5">
        <f>IFERROR(VLOOKUP(Table3[[#This Row],[Player]],workbook!J8:O47,4,0),"0")</f>
        <v>8</v>
      </c>
      <c r="Q8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787</v>
      </c>
      <c r="R8" s="5" t="str">
        <f>IFERROR(VLOOKUP(Table3[[#This Row],[Player]],'2020 Bowlers'!$A$3:$A$50,1,0),"NA")</f>
        <v>NA</v>
      </c>
    </row>
    <row r="9" spans="1:21" x14ac:dyDescent="0.25">
      <c r="A9" s="5" t="s">
        <v>53</v>
      </c>
      <c r="B9" s="5">
        <v>17</v>
      </c>
      <c r="C9" s="5">
        <v>17</v>
      </c>
      <c r="D9" s="5">
        <v>2</v>
      </c>
      <c r="E9" s="5">
        <v>519</v>
      </c>
      <c r="F9" s="5" t="s">
        <v>8</v>
      </c>
      <c r="G9" s="5">
        <v>34.6</v>
      </c>
      <c r="H9" s="5">
        <v>421</v>
      </c>
      <c r="I9" s="5">
        <v>123.27</v>
      </c>
      <c r="J9" s="5">
        <v>0</v>
      </c>
      <c r="K9" s="5">
        <v>3</v>
      </c>
      <c r="L9" s="5">
        <v>0</v>
      </c>
      <c r="M9" s="5">
        <v>40</v>
      </c>
      <c r="N9" s="5">
        <v>16</v>
      </c>
      <c r="O9" s="5" t="str">
        <f>IFERROR(VLOOKUP(Table3[[#This Row],[Player]],Table6[Player],1,0),"NA")</f>
        <v>SS Iyer</v>
      </c>
      <c r="P9" s="5" t="str">
        <f>IFERROR(VLOOKUP(Table3[[#This Row],[Player]],workbook!J9:O48,4,0),"0")</f>
        <v>0</v>
      </c>
      <c r="Q9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727</v>
      </c>
      <c r="R9" s="5" t="str">
        <f>IFERROR(VLOOKUP(Table3[[#This Row],[Player]],'2020 Bowlers'!$A$3:$A$50,1,0),"NA")</f>
        <v>NA</v>
      </c>
    </row>
    <row r="10" spans="1:21" x14ac:dyDescent="0.25">
      <c r="A10" s="5" t="s">
        <v>57</v>
      </c>
      <c r="B10" s="5">
        <v>15</v>
      </c>
      <c r="C10" s="5">
        <v>15</v>
      </c>
      <c r="D10" s="5">
        <v>0</v>
      </c>
      <c r="E10" s="5">
        <v>473</v>
      </c>
      <c r="F10" s="5">
        <v>74</v>
      </c>
      <c r="G10" s="5">
        <v>31.53</v>
      </c>
      <c r="H10" s="5">
        <v>379</v>
      </c>
      <c r="I10" s="5">
        <v>124.8</v>
      </c>
      <c r="J10" s="5">
        <v>0</v>
      </c>
      <c r="K10" s="5">
        <v>5</v>
      </c>
      <c r="L10" s="5">
        <v>0</v>
      </c>
      <c r="M10" s="5">
        <v>51</v>
      </c>
      <c r="N10" s="5">
        <v>8</v>
      </c>
      <c r="O10" s="5" t="str">
        <f>IFERROR(VLOOKUP(Table3[[#This Row],[Player]],Table6[Player],1,0),"NA")</f>
        <v>D Padikkal</v>
      </c>
      <c r="P10" s="5">
        <f>IFERROR(VLOOKUP(Table3[[#This Row],[Player]],workbook!J10:O49,4,0),"0")</f>
        <v>8</v>
      </c>
      <c r="Q10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754</v>
      </c>
      <c r="R10" s="5" t="str">
        <f>IFERROR(VLOOKUP(Table3[[#This Row],[Player]],'2020 Bowlers'!$A$3:$A$50,1,0),"NA")</f>
        <v>NA</v>
      </c>
    </row>
    <row r="11" spans="1:21" x14ac:dyDescent="0.25">
      <c r="A11" s="5" t="s">
        <v>60</v>
      </c>
      <c r="B11" s="5">
        <v>15</v>
      </c>
      <c r="C11" s="5">
        <v>14</v>
      </c>
      <c r="D11" s="5">
        <v>4</v>
      </c>
      <c r="E11" s="5">
        <v>454</v>
      </c>
      <c r="F11" s="5" t="s">
        <v>15</v>
      </c>
      <c r="G11" s="5">
        <v>45.4</v>
      </c>
      <c r="H11" s="5">
        <v>286</v>
      </c>
      <c r="I11" s="5">
        <v>158.74</v>
      </c>
      <c r="J11" s="5">
        <v>0</v>
      </c>
      <c r="K11" s="5">
        <v>5</v>
      </c>
      <c r="L11" s="5">
        <v>1</v>
      </c>
      <c r="M11" s="5">
        <v>33</v>
      </c>
      <c r="N11" s="5">
        <v>23</v>
      </c>
      <c r="O11" s="5" t="str">
        <f>IFERROR(VLOOKUP(Table3[[#This Row],[Player]],Table6[Player],1,0),"NA")</f>
        <v>NA</v>
      </c>
      <c r="P11" s="5" t="str">
        <f>IFERROR(VLOOKUP(Table3[[#This Row],[Player]],workbook!J11:O50,4,0),"0")</f>
        <v>0</v>
      </c>
      <c r="Q11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681</v>
      </c>
      <c r="R11" s="5" t="str">
        <f>IFERROR(VLOOKUP(Table3[[#This Row],[Player]],'2020 Bowlers'!$A$3:$A$50,1,0),"NA")</f>
        <v>NA</v>
      </c>
    </row>
    <row r="12" spans="1:21" x14ac:dyDescent="0.25">
      <c r="A12" s="5" t="s">
        <v>61</v>
      </c>
      <c r="B12" s="5">
        <v>13</v>
      </c>
      <c r="C12" s="5">
        <v>13</v>
      </c>
      <c r="D12" s="5">
        <v>2</v>
      </c>
      <c r="E12" s="5">
        <v>449</v>
      </c>
      <c r="F12" s="5" t="s">
        <v>20</v>
      </c>
      <c r="G12" s="5">
        <v>40.81</v>
      </c>
      <c r="H12" s="5">
        <v>319</v>
      </c>
      <c r="I12" s="5">
        <v>140.75</v>
      </c>
      <c r="J12" s="5">
        <v>0</v>
      </c>
      <c r="K12" s="5">
        <v>4</v>
      </c>
      <c r="L12" s="5">
        <v>1</v>
      </c>
      <c r="M12" s="5">
        <v>42</v>
      </c>
      <c r="N12" s="5">
        <v>14</v>
      </c>
      <c r="O12" s="5" t="str">
        <f>IFERROR(VLOOKUP(Table3[[#This Row],[Player]],Table6[Player],1,0),"NA")</f>
        <v>F du Plessis</v>
      </c>
      <c r="P12" s="5">
        <f>IFERROR(VLOOKUP(Table3[[#This Row],[Player]],workbook!J12:O51,4,0),"0")</f>
        <v>12</v>
      </c>
      <c r="Q12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743</v>
      </c>
      <c r="R12" s="5" t="str">
        <f>IFERROR(VLOOKUP(Table3[[#This Row],[Player]],'2020 Bowlers'!$A$3:$A$50,1,0),"NA")</f>
        <v>NA</v>
      </c>
    </row>
    <row r="13" spans="1:21" x14ac:dyDescent="0.25">
      <c r="A13" s="5" t="s">
        <v>64</v>
      </c>
      <c r="B13" s="5">
        <v>11</v>
      </c>
      <c r="C13" s="5">
        <v>11</v>
      </c>
      <c r="D13" s="5">
        <v>0</v>
      </c>
      <c r="E13" s="5">
        <v>424</v>
      </c>
      <c r="F13" s="5">
        <v>106</v>
      </c>
      <c r="G13" s="5">
        <v>38.54</v>
      </c>
      <c r="H13" s="5">
        <v>271</v>
      </c>
      <c r="I13" s="5">
        <v>156.44999999999999</v>
      </c>
      <c r="J13" s="5">
        <v>1</v>
      </c>
      <c r="K13" s="5">
        <v>2</v>
      </c>
      <c r="L13" s="5">
        <v>0</v>
      </c>
      <c r="M13" s="5">
        <v>44</v>
      </c>
      <c r="N13" s="5">
        <v>15</v>
      </c>
      <c r="O13" s="5" t="str">
        <f>IFERROR(VLOOKUP(Table3[[#This Row],[Player]],Table6[Player],1,0),"NA")</f>
        <v>MA Agarwal</v>
      </c>
      <c r="P13" s="5">
        <f>IFERROR(VLOOKUP(Table3[[#This Row],[Player]],workbook!J13:O52,4,0),"0")</f>
        <v>6</v>
      </c>
      <c r="Q13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690</v>
      </c>
      <c r="R13" s="5" t="str">
        <f>IFERROR(VLOOKUP(Table3[[#This Row],[Player]],'2020 Bowlers'!$A$3:$A$50,1,0),"NA")</f>
        <v>NA</v>
      </c>
    </row>
    <row r="14" spans="1:21" x14ac:dyDescent="0.25">
      <c r="A14" s="5" t="s">
        <v>62</v>
      </c>
      <c r="B14" s="5">
        <v>14</v>
      </c>
      <c r="C14" s="5">
        <v>14</v>
      </c>
      <c r="D14" s="5">
        <v>1</v>
      </c>
      <c r="E14" s="5">
        <v>440</v>
      </c>
      <c r="F14" s="5" t="s">
        <v>16</v>
      </c>
      <c r="G14" s="5">
        <v>33.840000000000003</v>
      </c>
      <c r="H14" s="5">
        <v>373</v>
      </c>
      <c r="I14" s="5">
        <v>117.96</v>
      </c>
      <c r="J14" s="5">
        <v>0</v>
      </c>
      <c r="K14" s="5">
        <v>3</v>
      </c>
      <c r="L14" s="5">
        <v>0</v>
      </c>
      <c r="M14" s="5">
        <v>44</v>
      </c>
      <c r="N14" s="5">
        <v>9</v>
      </c>
      <c r="O14" s="5" t="str">
        <f>IFERROR(VLOOKUP(Table3[[#This Row],[Player]],Table6[Player],1,0),"NA")</f>
        <v>Shubman Gill</v>
      </c>
      <c r="P14" s="5" t="str">
        <f>IFERROR(VLOOKUP(Table3[[#This Row],[Player]],workbook!J14:O53,4,0),"0")</f>
        <v>0</v>
      </c>
      <c r="Q14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632</v>
      </c>
      <c r="R14" s="5" t="str">
        <f>IFERROR(VLOOKUP(Table3[[#This Row],[Player]],'2020 Bowlers'!$A$3:$A$50,1,0),"NA")</f>
        <v>NA</v>
      </c>
    </row>
    <row r="15" spans="1:21" x14ac:dyDescent="0.25">
      <c r="A15" s="5" t="s">
        <v>63</v>
      </c>
      <c r="B15" s="5">
        <v>16</v>
      </c>
      <c r="C15" s="5">
        <v>15</v>
      </c>
      <c r="D15" s="5">
        <v>2</v>
      </c>
      <c r="E15" s="5">
        <v>425</v>
      </c>
      <c r="F15" s="5" t="s">
        <v>25</v>
      </c>
      <c r="G15" s="5">
        <v>32.69</v>
      </c>
      <c r="H15" s="5">
        <v>333</v>
      </c>
      <c r="I15" s="5">
        <v>127.62</v>
      </c>
      <c r="J15" s="5">
        <v>0</v>
      </c>
      <c r="K15" s="5">
        <v>3</v>
      </c>
      <c r="L15" s="5">
        <v>0</v>
      </c>
      <c r="M15" s="5">
        <v>35</v>
      </c>
      <c r="N15" s="5">
        <v>18</v>
      </c>
      <c r="O15" s="5" t="str">
        <f>IFERROR(VLOOKUP(Table3[[#This Row],[Player]],Table6[Player],1,0),"NA")</f>
        <v>MK Pandey</v>
      </c>
      <c r="P15" s="5">
        <f>IFERROR(VLOOKUP(Table3[[#This Row],[Player]],workbook!J15:O54,4,0),"0")</f>
        <v>7</v>
      </c>
      <c r="Q15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675</v>
      </c>
      <c r="R15" s="5" t="str">
        <f>IFERROR(VLOOKUP(Table3[[#This Row],[Player]],'2020 Bowlers'!$A$3:$A$50,1,0),"NA")</f>
        <v>NA</v>
      </c>
    </row>
    <row r="16" spans="1:21" x14ac:dyDescent="0.25">
      <c r="A16" s="5" t="s">
        <v>65</v>
      </c>
      <c r="B16" s="5">
        <v>14</v>
      </c>
      <c r="C16" s="5">
        <v>14</v>
      </c>
      <c r="D16" s="5">
        <v>4</v>
      </c>
      <c r="E16" s="5">
        <v>418</v>
      </c>
      <c r="F16" s="5" t="s">
        <v>28</v>
      </c>
      <c r="G16" s="5">
        <v>41.8</v>
      </c>
      <c r="H16" s="5">
        <v>302</v>
      </c>
      <c r="I16" s="5">
        <v>138.41</v>
      </c>
      <c r="J16" s="5">
        <v>0</v>
      </c>
      <c r="K16" s="5">
        <v>1</v>
      </c>
      <c r="L16" s="5">
        <v>0</v>
      </c>
      <c r="M16" s="5">
        <v>32</v>
      </c>
      <c r="N16" s="5">
        <v>24</v>
      </c>
      <c r="O16" s="5" t="str">
        <f>IFERROR(VLOOKUP(Table3[[#This Row],[Player]],Table6[Player],1,0),"NA")</f>
        <v>NA</v>
      </c>
      <c r="P16" s="5" t="str">
        <f>IFERROR(VLOOKUP(Table3[[#This Row],[Player]],workbook!J16:O55,4,0),"0")</f>
        <v>0</v>
      </c>
      <c r="Q16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618</v>
      </c>
      <c r="R16" s="5" t="str">
        <f>IFERROR(VLOOKUP(Table3[[#This Row],[Player]],'2020 Bowlers'!$A$3:$A$50,1,0),"NA")</f>
        <v>NA</v>
      </c>
    </row>
    <row r="17" spans="1:18" x14ac:dyDescent="0.25">
      <c r="A17" s="5" t="s">
        <v>66</v>
      </c>
      <c r="B17" s="5">
        <v>14</v>
      </c>
      <c r="C17" s="5">
        <v>14</v>
      </c>
      <c r="D17" s="5">
        <v>1</v>
      </c>
      <c r="E17" s="5">
        <v>375</v>
      </c>
      <c r="F17" s="5">
        <v>85</v>
      </c>
      <c r="G17" s="5">
        <v>28.84</v>
      </c>
      <c r="H17" s="5">
        <v>236</v>
      </c>
      <c r="I17" s="5">
        <v>158.88999999999999</v>
      </c>
      <c r="J17" s="5">
        <v>0</v>
      </c>
      <c r="K17" s="5">
        <v>3</v>
      </c>
      <c r="L17" s="5">
        <v>2</v>
      </c>
      <c r="M17" s="5">
        <v>21</v>
      </c>
      <c r="N17" s="5">
        <v>26</v>
      </c>
      <c r="O17" s="5" t="str">
        <f>IFERROR(VLOOKUP(Table3[[#This Row],[Player]],Table6[Player],1,0),"NA")</f>
        <v>SV Samson</v>
      </c>
      <c r="P17" s="5" t="str">
        <f>IFERROR(VLOOKUP(Table3[[#This Row],[Player]],workbook!J17:O56,4,0),"0")</f>
        <v>0</v>
      </c>
      <c r="Q17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558</v>
      </c>
      <c r="R17" s="5" t="str">
        <f>IFERROR(VLOOKUP(Table3[[#This Row],[Player]],'2020 Bowlers'!$A$3:$A$50,1,0),"NA")</f>
        <v>NA</v>
      </c>
    </row>
    <row r="18" spans="1:18" x14ac:dyDescent="0.25">
      <c r="A18" s="5" t="s">
        <v>69</v>
      </c>
      <c r="B18" s="5">
        <v>14</v>
      </c>
      <c r="C18" s="5">
        <v>14</v>
      </c>
      <c r="D18" s="5">
        <v>0</v>
      </c>
      <c r="E18" s="5">
        <v>352</v>
      </c>
      <c r="F18" s="5">
        <v>87</v>
      </c>
      <c r="G18" s="5">
        <v>25.14</v>
      </c>
      <c r="H18" s="5">
        <v>254</v>
      </c>
      <c r="I18" s="5">
        <v>138.58000000000001</v>
      </c>
      <c r="J18" s="5">
        <v>0</v>
      </c>
      <c r="K18" s="5">
        <v>3</v>
      </c>
      <c r="L18" s="5">
        <v>3</v>
      </c>
      <c r="M18" s="5">
        <v>43</v>
      </c>
      <c r="N18" s="5">
        <v>12</v>
      </c>
      <c r="O18" s="5" t="str">
        <f>IFERROR(VLOOKUP(Table3[[#This Row],[Player]],Table6[Player],1,0),"NA")</f>
        <v>NA</v>
      </c>
      <c r="P18" s="5" t="str">
        <f>IFERROR(VLOOKUP(Table3[[#This Row],[Player]],workbook!J18:O57,4,0),"0")</f>
        <v>0</v>
      </c>
      <c r="Q18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541</v>
      </c>
      <c r="R18" s="5" t="str">
        <f>IFERROR(VLOOKUP(Table3[[#This Row],[Player]],'2020 Bowlers'!$A$3:$A$50,1,0),"NA")</f>
        <v>NA</v>
      </c>
    </row>
    <row r="19" spans="1:18" x14ac:dyDescent="0.25">
      <c r="A19" s="5" t="s">
        <v>68</v>
      </c>
      <c r="B19" s="5">
        <v>14</v>
      </c>
      <c r="C19" s="5">
        <v>14</v>
      </c>
      <c r="D19" s="5">
        <v>4</v>
      </c>
      <c r="E19" s="5">
        <v>353</v>
      </c>
      <c r="F19" s="5">
        <v>77</v>
      </c>
      <c r="G19" s="5">
        <v>35.299999999999997</v>
      </c>
      <c r="H19" s="5">
        <v>208</v>
      </c>
      <c r="I19" s="5">
        <v>169.71</v>
      </c>
      <c r="J19" s="5">
        <v>0</v>
      </c>
      <c r="K19" s="5">
        <v>2</v>
      </c>
      <c r="L19" s="5">
        <v>1</v>
      </c>
      <c r="M19" s="5">
        <v>23</v>
      </c>
      <c r="N19" s="5">
        <v>25</v>
      </c>
      <c r="O19" s="5" t="str">
        <f>IFERROR(VLOOKUP(Table3[[#This Row],[Player]],Table6[Player],1,0),"NA")</f>
        <v>N Pooran</v>
      </c>
      <c r="P19" s="5" t="str">
        <f>IFERROR(VLOOKUP(Table3[[#This Row],[Player]],workbook!J19:O58,4,0),"0")</f>
        <v>0</v>
      </c>
      <c r="Q19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534</v>
      </c>
      <c r="R19" s="5" t="str">
        <f>IFERROR(VLOOKUP(Table3[[#This Row],[Player]],'2020 Bowlers'!$A$3:$A$50,1,0),"NA")</f>
        <v>NA</v>
      </c>
    </row>
    <row r="20" spans="1:18" x14ac:dyDescent="0.25">
      <c r="A20" s="5" t="s">
        <v>70</v>
      </c>
      <c r="B20" s="5">
        <v>17</v>
      </c>
      <c r="C20" s="5">
        <v>17</v>
      </c>
      <c r="D20" s="5">
        <v>3</v>
      </c>
      <c r="E20" s="5">
        <v>352</v>
      </c>
      <c r="F20" s="5">
        <v>65</v>
      </c>
      <c r="G20" s="5">
        <v>25.14</v>
      </c>
      <c r="H20" s="5">
        <v>237</v>
      </c>
      <c r="I20" s="5">
        <v>148.52000000000001</v>
      </c>
      <c r="J20" s="5">
        <v>0</v>
      </c>
      <c r="K20" s="5">
        <v>3</v>
      </c>
      <c r="L20" s="5">
        <v>1</v>
      </c>
      <c r="M20" s="5">
        <v>31</v>
      </c>
      <c r="N20" s="5">
        <v>16</v>
      </c>
      <c r="O20" s="5" t="str">
        <f>IFERROR(VLOOKUP(Table3[[#This Row],[Player]],Table6[Player],1,0),"NA")</f>
        <v>NA</v>
      </c>
      <c r="P20" s="5" t="str">
        <f>IFERROR(VLOOKUP(Table3[[#This Row],[Player]],workbook!J20:O59,4,0),"0")</f>
        <v>0</v>
      </c>
      <c r="Q20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529</v>
      </c>
      <c r="R20" s="5" t="str">
        <f>IFERROR(VLOOKUP(Table3[[#This Row],[Player]],'2020 Bowlers'!$A$3:$A$50,1,0),"NA")</f>
        <v>MP Stoinis</v>
      </c>
    </row>
    <row r="21" spans="1:18" x14ac:dyDescent="0.25">
      <c r="A21" s="5" t="s">
        <v>71</v>
      </c>
      <c r="B21" s="5">
        <v>11</v>
      </c>
      <c r="C21" s="5">
        <v>11</v>
      </c>
      <c r="D21" s="5">
        <v>0</v>
      </c>
      <c r="E21" s="5">
        <v>345</v>
      </c>
      <c r="F21" s="5">
        <v>97</v>
      </c>
      <c r="G21" s="5">
        <v>31.36</v>
      </c>
      <c r="H21" s="5">
        <v>272</v>
      </c>
      <c r="I21" s="5">
        <v>126.83</v>
      </c>
      <c r="J21" s="5">
        <v>0</v>
      </c>
      <c r="K21" s="5">
        <v>3</v>
      </c>
      <c r="L21" s="5">
        <v>1</v>
      </c>
      <c r="M21" s="5">
        <v>31</v>
      </c>
      <c r="N21" s="5">
        <v>13</v>
      </c>
      <c r="O21" s="5" t="str">
        <f>IFERROR(VLOOKUP(Table3[[#This Row],[Player]],Table6[Player],1,0),"NA")</f>
        <v>NA</v>
      </c>
      <c r="P21" s="5" t="str">
        <f>IFERROR(VLOOKUP(Table3[[#This Row],[Player]],workbook!J21:O60,4,0),"0")</f>
        <v>0</v>
      </c>
      <c r="Q21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510</v>
      </c>
      <c r="R21" s="5" t="str">
        <f>IFERROR(VLOOKUP(Table3[[#This Row],[Player]],'2020 Bowlers'!$A$3:$A$50,1,0),"NA")</f>
        <v>NA</v>
      </c>
    </row>
    <row r="22" spans="1:18" x14ac:dyDescent="0.25">
      <c r="A22" s="5" t="s">
        <v>73</v>
      </c>
      <c r="B22" s="5">
        <v>12</v>
      </c>
      <c r="C22" s="5">
        <v>12</v>
      </c>
      <c r="D22" s="5">
        <v>0</v>
      </c>
      <c r="E22" s="5">
        <v>332</v>
      </c>
      <c r="F22" s="5">
        <v>80</v>
      </c>
      <c r="G22" s="5">
        <v>27.66</v>
      </c>
      <c r="H22" s="5">
        <v>260</v>
      </c>
      <c r="I22" s="5">
        <v>127.69</v>
      </c>
      <c r="J22" s="5">
        <v>0</v>
      </c>
      <c r="K22" s="5">
        <v>3</v>
      </c>
      <c r="L22" s="5">
        <v>1</v>
      </c>
      <c r="M22" s="5">
        <v>27</v>
      </c>
      <c r="N22" s="5">
        <v>19</v>
      </c>
      <c r="O22" s="5" t="str">
        <f>IFERROR(VLOOKUP(Table3[[#This Row],[Player]],Table6[Player],1,0),"NA")</f>
        <v>RG Sharma</v>
      </c>
      <c r="P22" s="5" t="str">
        <f>IFERROR(VLOOKUP(Table3[[#This Row],[Player]],workbook!J22:O61,4,0),"0")</f>
        <v>0</v>
      </c>
      <c r="Q22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509</v>
      </c>
      <c r="R22" s="5" t="str">
        <f>IFERROR(VLOOKUP(Table3[[#This Row],[Player]],'2020 Bowlers'!$A$3:$A$50,1,0),"NA")</f>
        <v>NA</v>
      </c>
    </row>
    <row r="23" spans="1:18" x14ac:dyDescent="0.25">
      <c r="A23" s="5" t="s">
        <v>67</v>
      </c>
      <c r="B23" s="5">
        <v>12</v>
      </c>
      <c r="C23" s="5">
        <v>11</v>
      </c>
      <c r="D23" s="5">
        <v>2</v>
      </c>
      <c r="E23" s="5">
        <v>359</v>
      </c>
      <c r="F23" s="5">
        <v>71</v>
      </c>
      <c r="G23" s="5">
        <v>39.880000000000003</v>
      </c>
      <c r="H23" s="5">
        <v>282</v>
      </c>
      <c r="I23" s="5">
        <v>127.3</v>
      </c>
      <c r="J23" s="5">
        <v>0</v>
      </c>
      <c r="K23" s="5">
        <v>1</v>
      </c>
      <c r="L23" s="5">
        <v>0</v>
      </c>
      <c r="M23" s="5">
        <v>30</v>
      </c>
      <c r="N23" s="5">
        <v>12</v>
      </c>
      <c r="O23" s="5" t="str">
        <f>IFERROR(VLOOKUP(Table3[[#This Row],[Player]],Table6[Player],1,0),"NA")</f>
        <v>NA</v>
      </c>
      <c r="P23" s="5" t="str">
        <f>IFERROR(VLOOKUP(Table3[[#This Row],[Player]],workbook!J23:O62,4,0),"0")</f>
        <v>0</v>
      </c>
      <c r="Q23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505</v>
      </c>
      <c r="R23" s="5" t="str">
        <f>IFERROR(VLOOKUP(Table3[[#This Row],[Player]],'2020 Bowlers'!$A$3:$A$50,1,0),"NA")</f>
        <v>NA</v>
      </c>
    </row>
    <row r="24" spans="1:18" x14ac:dyDescent="0.25">
      <c r="A24" s="5" t="s">
        <v>74</v>
      </c>
      <c r="B24" s="5">
        <v>13</v>
      </c>
      <c r="C24" s="5">
        <v>12</v>
      </c>
      <c r="D24" s="5">
        <v>2</v>
      </c>
      <c r="E24" s="5">
        <v>328</v>
      </c>
      <c r="F24" s="5" t="s">
        <v>16</v>
      </c>
      <c r="G24" s="5">
        <v>32.799999999999997</v>
      </c>
      <c r="H24" s="5">
        <v>227</v>
      </c>
      <c r="I24" s="5">
        <v>144.49</v>
      </c>
      <c r="J24" s="5">
        <v>0</v>
      </c>
      <c r="K24" s="5">
        <v>2</v>
      </c>
      <c r="L24" s="5">
        <v>0</v>
      </c>
      <c r="M24" s="5">
        <v>27</v>
      </c>
      <c r="N24" s="5">
        <v>16</v>
      </c>
      <c r="O24" s="5" t="str">
        <f>IFERROR(VLOOKUP(Table3[[#This Row],[Player]],Table6[Player],1,0),"NA")</f>
        <v>NA</v>
      </c>
      <c r="P24" s="5" t="str">
        <f>IFERROR(VLOOKUP(Table3[[#This Row],[Player]],workbook!J24:O63,4,0),"0")</f>
        <v>0</v>
      </c>
      <c r="Q24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489</v>
      </c>
      <c r="R24" s="5" t="str">
        <f>IFERROR(VLOOKUP(Table3[[#This Row],[Player]],'2020 Bowlers'!$A$3:$A$50,1,0),"NA")</f>
        <v>NA</v>
      </c>
    </row>
    <row r="25" spans="1:18" x14ac:dyDescent="0.25">
      <c r="A25" s="5" t="s">
        <v>72</v>
      </c>
      <c r="B25" s="5">
        <v>14</v>
      </c>
      <c r="C25" s="5">
        <v>14</v>
      </c>
      <c r="D25" s="5">
        <v>3</v>
      </c>
      <c r="E25" s="5">
        <v>343</v>
      </c>
      <c r="F25" s="5">
        <v>56</v>
      </c>
      <c r="G25" s="5">
        <v>31.18</v>
      </c>
      <c r="H25" s="5">
        <v>301</v>
      </c>
      <c r="I25" s="5">
        <v>113.95</v>
      </c>
      <c r="J25" s="5">
        <v>0</v>
      </c>
      <c r="K25" s="5">
        <v>1</v>
      </c>
      <c r="L25" s="5">
        <v>0</v>
      </c>
      <c r="M25" s="5">
        <v>31</v>
      </c>
      <c r="N25" s="5">
        <v>9</v>
      </c>
      <c r="O25" s="5" t="str">
        <f>IFERROR(VLOOKUP(Table3[[#This Row],[Player]],Table6[Player],1,0),"NA")</f>
        <v>NA</v>
      </c>
      <c r="P25" s="5" t="str">
        <f>IFERROR(VLOOKUP(Table3[[#This Row],[Player]],workbook!J25:O64,4,0),"0")</f>
        <v>0</v>
      </c>
      <c r="Q25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480</v>
      </c>
      <c r="R25" s="5" t="str">
        <f>IFERROR(VLOOKUP(Table3[[#This Row],[Player]],'2020 Bowlers'!$A$3:$A$50,1,0),"NA")</f>
        <v>NA</v>
      </c>
    </row>
    <row r="26" spans="1:18" x14ac:dyDescent="0.25">
      <c r="A26" s="5" t="s">
        <v>76</v>
      </c>
      <c r="B26" s="5">
        <v>14</v>
      </c>
      <c r="C26" s="5">
        <v>14</v>
      </c>
      <c r="D26" s="5">
        <v>2</v>
      </c>
      <c r="E26" s="5">
        <v>311</v>
      </c>
      <c r="F26" s="5">
        <v>69</v>
      </c>
      <c r="G26" s="5">
        <v>25.91</v>
      </c>
      <c r="H26" s="5">
        <v>237</v>
      </c>
      <c r="I26" s="5">
        <v>131.22</v>
      </c>
      <c r="J26" s="5">
        <v>0</v>
      </c>
      <c r="K26" s="5">
        <v>3</v>
      </c>
      <c r="L26" s="5">
        <v>0</v>
      </c>
      <c r="M26" s="5">
        <v>32</v>
      </c>
      <c r="N26" s="5">
        <v>9</v>
      </c>
      <c r="O26" s="5" t="str">
        <f>IFERROR(VLOOKUP(Table3[[#This Row],[Player]],Table6[Player],1,0),"NA")</f>
        <v>NA</v>
      </c>
      <c r="P26" s="5" t="str">
        <f>IFERROR(VLOOKUP(Table3[[#This Row],[Player]],workbook!J26:O65,4,0),"0")</f>
        <v>0</v>
      </c>
      <c r="Q26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467</v>
      </c>
      <c r="R26" s="5" t="str">
        <f>IFERROR(VLOOKUP(Table3[[#This Row],[Player]],'2020 Bowlers'!$A$3:$A$50,1,0),"NA")</f>
        <v>NA</v>
      </c>
    </row>
    <row r="27" spans="1:18" x14ac:dyDescent="0.25">
      <c r="A27" s="5" t="s">
        <v>77</v>
      </c>
      <c r="B27" s="5">
        <v>11</v>
      </c>
      <c r="C27" s="5">
        <v>11</v>
      </c>
      <c r="D27" s="5">
        <v>1</v>
      </c>
      <c r="E27" s="5">
        <v>299</v>
      </c>
      <c r="F27" s="5" t="s">
        <v>25</v>
      </c>
      <c r="G27" s="5">
        <v>29.9</v>
      </c>
      <c r="H27" s="5">
        <v>247</v>
      </c>
      <c r="I27" s="5">
        <v>121.05</v>
      </c>
      <c r="J27" s="5">
        <v>0</v>
      </c>
      <c r="K27" s="5">
        <v>2</v>
      </c>
      <c r="L27" s="5">
        <v>0</v>
      </c>
      <c r="M27" s="5">
        <v>33</v>
      </c>
      <c r="N27" s="5">
        <v>13</v>
      </c>
      <c r="O27" s="5" t="str">
        <f>IFERROR(VLOOKUP(Table3[[#This Row],[Player]],Table6[Player],1,0),"NA")</f>
        <v>NA</v>
      </c>
      <c r="P27" s="5" t="str">
        <f>IFERROR(VLOOKUP(Table3[[#This Row],[Player]],workbook!J27:O66,4,0),"0")</f>
        <v>0</v>
      </c>
      <c r="Q27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466</v>
      </c>
      <c r="R27" s="5" t="str">
        <f>IFERROR(VLOOKUP(Table3[[#This Row],[Player]],'2020 Bowlers'!$A$3:$A$50,1,0),"NA")</f>
        <v>NA</v>
      </c>
    </row>
    <row r="28" spans="1:18" x14ac:dyDescent="0.25">
      <c r="A28" s="5" t="s">
        <v>75</v>
      </c>
      <c r="B28" s="5">
        <v>12</v>
      </c>
      <c r="C28" s="5">
        <v>11</v>
      </c>
      <c r="D28" s="5">
        <v>4</v>
      </c>
      <c r="E28" s="5">
        <v>317</v>
      </c>
      <c r="F28" s="5">
        <v>67</v>
      </c>
      <c r="G28" s="5">
        <v>45.28</v>
      </c>
      <c r="H28" s="5">
        <v>237</v>
      </c>
      <c r="I28" s="5">
        <v>133.75</v>
      </c>
      <c r="J28" s="5">
        <v>0</v>
      </c>
      <c r="K28" s="5">
        <v>3</v>
      </c>
      <c r="L28" s="5">
        <v>0</v>
      </c>
      <c r="M28" s="5">
        <v>26</v>
      </c>
      <c r="N28" s="5">
        <v>10</v>
      </c>
      <c r="O28" s="5" t="str">
        <f>IFERROR(VLOOKUP(Table3[[#This Row],[Player]],Table6[Player],1,0),"NA")</f>
        <v>KS Williamson</v>
      </c>
      <c r="P28" s="5" t="str">
        <f>IFERROR(VLOOKUP(Table3[[#This Row],[Player]],workbook!J28:O67,4,0),"0")</f>
        <v>0</v>
      </c>
      <c r="Q28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459</v>
      </c>
      <c r="R28" s="5" t="str">
        <f>IFERROR(VLOOKUP(Table3[[#This Row],[Player]],'2020 Bowlers'!$A$3:$A$50,1,0),"NA")</f>
        <v>NA</v>
      </c>
    </row>
    <row r="29" spans="1:18" x14ac:dyDescent="0.25">
      <c r="A29" s="5" t="s">
        <v>78</v>
      </c>
      <c r="B29" s="5">
        <v>7</v>
      </c>
      <c r="C29" s="5">
        <v>7</v>
      </c>
      <c r="D29" s="5">
        <v>0</v>
      </c>
      <c r="E29" s="5">
        <v>288</v>
      </c>
      <c r="F29" s="5">
        <v>99</v>
      </c>
      <c r="G29" s="5">
        <v>41.14</v>
      </c>
      <c r="H29" s="5">
        <v>210</v>
      </c>
      <c r="I29" s="5">
        <v>137.13999999999999</v>
      </c>
      <c r="J29" s="5">
        <v>0</v>
      </c>
      <c r="K29" s="5">
        <v>3</v>
      </c>
      <c r="L29" s="5">
        <v>0</v>
      </c>
      <c r="M29" s="5">
        <v>15</v>
      </c>
      <c r="N29" s="5">
        <v>23</v>
      </c>
      <c r="O29" s="5" t="str">
        <f>IFERROR(VLOOKUP(Table3[[#This Row],[Player]],Table6[Player],1,0),"NA")</f>
        <v>NA</v>
      </c>
      <c r="P29" s="5" t="str">
        <f>IFERROR(VLOOKUP(Table3[[#This Row],[Player]],workbook!J29:O68,4,0),"0")</f>
        <v>0</v>
      </c>
      <c r="Q29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449</v>
      </c>
      <c r="R29" s="5" t="str">
        <f>IFERROR(VLOOKUP(Table3[[#This Row],[Player]],'2020 Bowlers'!$A$3:$A$50,1,0),"NA")</f>
        <v>NA</v>
      </c>
    </row>
    <row r="30" spans="1:18" x14ac:dyDescent="0.25">
      <c r="A30" s="5" t="s">
        <v>79</v>
      </c>
      <c r="B30" s="5">
        <v>8</v>
      </c>
      <c r="C30" s="5">
        <v>8</v>
      </c>
      <c r="D30" s="5">
        <v>1</v>
      </c>
      <c r="E30" s="5">
        <v>285</v>
      </c>
      <c r="F30" s="5" t="s">
        <v>21</v>
      </c>
      <c r="G30" s="5">
        <v>40.71</v>
      </c>
      <c r="H30" s="5">
        <v>200</v>
      </c>
      <c r="I30" s="5">
        <v>142.5</v>
      </c>
      <c r="J30" s="5">
        <v>1</v>
      </c>
      <c r="K30" s="5">
        <v>1</v>
      </c>
      <c r="L30" s="5">
        <v>0</v>
      </c>
      <c r="M30" s="5">
        <v>36</v>
      </c>
      <c r="N30" s="5">
        <v>7</v>
      </c>
      <c r="O30" s="5" t="str">
        <f>IFERROR(VLOOKUP(Table3[[#This Row],[Player]],Table6[Player],1,0),"NA")</f>
        <v>BA Stokes</v>
      </c>
      <c r="P30" s="5">
        <f>IFERROR(VLOOKUP(Table3[[#This Row],[Player]],workbook!J30:O69,4,0),"0")</f>
        <v>6</v>
      </c>
      <c r="Q30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487</v>
      </c>
      <c r="R30" s="5" t="str">
        <f>IFERROR(VLOOKUP(Table3[[#This Row],[Player]],'2020 Bowlers'!$A$3:$A$50,1,0),"NA")</f>
        <v>NA</v>
      </c>
    </row>
    <row r="31" spans="1:18" x14ac:dyDescent="0.25">
      <c r="A31" s="5" t="s">
        <v>80</v>
      </c>
      <c r="B31" s="5">
        <v>14</v>
      </c>
      <c r="C31" s="5">
        <v>13</v>
      </c>
      <c r="D31" s="5">
        <v>5</v>
      </c>
      <c r="E31" s="5">
        <v>281</v>
      </c>
      <c r="F31" s="5" t="s">
        <v>81</v>
      </c>
      <c r="G31" s="5">
        <v>35.119999999999997</v>
      </c>
      <c r="H31" s="5">
        <v>157</v>
      </c>
      <c r="I31" s="5">
        <v>178.98</v>
      </c>
      <c r="J31" s="5">
        <v>0</v>
      </c>
      <c r="K31" s="5">
        <v>1</v>
      </c>
      <c r="L31" s="5">
        <v>1</v>
      </c>
      <c r="M31" s="5">
        <v>14</v>
      </c>
      <c r="N31" s="5">
        <v>25</v>
      </c>
      <c r="O31" s="5" t="str">
        <f>IFERROR(VLOOKUP(Table3[[#This Row],[Player]],Table6[Player],1,0),"NA")</f>
        <v>HH Pandya</v>
      </c>
      <c r="P31" s="5" t="str">
        <f>IFERROR(VLOOKUP(Table3[[#This Row],[Player]],workbook!J31:O70,4,0),"0")</f>
        <v>0</v>
      </c>
      <c r="Q31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427</v>
      </c>
      <c r="R31" s="5" t="str">
        <f>IFERROR(VLOOKUP(Table3[[#This Row],[Player]],'2020 Bowlers'!$A$3:$A$50,1,0),"NA")</f>
        <v>NA</v>
      </c>
    </row>
    <row r="32" spans="1:18" x14ac:dyDescent="0.25">
      <c r="A32" s="5" t="s">
        <v>83</v>
      </c>
      <c r="B32" s="5">
        <v>16</v>
      </c>
      <c r="C32" s="5">
        <v>12</v>
      </c>
      <c r="D32" s="5">
        <v>7</v>
      </c>
      <c r="E32" s="5">
        <v>268</v>
      </c>
      <c r="F32" s="5" t="s">
        <v>81</v>
      </c>
      <c r="G32" s="5">
        <v>53.6</v>
      </c>
      <c r="H32" s="5">
        <v>140</v>
      </c>
      <c r="I32" s="5">
        <v>191.42</v>
      </c>
      <c r="J32" s="5">
        <v>0</v>
      </c>
      <c r="K32" s="5">
        <v>1</v>
      </c>
      <c r="L32" s="5">
        <v>1</v>
      </c>
      <c r="M32" s="5">
        <v>15</v>
      </c>
      <c r="N32" s="5">
        <v>22</v>
      </c>
      <c r="O32" s="5" t="str">
        <f>IFERROR(VLOOKUP(Table3[[#This Row],[Player]],Table6[Player],1,0),"NA")</f>
        <v>KA Pollard</v>
      </c>
      <c r="P32" s="5" t="str">
        <f>IFERROR(VLOOKUP(Table3[[#This Row],[Player]],workbook!J32:O71,4,0),"0")</f>
        <v>0</v>
      </c>
      <c r="Q32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405</v>
      </c>
      <c r="R32" s="5" t="str">
        <f>IFERROR(VLOOKUP(Table3[[#This Row],[Player]],'2020 Bowlers'!$A$3:$A$50,1,0),"NA")</f>
        <v>NA</v>
      </c>
    </row>
    <row r="33" spans="1:18" x14ac:dyDescent="0.25">
      <c r="A33" s="5" t="s">
        <v>82</v>
      </c>
      <c r="B33" s="5">
        <v>12</v>
      </c>
      <c r="C33" s="5">
        <v>12</v>
      </c>
      <c r="D33" s="5">
        <v>0</v>
      </c>
      <c r="E33" s="5">
        <v>268</v>
      </c>
      <c r="F33" s="5">
        <v>52</v>
      </c>
      <c r="G33" s="5">
        <v>22.33</v>
      </c>
      <c r="H33" s="5">
        <v>241</v>
      </c>
      <c r="I33" s="5">
        <v>111.2</v>
      </c>
      <c r="J33" s="5">
        <v>0</v>
      </c>
      <c r="K33" s="5">
        <v>1</v>
      </c>
      <c r="L33" s="5">
        <v>0</v>
      </c>
      <c r="M33" s="5">
        <v>28</v>
      </c>
      <c r="N33" s="5">
        <v>8</v>
      </c>
      <c r="O33" s="5" t="str">
        <f>IFERROR(VLOOKUP(Table3[[#This Row],[Player]],Table6[Player],1,0),"NA")</f>
        <v>NA</v>
      </c>
      <c r="P33" s="5" t="str">
        <f>IFERROR(VLOOKUP(Table3[[#This Row],[Player]],workbook!J33:O72,4,0),"0")</f>
        <v>0</v>
      </c>
      <c r="Q33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392</v>
      </c>
      <c r="R33" s="5" t="str">
        <f>IFERROR(VLOOKUP(Table3[[#This Row],[Player]],'2020 Bowlers'!$A$3:$A$50,1,0),"NA")</f>
        <v>NA</v>
      </c>
    </row>
    <row r="34" spans="1:18" x14ac:dyDescent="0.25">
      <c r="A34" s="5" t="s">
        <v>84</v>
      </c>
      <c r="B34" s="5">
        <v>14</v>
      </c>
      <c r="C34" s="5">
        <v>11</v>
      </c>
      <c r="D34" s="5">
        <v>5</v>
      </c>
      <c r="E34" s="5">
        <v>255</v>
      </c>
      <c r="F34" s="5">
        <v>53</v>
      </c>
      <c r="G34" s="5">
        <v>42.5</v>
      </c>
      <c r="H34" s="5">
        <v>183</v>
      </c>
      <c r="I34" s="5">
        <v>139.34</v>
      </c>
      <c r="J34" s="5">
        <v>0</v>
      </c>
      <c r="K34" s="5">
        <v>1</v>
      </c>
      <c r="L34" s="5">
        <v>0</v>
      </c>
      <c r="M34" s="5">
        <v>13</v>
      </c>
      <c r="N34" s="5">
        <v>17</v>
      </c>
      <c r="O34" s="5" t="str">
        <f>IFERROR(VLOOKUP(Table3[[#This Row],[Player]],Table6[Player],1,0),"NA")</f>
        <v>R Tewatia</v>
      </c>
      <c r="P34" s="5" t="str">
        <f>IFERROR(VLOOKUP(Table3[[#This Row],[Player]],workbook!J34:O73,4,0),"0")</f>
        <v>0</v>
      </c>
      <c r="Q34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370</v>
      </c>
      <c r="R34" s="5" t="str">
        <f>IFERROR(VLOOKUP(Table3[[#This Row],[Player]],'2020 Bowlers'!$A$3:$A$50,1,0),"NA")</f>
        <v>R Tewatia</v>
      </c>
    </row>
    <row r="35" spans="1:18" x14ac:dyDescent="0.25">
      <c r="A35" s="5" t="s">
        <v>85</v>
      </c>
      <c r="B35" s="5">
        <v>14</v>
      </c>
      <c r="C35" s="5">
        <v>11</v>
      </c>
      <c r="D35" s="5">
        <v>6</v>
      </c>
      <c r="E35" s="5">
        <v>232</v>
      </c>
      <c r="F35" s="5">
        <v>50</v>
      </c>
      <c r="G35" s="5">
        <v>46.4</v>
      </c>
      <c r="H35" s="5">
        <v>135</v>
      </c>
      <c r="I35" s="5">
        <v>171.85</v>
      </c>
      <c r="J35" s="5">
        <v>0</v>
      </c>
      <c r="K35" s="5">
        <v>1</v>
      </c>
      <c r="L35" s="5">
        <v>0</v>
      </c>
      <c r="M35" s="5">
        <v>22</v>
      </c>
      <c r="N35" s="5">
        <v>11</v>
      </c>
      <c r="O35" s="5" t="str">
        <f>IFERROR(VLOOKUP(Table3[[#This Row],[Player]],Table6[Player],1,0),"NA")</f>
        <v>RA Jadeja</v>
      </c>
      <c r="P35" s="5" t="str">
        <f>IFERROR(VLOOKUP(Table3[[#This Row],[Player]],workbook!J35:O74,4,0),"0")</f>
        <v>0</v>
      </c>
      <c r="Q35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350</v>
      </c>
      <c r="R35" s="5" t="str">
        <f>IFERROR(VLOOKUP(Table3[[#This Row],[Player]],'2020 Bowlers'!$A$3:$A$50,1,0),"NA")</f>
        <v>RA Jadeja</v>
      </c>
    </row>
    <row r="36" spans="1:18" x14ac:dyDescent="0.25">
      <c r="A36" s="5" t="s">
        <v>87</v>
      </c>
      <c r="B36" s="5">
        <v>13</v>
      </c>
      <c r="C36" s="5">
        <v>13</v>
      </c>
      <c r="D36" s="5">
        <v>0</v>
      </c>
      <c r="E36" s="5">
        <v>228</v>
      </c>
      <c r="F36" s="5">
        <v>66</v>
      </c>
      <c r="G36" s="5">
        <v>17.53</v>
      </c>
      <c r="H36" s="5">
        <v>167</v>
      </c>
      <c r="I36" s="5">
        <v>136.52000000000001</v>
      </c>
      <c r="J36" s="5">
        <v>0</v>
      </c>
      <c r="K36" s="5">
        <v>2</v>
      </c>
      <c r="L36" s="5">
        <v>3</v>
      </c>
      <c r="M36" s="5">
        <v>27</v>
      </c>
      <c r="N36" s="5">
        <v>8</v>
      </c>
      <c r="O36" s="5" t="str">
        <f>IFERROR(VLOOKUP(Table3[[#This Row],[Player]],Table6[Player],1,0),"NA")</f>
        <v>PP Shaw</v>
      </c>
      <c r="P36" s="5" t="str">
        <f>IFERROR(VLOOKUP(Table3[[#This Row],[Player]],workbook!J36:O75,4,0),"0")</f>
        <v>0</v>
      </c>
      <c r="Q36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345</v>
      </c>
      <c r="R36" s="5" t="str">
        <f>IFERROR(VLOOKUP(Table3[[#This Row],[Player]],'2020 Bowlers'!$A$3:$A$50,1,0),"NA")</f>
        <v>NA</v>
      </c>
    </row>
    <row r="37" spans="1:18" x14ac:dyDescent="0.25">
      <c r="A37" s="5" t="s">
        <v>86</v>
      </c>
      <c r="B37" s="5">
        <v>11</v>
      </c>
      <c r="C37" s="5">
        <v>11</v>
      </c>
      <c r="D37" s="5">
        <v>1</v>
      </c>
      <c r="E37" s="5">
        <v>230</v>
      </c>
      <c r="F37" s="5">
        <v>81</v>
      </c>
      <c r="G37" s="5">
        <v>23</v>
      </c>
      <c r="H37" s="5">
        <v>181</v>
      </c>
      <c r="I37" s="5">
        <v>127.07</v>
      </c>
      <c r="J37" s="5">
        <v>0</v>
      </c>
      <c r="K37" s="5">
        <v>1</v>
      </c>
      <c r="L37" s="5">
        <v>0</v>
      </c>
      <c r="M37" s="5">
        <v>21</v>
      </c>
      <c r="N37" s="5">
        <v>10</v>
      </c>
      <c r="O37" s="5" t="str">
        <f>IFERROR(VLOOKUP(Table3[[#This Row],[Player]],Table6[Player],1,0),"NA")</f>
        <v>NA</v>
      </c>
      <c r="P37" s="5" t="str">
        <f>IFERROR(VLOOKUP(Table3[[#This Row],[Player]],workbook!J37:O76,4,0),"0")</f>
        <v>0</v>
      </c>
      <c r="Q37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341</v>
      </c>
      <c r="R37" s="5" t="str">
        <f>IFERROR(VLOOKUP(Table3[[#This Row],[Player]],'2020 Bowlers'!$A$3:$A$50,1,0),"NA")</f>
        <v>NA</v>
      </c>
    </row>
    <row r="38" spans="1:18" x14ac:dyDescent="0.25">
      <c r="A38" s="5" t="s">
        <v>88</v>
      </c>
      <c r="B38" s="5">
        <v>4</v>
      </c>
      <c r="C38" s="5">
        <v>4</v>
      </c>
      <c r="D38" s="5">
        <v>1</v>
      </c>
      <c r="E38" s="5">
        <v>214</v>
      </c>
      <c r="F38" s="5">
        <v>87</v>
      </c>
      <c r="G38" s="5">
        <v>71.33</v>
      </c>
      <c r="H38" s="5">
        <v>153</v>
      </c>
      <c r="I38" s="5">
        <v>139.86000000000001</v>
      </c>
      <c r="J38" s="5">
        <v>0</v>
      </c>
      <c r="K38" s="5">
        <v>2</v>
      </c>
      <c r="L38" s="5">
        <v>0</v>
      </c>
      <c r="M38" s="5">
        <v>24</v>
      </c>
      <c r="N38" s="5">
        <v>5</v>
      </c>
      <c r="O38" s="5" t="str">
        <f>IFERROR(VLOOKUP(Table3[[#This Row],[Player]],Table6[Player],1,0),"NA")</f>
        <v>NA</v>
      </c>
      <c r="P38" s="5" t="str">
        <f>IFERROR(VLOOKUP(Table3[[#This Row],[Player]],workbook!J38:O77,4,0),"0")</f>
        <v>0</v>
      </c>
      <c r="Q38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322</v>
      </c>
      <c r="R38" s="5" t="str">
        <f>IFERROR(VLOOKUP(Table3[[#This Row],[Player]],'2020 Bowlers'!$A$3:$A$50,1,0),"NA")</f>
        <v>NA</v>
      </c>
    </row>
    <row r="39" spans="1:18" x14ac:dyDescent="0.25">
      <c r="A39" s="5" t="s">
        <v>89</v>
      </c>
      <c r="B39" s="5">
        <v>6</v>
      </c>
      <c r="C39" s="5">
        <v>6</v>
      </c>
      <c r="D39" s="5">
        <v>2</v>
      </c>
      <c r="E39" s="5">
        <v>204</v>
      </c>
      <c r="F39" s="5">
        <v>72</v>
      </c>
      <c r="G39" s="5">
        <v>51</v>
      </c>
      <c r="H39" s="5">
        <v>169</v>
      </c>
      <c r="I39" s="5">
        <v>120.71</v>
      </c>
      <c r="J39" s="5">
        <v>0</v>
      </c>
      <c r="K39" s="5">
        <v>3</v>
      </c>
      <c r="L39" s="5">
        <v>2</v>
      </c>
      <c r="M39" s="5">
        <v>16</v>
      </c>
      <c r="N39" s="5">
        <v>6</v>
      </c>
      <c r="O39" s="5" t="str">
        <f>IFERROR(VLOOKUP(Table3[[#This Row],[Player]],Table6[Player],1,0),"NA")</f>
        <v>RD Gaikwad</v>
      </c>
      <c r="P39" s="5" t="str">
        <f>IFERROR(VLOOKUP(Table3[[#This Row],[Player]],workbook!J39:O78,4,0),"0")</f>
        <v>0</v>
      </c>
      <c r="Q39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292</v>
      </c>
      <c r="R39" s="5" t="str">
        <f>IFERROR(VLOOKUP(Table3[[#This Row],[Player]],'2020 Bowlers'!$A$3:$A$50,1,0),"NA")</f>
        <v>NA</v>
      </c>
    </row>
    <row r="40" spans="1:18" x14ac:dyDescent="0.25">
      <c r="A40" s="5" t="s">
        <v>91</v>
      </c>
      <c r="B40" s="5">
        <v>12</v>
      </c>
      <c r="C40" s="5">
        <v>12</v>
      </c>
      <c r="D40" s="5">
        <v>0</v>
      </c>
      <c r="E40" s="5">
        <v>196</v>
      </c>
      <c r="F40" s="5">
        <v>41</v>
      </c>
      <c r="G40" s="5">
        <v>16.329999999999998</v>
      </c>
      <c r="H40" s="5">
        <v>164</v>
      </c>
      <c r="I40" s="5">
        <v>119.51</v>
      </c>
      <c r="J40" s="5">
        <v>0</v>
      </c>
      <c r="K40" s="5">
        <v>0</v>
      </c>
      <c r="L40" s="5">
        <v>0</v>
      </c>
      <c r="M40" s="5">
        <v>19</v>
      </c>
      <c r="N40" s="5">
        <v>7</v>
      </c>
      <c r="O40" s="5" t="str">
        <f>IFERROR(VLOOKUP(Table3[[#This Row],[Player]],Table6[Player],1,0),"NA")</f>
        <v>NA</v>
      </c>
      <c r="P40" s="5" t="str">
        <f>IFERROR(VLOOKUP(Table3[[#This Row],[Player]],workbook!J40:O79,4,0),"0")</f>
        <v>0</v>
      </c>
      <c r="Q40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281</v>
      </c>
      <c r="R40" s="5" t="str">
        <f>IFERROR(VLOOKUP(Table3[[#This Row],[Player]],'2020 Bowlers'!$A$3:$A$50,1,0),"NA")</f>
        <v>NA</v>
      </c>
    </row>
    <row r="41" spans="1:18" x14ac:dyDescent="0.25">
      <c r="A41" s="5" t="s">
        <v>90</v>
      </c>
      <c r="B41" s="5">
        <v>14</v>
      </c>
      <c r="C41" s="5">
        <v>12</v>
      </c>
      <c r="D41" s="5">
        <v>4</v>
      </c>
      <c r="E41" s="5">
        <v>200</v>
      </c>
      <c r="F41" s="5" t="s">
        <v>14</v>
      </c>
      <c r="G41" s="5">
        <v>25</v>
      </c>
      <c r="H41" s="5">
        <v>172</v>
      </c>
      <c r="I41" s="5">
        <v>116.27</v>
      </c>
      <c r="J41" s="5">
        <v>0</v>
      </c>
      <c r="K41" s="5">
        <v>0</v>
      </c>
      <c r="L41" s="5">
        <v>0</v>
      </c>
      <c r="M41" s="5">
        <v>16</v>
      </c>
      <c r="N41" s="5">
        <v>7</v>
      </c>
      <c r="O41" s="5" t="str">
        <f>IFERROR(VLOOKUP(Table3[[#This Row],[Player]],Table6[Player],1,0),"NA")</f>
        <v>NA</v>
      </c>
      <c r="P41" s="5" t="str">
        <f>IFERROR(VLOOKUP(Table3[[#This Row],[Player]],workbook!J41:O80,4,0),"0")</f>
        <v>0</v>
      </c>
      <c r="Q41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276</v>
      </c>
      <c r="R41" s="5" t="str">
        <f>IFERROR(VLOOKUP(Table3[[#This Row],[Player]],'2020 Bowlers'!$A$3:$A$50,1,0),"NA")</f>
        <v>NA</v>
      </c>
    </row>
    <row r="42" spans="1:18" x14ac:dyDescent="0.25">
      <c r="A42" s="5" t="s">
        <v>92</v>
      </c>
      <c r="B42" s="5">
        <v>14</v>
      </c>
      <c r="C42" s="5">
        <v>11</v>
      </c>
      <c r="D42" s="5">
        <v>3</v>
      </c>
      <c r="E42" s="5">
        <v>186</v>
      </c>
      <c r="F42" s="5">
        <v>52</v>
      </c>
      <c r="G42" s="5">
        <v>23.25</v>
      </c>
      <c r="H42" s="5">
        <v>141</v>
      </c>
      <c r="I42" s="5">
        <v>131.91</v>
      </c>
      <c r="J42" s="5">
        <v>0</v>
      </c>
      <c r="K42" s="5">
        <v>1</v>
      </c>
      <c r="L42" s="5">
        <v>2</v>
      </c>
      <c r="M42" s="5">
        <v>12</v>
      </c>
      <c r="N42" s="5">
        <v>12</v>
      </c>
      <c r="O42" s="5" t="str">
        <f>IFERROR(VLOOKUP(Table3[[#This Row],[Player]],Table6[Player],1,0),"NA")</f>
        <v>SM Curran</v>
      </c>
      <c r="P42" s="5" t="str">
        <f>IFERROR(VLOOKUP(Table3[[#This Row],[Player]],workbook!J42:O81,4,0),"0")</f>
        <v>0</v>
      </c>
      <c r="Q42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270</v>
      </c>
      <c r="R42" s="5" t="str">
        <f>IFERROR(VLOOKUP(Table3[[#This Row],[Player]],'2020 Bowlers'!$A$3:$A$50,1,0),"NA")</f>
        <v>SM Curran</v>
      </c>
    </row>
    <row r="43" spans="1:18" x14ac:dyDescent="0.25">
      <c r="A43" s="5" t="s">
        <v>93</v>
      </c>
      <c r="B43" s="5">
        <v>12</v>
      </c>
      <c r="C43" s="5">
        <v>11</v>
      </c>
      <c r="D43" s="5">
        <v>3</v>
      </c>
      <c r="E43" s="5">
        <v>185</v>
      </c>
      <c r="F43" s="5">
        <v>45</v>
      </c>
      <c r="G43" s="5">
        <v>23.12</v>
      </c>
      <c r="H43" s="5">
        <v>125</v>
      </c>
      <c r="I43" s="5">
        <v>148</v>
      </c>
      <c r="J43" s="5">
        <v>0</v>
      </c>
      <c r="K43" s="5">
        <v>0</v>
      </c>
      <c r="L43" s="5">
        <v>0</v>
      </c>
      <c r="M43" s="5">
        <v>11</v>
      </c>
      <c r="N43" s="5">
        <v>12</v>
      </c>
      <c r="O43" s="5" t="str">
        <f>IFERROR(VLOOKUP(Table3[[#This Row],[Player]],Table6[Player],1,0),"NA")</f>
        <v>SO Hetmyer</v>
      </c>
      <c r="P43" s="5" t="str">
        <f>IFERROR(VLOOKUP(Table3[[#This Row],[Player]],workbook!J43:O82,4,0),"0")</f>
        <v>0</v>
      </c>
      <c r="Q43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266</v>
      </c>
      <c r="R43" s="5" t="str">
        <f>IFERROR(VLOOKUP(Table3[[#This Row],[Player]],'2020 Bowlers'!$A$3:$A$50,1,0),"NA")</f>
        <v>NA</v>
      </c>
    </row>
    <row r="44" spans="1:18" x14ac:dyDescent="0.25">
      <c r="A44" s="5" t="s">
        <v>94</v>
      </c>
      <c r="B44" s="5">
        <v>14</v>
      </c>
      <c r="C44" s="5">
        <v>14</v>
      </c>
      <c r="D44" s="5">
        <v>2</v>
      </c>
      <c r="E44" s="5">
        <v>169</v>
      </c>
      <c r="F44" s="5">
        <v>58</v>
      </c>
      <c r="G44" s="5">
        <v>14.08</v>
      </c>
      <c r="H44" s="5">
        <v>134</v>
      </c>
      <c r="I44" s="5">
        <v>126.11</v>
      </c>
      <c r="J44" s="5">
        <v>0</v>
      </c>
      <c r="K44" s="5">
        <v>1</v>
      </c>
      <c r="L44" s="5">
        <v>3</v>
      </c>
      <c r="M44" s="5">
        <v>20</v>
      </c>
      <c r="N44" s="5">
        <v>4</v>
      </c>
      <c r="O44" s="5" t="str">
        <f>IFERROR(VLOOKUP(Table3[[#This Row],[Player]],Table6[Player],1,0),"NA")</f>
        <v>NA</v>
      </c>
      <c r="P44" s="5" t="str">
        <f>IFERROR(VLOOKUP(Table3[[#This Row],[Player]],workbook!J44:O83,4,0),"0")</f>
        <v>0</v>
      </c>
      <c r="Q44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241</v>
      </c>
      <c r="R44" s="5" t="str">
        <f>IFERROR(VLOOKUP(Table3[[#This Row],[Player]],'2020 Bowlers'!$A$3:$A$50,1,0),"NA")</f>
        <v>NA</v>
      </c>
    </row>
    <row r="45" spans="1:18" x14ac:dyDescent="0.25">
      <c r="A45" s="5" t="s">
        <v>95</v>
      </c>
      <c r="B45" s="5">
        <v>14</v>
      </c>
      <c r="C45" s="5">
        <v>11</v>
      </c>
      <c r="D45" s="5">
        <v>4</v>
      </c>
      <c r="E45" s="5">
        <v>146</v>
      </c>
      <c r="F45" s="5" t="s">
        <v>10</v>
      </c>
      <c r="G45" s="5">
        <v>20.85</v>
      </c>
      <c r="H45" s="5">
        <v>114</v>
      </c>
      <c r="I45" s="5">
        <v>128.07</v>
      </c>
      <c r="J45" s="5">
        <v>0</v>
      </c>
      <c r="K45" s="5">
        <v>1</v>
      </c>
      <c r="L45" s="5">
        <v>0</v>
      </c>
      <c r="M45" s="5">
        <v>9</v>
      </c>
      <c r="N45" s="5">
        <v>8</v>
      </c>
      <c r="O45" s="5" t="str">
        <f>IFERROR(VLOOKUP(Table3[[#This Row],[Player]],Table6[Player],1,0),"NA")</f>
        <v>NA</v>
      </c>
      <c r="P45" s="5" t="str">
        <f>IFERROR(VLOOKUP(Table3[[#This Row],[Player]],workbook!J45:O84,4,0),"0")</f>
        <v>0</v>
      </c>
      <c r="Q45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213</v>
      </c>
      <c r="R45" s="5" t="str">
        <f>IFERROR(VLOOKUP(Table3[[#This Row],[Player]],'2020 Bowlers'!$A$3:$A$50,1,0),"NA")</f>
        <v>PJ Cummins</v>
      </c>
    </row>
    <row r="46" spans="1:18" x14ac:dyDescent="0.25">
      <c r="A46" s="5" t="s">
        <v>98</v>
      </c>
      <c r="B46" s="5">
        <v>10</v>
      </c>
      <c r="C46" s="5">
        <v>9</v>
      </c>
      <c r="D46" s="5">
        <v>0</v>
      </c>
      <c r="E46" s="5">
        <v>121</v>
      </c>
      <c r="F46" s="5">
        <v>64</v>
      </c>
      <c r="G46" s="5">
        <v>13.44</v>
      </c>
      <c r="H46" s="5">
        <v>85</v>
      </c>
      <c r="I46" s="5">
        <v>142.35</v>
      </c>
      <c r="J46" s="5">
        <v>0</v>
      </c>
      <c r="K46" s="5">
        <v>1</v>
      </c>
      <c r="L46" s="5">
        <v>2</v>
      </c>
      <c r="M46" s="5">
        <v>10</v>
      </c>
      <c r="N46" s="5">
        <v>8</v>
      </c>
      <c r="O46" s="5" t="str">
        <f>IFERROR(VLOOKUP(Table3[[#This Row],[Player]],Table6[Player],1,0),"NA")</f>
        <v>NA</v>
      </c>
      <c r="P46" s="5" t="str">
        <f>IFERROR(VLOOKUP(Table3[[#This Row],[Player]],workbook!J46:O85,4,0),"0")</f>
        <v>0</v>
      </c>
      <c r="Q46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183</v>
      </c>
      <c r="R46" s="5" t="str">
        <f>IFERROR(VLOOKUP(Table3[[#This Row],[Player]],'2020 Bowlers'!$A$3:$A$50,1,0),"NA")</f>
        <v>SP Narine</v>
      </c>
    </row>
    <row r="47" spans="1:18" x14ac:dyDescent="0.25">
      <c r="A47" s="5" t="s">
        <v>96</v>
      </c>
      <c r="B47" s="5">
        <v>14</v>
      </c>
      <c r="C47" s="5">
        <v>10</v>
      </c>
      <c r="D47" s="5">
        <v>1</v>
      </c>
      <c r="E47" s="5">
        <v>133</v>
      </c>
      <c r="F47" s="5" t="s">
        <v>31</v>
      </c>
      <c r="G47" s="5">
        <v>14.77</v>
      </c>
      <c r="H47" s="5">
        <v>111</v>
      </c>
      <c r="I47" s="5">
        <v>119.81</v>
      </c>
      <c r="J47" s="5">
        <v>0</v>
      </c>
      <c r="K47" s="5">
        <v>1</v>
      </c>
      <c r="L47" s="5">
        <v>1</v>
      </c>
      <c r="M47" s="5">
        <v>9</v>
      </c>
      <c r="N47" s="5">
        <v>4</v>
      </c>
      <c r="O47" s="5" t="str">
        <f>IFERROR(VLOOKUP(Table3[[#This Row],[Player]],Table6[Player],1,0),"NA")</f>
        <v>PK Garg</v>
      </c>
      <c r="P47" s="5" t="str">
        <f>IFERROR(VLOOKUP(Table3[[#This Row],[Player]],workbook!J47:O86,4,0),"0")</f>
        <v>0</v>
      </c>
      <c r="Q47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180</v>
      </c>
      <c r="R47" s="5" t="str">
        <f>IFERROR(VLOOKUP(Table3[[#This Row],[Player]],'2020 Bowlers'!$A$3:$A$50,1,0),"NA")</f>
        <v>NA</v>
      </c>
    </row>
    <row r="48" spans="1:18" x14ac:dyDescent="0.25">
      <c r="A48" s="5" t="s">
        <v>97</v>
      </c>
      <c r="B48" s="5">
        <v>11</v>
      </c>
      <c r="C48" s="5">
        <v>9</v>
      </c>
      <c r="D48" s="5">
        <v>2</v>
      </c>
      <c r="E48" s="5">
        <v>129</v>
      </c>
      <c r="F48" s="5" t="s">
        <v>12</v>
      </c>
      <c r="G48" s="5">
        <v>18.420000000000002</v>
      </c>
      <c r="H48" s="5">
        <v>105</v>
      </c>
      <c r="I48" s="5">
        <v>122.85</v>
      </c>
      <c r="J48" s="5">
        <v>0</v>
      </c>
      <c r="K48" s="5">
        <v>0</v>
      </c>
      <c r="L48" s="5">
        <v>0</v>
      </c>
      <c r="M48" s="5">
        <v>5</v>
      </c>
      <c r="N48" s="5">
        <v>9</v>
      </c>
      <c r="O48" s="5" t="str">
        <f>IFERROR(VLOOKUP(Table3[[#This Row],[Player]],Table6[Player],1,0),"NA")</f>
        <v>NA</v>
      </c>
      <c r="P48" s="5" t="str">
        <f>IFERROR(VLOOKUP(Table3[[#This Row],[Player]],workbook!J48:O87,4,0),"0")</f>
        <v>0</v>
      </c>
      <c r="Q48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180</v>
      </c>
      <c r="R48" s="5" t="str">
        <f>IFERROR(VLOOKUP(Table3[[#This Row],[Player]],'2020 Bowlers'!$A$3:$A$50,1,0),"NA")</f>
        <v>NA</v>
      </c>
    </row>
    <row r="49" spans="1:18" x14ac:dyDescent="0.25">
      <c r="A49" s="5" t="s">
        <v>100</v>
      </c>
      <c r="B49" s="5">
        <v>10</v>
      </c>
      <c r="C49" s="5">
        <v>9</v>
      </c>
      <c r="D49" s="5">
        <v>0</v>
      </c>
      <c r="E49" s="5">
        <v>117</v>
      </c>
      <c r="F49" s="5">
        <v>25</v>
      </c>
      <c r="G49" s="5">
        <v>13</v>
      </c>
      <c r="H49" s="5">
        <v>81</v>
      </c>
      <c r="I49" s="5">
        <v>144.44</v>
      </c>
      <c r="J49" s="5">
        <v>0</v>
      </c>
      <c r="K49" s="5">
        <v>0</v>
      </c>
      <c r="L49" s="5">
        <v>0</v>
      </c>
      <c r="M49" s="5">
        <v>9</v>
      </c>
      <c r="N49" s="5">
        <v>9</v>
      </c>
      <c r="O49" s="5" t="str">
        <f>IFERROR(VLOOKUP(Table3[[#This Row],[Player]],Table6[Player],1,0),"NA")</f>
        <v>NA</v>
      </c>
      <c r="P49" s="5" t="str">
        <f>IFERROR(VLOOKUP(Table3[[#This Row],[Player]],workbook!J49:O88,4,0),"0")</f>
        <v>0</v>
      </c>
      <c r="Q49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180</v>
      </c>
      <c r="R49" s="5" t="str">
        <f>IFERROR(VLOOKUP(Table3[[#This Row],[Player]],'2020 Bowlers'!$A$3:$A$50,1,0),"NA")</f>
        <v>AD Russell</v>
      </c>
    </row>
    <row r="50" spans="1:18" x14ac:dyDescent="0.25">
      <c r="A50" s="5" t="s">
        <v>45</v>
      </c>
      <c r="B50" s="5">
        <v>7</v>
      </c>
      <c r="C50" s="5">
        <v>7</v>
      </c>
      <c r="D50" s="5">
        <v>1</v>
      </c>
      <c r="E50" s="5">
        <v>130</v>
      </c>
      <c r="F50" s="5" t="s">
        <v>27</v>
      </c>
      <c r="G50" s="5">
        <v>21.66</v>
      </c>
      <c r="H50" s="5">
        <v>109</v>
      </c>
      <c r="I50" s="5">
        <v>119.26</v>
      </c>
      <c r="J50" s="5">
        <v>0</v>
      </c>
      <c r="K50" s="5">
        <v>1</v>
      </c>
      <c r="L50" s="5">
        <v>2</v>
      </c>
      <c r="M50" s="5">
        <v>10</v>
      </c>
      <c r="N50" s="5">
        <v>4</v>
      </c>
      <c r="O50" s="5" t="str">
        <f>IFERROR(VLOOKUP(Table3[[#This Row],[Player]],Table6[Player],1,0),"NA")</f>
        <v>NA</v>
      </c>
      <c r="P50" s="5" t="str">
        <f>IFERROR(VLOOKUP(Table3[[#This Row],[Player]],workbook!J50:O89,4,0),"0")</f>
        <v>0</v>
      </c>
      <c r="Q50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176</v>
      </c>
      <c r="R50" s="5" t="str">
        <f>IFERROR(VLOOKUP(Table3[[#This Row],[Player]],'2020 Bowlers'!$A$3:$A$50,1,0),"NA")</f>
        <v>NA</v>
      </c>
    </row>
    <row r="51" spans="1:18" x14ac:dyDescent="0.25">
      <c r="A51" s="5" t="s">
        <v>99</v>
      </c>
      <c r="B51" s="5">
        <v>15</v>
      </c>
      <c r="C51" s="5">
        <v>9</v>
      </c>
      <c r="D51" s="5">
        <v>1</v>
      </c>
      <c r="E51" s="5">
        <v>117</v>
      </c>
      <c r="F51" s="5">
        <v>42</v>
      </c>
      <c r="G51" s="5">
        <v>14.62</v>
      </c>
      <c r="H51" s="5">
        <v>85</v>
      </c>
      <c r="I51" s="5">
        <v>137.63999999999999</v>
      </c>
      <c r="J51" s="5">
        <v>0</v>
      </c>
      <c r="K51" s="5">
        <v>0</v>
      </c>
      <c r="L51" s="5">
        <v>0</v>
      </c>
      <c r="M51" s="5">
        <v>6</v>
      </c>
      <c r="N51" s="5">
        <v>8</v>
      </c>
      <c r="O51" s="5" t="str">
        <f>IFERROR(VLOOKUP(Table3[[#This Row],[Player]],Table6[Player],1,0),"NA")</f>
        <v>AR Patel</v>
      </c>
      <c r="P51" s="5" t="str">
        <f>IFERROR(VLOOKUP(Table3[[#This Row],[Player]],workbook!J51:O90,4,0),"0")</f>
        <v>0</v>
      </c>
      <c r="Q51" s="5">
        <f>((IF(Table3[[#This Row],[SR]]&gt;=100,IF(Table3[[#This Row],[SR]]&lt;=199,Table3[[#This Row],[Runs]]*1,IF(Table3[[#This Row],[SR]]&gt;=200,Table3[[#This Row],[Runs]]*2)))+Table3[[#This Row],[4s]]*3+Table3[[#This Row],[6s]]*4+Table3[[#This Row],[50]]*8+Table3[[#This Row],[100]]*16)+Table3[[#This Row],[total catches]]*7-Table3[[#This Row],[0]]*4)</f>
        <v>167</v>
      </c>
      <c r="R51" s="5" t="str">
        <f>IFERROR(VLOOKUP(Table3[[#This Row],[Player]],'2020 Bowlers'!$A$3:$A$50,1,0),"NA")</f>
        <v>AR Patel</v>
      </c>
    </row>
    <row r="52" spans="1:18" x14ac:dyDescent="0.25">
      <c r="O52" s="5" t="str">
        <f>IFERROR(VLOOKUP(Table3[[#This Row],[Player]],Table6[Player],1,0),"NA")</f>
        <v>NA</v>
      </c>
      <c r="P52" s="5" t="str">
        <f>IFERROR(VLOOKUP(Table3[[#This Row],[Player]],workbook!J52:O91,4,0),"0")</f>
        <v>0</v>
      </c>
      <c r="Q52" s="6"/>
      <c r="R52" s="5"/>
    </row>
    <row r="53" spans="1:18" x14ac:dyDescent="0.25">
      <c r="O53" s="5" t="str">
        <f>IFERROR(VLOOKUP(Table3[[#This Row],[Player]],Table6[Player],1,0),"NA")</f>
        <v>NA</v>
      </c>
      <c r="P53" s="5" t="str">
        <f>IFERROR(VLOOKUP(Table3[[#This Row],[Player]],workbook!J53:O92,4,0),"0")</f>
        <v>0</v>
      </c>
      <c r="Q53" s="6"/>
      <c r="R53" s="5"/>
    </row>
    <row r="54" spans="1:18" x14ac:dyDescent="0.25">
      <c r="O54" s="5" t="str">
        <f>IFERROR(VLOOKUP(Table3[[#This Row],[Player]],Table6[Player],1,0),"NA")</f>
        <v>NA</v>
      </c>
      <c r="P54" s="5" t="str">
        <f>IFERROR(VLOOKUP(Table3[[#This Row],[Player]],workbook!J54:O93,4,0),"0")</f>
        <v>0</v>
      </c>
      <c r="Q54" s="6"/>
      <c r="R54" s="5"/>
    </row>
    <row r="55" spans="1:18" x14ac:dyDescent="0.25">
      <c r="O55" s="5" t="str">
        <f>IFERROR(VLOOKUP(Table3[[#This Row],[Player]],Table6[Player],1,0),"NA")</f>
        <v>NA</v>
      </c>
      <c r="P55" s="5" t="str">
        <f>IFERROR(VLOOKUP(Table3[[#This Row],[Player]],workbook!J55:O94,4,0),"0")</f>
        <v>0</v>
      </c>
      <c r="Q55" s="6"/>
      <c r="R55" s="5"/>
    </row>
    <row r="56" spans="1:18" x14ac:dyDescent="0.25">
      <c r="O56" s="5" t="str">
        <f>IFERROR(VLOOKUP(Table3[[#This Row],[Player]],Table6[Player],1,0),"NA")</f>
        <v>NA</v>
      </c>
      <c r="P56" s="5" t="str">
        <f>IFERROR(VLOOKUP(Table3[[#This Row],[Player]],workbook!J56:O95,4,0),"0")</f>
        <v>0</v>
      </c>
      <c r="Q56" s="6"/>
      <c r="R56" s="5"/>
    </row>
    <row r="57" spans="1:18" x14ac:dyDescent="0.25">
      <c r="O57" s="5" t="str">
        <f>IFERROR(VLOOKUP(Table3[[#This Row],[Player]],Table6[Player],1,0),"NA")</f>
        <v>NA</v>
      </c>
      <c r="P57" s="5" t="str">
        <f>IFERROR(VLOOKUP(Table3[[#This Row],[Player]],workbook!J57:O96,4,0),"0")</f>
        <v>0</v>
      </c>
      <c r="Q57" s="6"/>
      <c r="R57" s="5"/>
    </row>
    <row r="58" spans="1:18" x14ac:dyDescent="0.25">
      <c r="O58" s="5" t="str">
        <f>IFERROR(VLOOKUP(Table3[[#This Row],[Player]],Table6[Player],1,0),"NA")</f>
        <v>NA</v>
      </c>
      <c r="P58" s="5" t="str">
        <f>IFERROR(VLOOKUP(Table3[[#This Row],[Player]],workbook!J58:O97,4,0),"0")</f>
        <v>0</v>
      </c>
      <c r="Q58" s="6"/>
      <c r="R58" s="5"/>
    </row>
    <row r="59" spans="1:18" x14ac:dyDescent="0.25">
      <c r="O59" s="5" t="str">
        <f>IFERROR(VLOOKUP(Table3[[#This Row],[Player]],Table6[Player],1,0),"NA")</f>
        <v>NA</v>
      </c>
      <c r="P59" s="5" t="str">
        <f>IFERROR(VLOOKUP(Table3[[#This Row],[Player]],workbook!J59:O98,4,0),"0")</f>
        <v>0</v>
      </c>
      <c r="Q59" s="6"/>
      <c r="R59" s="5"/>
    </row>
    <row r="60" spans="1:18" x14ac:dyDescent="0.25">
      <c r="O60" s="5" t="str">
        <f>IFERROR(VLOOKUP(Table3[[#This Row],[Player]],Table6[Player],1,0),"NA")</f>
        <v>NA</v>
      </c>
      <c r="P60" s="5" t="str">
        <f>IFERROR(VLOOKUP(Table3[[#This Row],[Player]],workbook!J60:O99,4,0),"0")</f>
        <v>0</v>
      </c>
      <c r="Q60" s="6"/>
      <c r="R60" s="5"/>
    </row>
    <row r="61" spans="1:18" x14ac:dyDescent="0.25">
      <c r="O61" s="5" t="str">
        <f>IFERROR(VLOOKUP(Table3[[#This Row],[Player]],Table6[Player],1,0),"NA")</f>
        <v>NA</v>
      </c>
      <c r="P61" s="5" t="str">
        <f>IFERROR(VLOOKUP(Table3[[#This Row],[Player]],workbook!J61:O100,4,0),"0")</f>
        <v>0</v>
      </c>
      <c r="Q61" s="6"/>
      <c r="R61" s="5"/>
    </row>
    <row r="62" spans="1:18" x14ac:dyDescent="0.25">
      <c r="O62" s="5" t="str">
        <f>IFERROR(VLOOKUP(Table3[[#This Row],[Player]],Table6[Player],1,0),"NA")</f>
        <v>NA</v>
      </c>
      <c r="P62" s="5" t="str">
        <f>IFERROR(VLOOKUP(Table3[[#This Row],[Player]],workbook!J62:O101,4,0),"0")</f>
        <v>0</v>
      </c>
      <c r="Q62" s="6"/>
      <c r="R62" s="5"/>
    </row>
    <row r="63" spans="1:18" x14ac:dyDescent="0.25">
      <c r="O63" s="5" t="str">
        <f>IFERROR(VLOOKUP(Table3[[#This Row],[Player]],Table6[Player],1,0),"NA")</f>
        <v>NA</v>
      </c>
      <c r="P63" s="5" t="str">
        <f>IFERROR(VLOOKUP(Table3[[#This Row],[Player]],workbook!J63:O102,4,0),"0")</f>
        <v>0</v>
      </c>
      <c r="Q63" s="6"/>
      <c r="R63" s="5"/>
    </row>
    <row r="64" spans="1:18" x14ac:dyDescent="0.25">
      <c r="O64" s="5" t="str">
        <f>IFERROR(VLOOKUP(Table3[[#This Row],[Player]],Table6[Player],1,0),"NA")</f>
        <v>NA</v>
      </c>
      <c r="P64" s="5" t="str">
        <f>IFERROR(VLOOKUP(Table3[[#This Row],[Player]],workbook!J64:O103,4,0),"0")</f>
        <v>0</v>
      </c>
      <c r="Q64" s="6"/>
      <c r="R64" s="5"/>
    </row>
    <row r="65" spans="15:18" x14ac:dyDescent="0.25">
      <c r="O65" s="5" t="str">
        <f>IFERROR(VLOOKUP(Table3[[#This Row],[Player]],Table6[Player],1,0),"NA")</f>
        <v>NA</v>
      </c>
      <c r="P65" s="5" t="str">
        <f>IFERROR(VLOOKUP(Table3[[#This Row],[Player]],workbook!J65:O104,4,0),"0")</f>
        <v>0</v>
      </c>
      <c r="Q65" s="6"/>
      <c r="R65" s="5"/>
    </row>
    <row r="66" spans="15:18" x14ac:dyDescent="0.25">
      <c r="O66" s="5" t="str">
        <f>IFERROR(VLOOKUP(Table3[[#This Row],[Player]],Table6[Player],1,0),"NA")</f>
        <v>NA</v>
      </c>
      <c r="P66" s="5" t="str">
        <f>IFERROR(VLOOKUP(Table3[[#This Row],[Player]],workbook!J66:O105,4,0),"0")</f>
        <v>0</v>
      </c>
      <c r="Q66" s="6"/>
      <c r="R66" s="5"/>
    </row>
    <row r="67" spans="15:18" x14ac:dyDescent="0.25">
      <c r="O67" s="5" t="str">
        <f>IFERROR(VLOOKUP(Table3[[#This Row],[Player]],Table6[Player],1,0),"NA")</f>
        <v>NA</v>
      </c>
      <c r="P67" s="5" t="str">
        <f>IFERROR(VLOOKUP(Table3[[#This Row],[Player]],workbook!J67:O106,4,0),"0")</f>
        <v>0</v>
      </c>
      <c r="Q67" s="6"/>
      <c r="R67" s="5"/>
    </row>
    <row r="68" spans="15:18" x14ac:dyDescent="0.25">
      <c r="O68" s="5" t="str">
        <f>IFERROR(VLOOKUP(Table3[[#This Row],[Player]],Table6[Player],1,0),"NA")</f>
        <v>NA</v>
      </c>
      <c r="P68" s="5" t="str">
        <f>IFERROR(VLOOKUP(Table3[[#This Row],[Player]],workbook!J68:O107,4,0),"0")</f>
        <v>0</v>
      </c>
      <c r="Q68" s="6"/>
      <c r="R68" s="5"/>
    </row>
    <row r="69" spans="15:18" x14ac:dyDescent="0.25">
      <c r="O69" s="5" t="str">
        <f>IFERROR(VLOOKUP(Table3[[#This Row],[Player]],Table6[Player],1,0),"NA")</f>
        <v>NA</v>
      </c>
      <c r="P69" s="5" t="str">
        <f>IFERROR(VLOOKUP(Table3[[#This Row],[Player]],workbook!J69:O108,4,0),"0")</f>
        <v>0</v>
      </c>
      <c r="Q69" s="6"/>
      <c r="R69" s="5"/>
    </row>
    <row r="70" spans="15:18" x14ac:dyDescent="0.25">
      <c r="O70" s="5" t="str">
        <f>IFERROR(VLOOKUP(Table3[[#This Row],[Player]],Table6[Player],1,0),"NA")</f>
        <v>NA</v>
      </c>
      <c r="P70" s="5" t="str">
        <f>IFERROR(VLOOKUP(Table3[[#This Row],[Player]],workbook!J70:O109,4,0),"0")</f>
        <v>0</v>
      </c>
      <c r="Q70" s="6"/>
      <c r="R70" s="5"/>
    </row>
    <row r="71" spans="15:18" x14ac:dyDescent="0.25">
      <c r="O71" s="5" t="str">
        <f>IFERROR(VLOOKUP(Table3[[#This Row],[Player]],Table6[Player],1,0),"NA")</f>
        <v>NA</v>
      </c>
      <c r="P71" s="5" t="str">
        <f>IFERROR(VLOOKUP(Table3[[#This Row],[Player]],workbook!J71:O110,4,0),"0")</f>
        <v>0</v>
      </c>
      <c r="Q71" s="6"/>
      <c r="R71" s="5"/>
    </row>
    <row r="72" spans="15:18" x14ac:dyDescent="0.25">
      <c r="O72" s="5" t="str">
        <f>IFERROR(VLOOKUP(Table3[[#This Row],[Player]],Table6[Player],1,0),"NA")</f>
        <v>NA</v>
      </c>
      <c r="P72" s="5" t="str">
        <f>IFERROR(VLOOKUP(Table3[[#This Row],[Player]],workbook!J72:O111,4,0),"0")</f>
        <v>0</v>
      </c>
      <c r="Q72" s="6"/>
      <c r="R72" s="5"/>
    </row>
    <row r="73" spans="15:18" x14ac:dyDescent="0.25">
      <c r="O73" s="5" t="str">
        <f>IFERROR(VLOOKUP(Table3[[#This Row],[Player]],Table6[Player],1,0),"NA")</f>
        <v>NA</v>
      </c>
      <c r="P73" s="5" t="str">
        <f>IFERROR(VLOOKUP(Table3[[#This Row],[Player]],workbook!J73:O112,4,0),"0")</f>
        <v>0</v>
      </c>
      <c r="Q73" s="6"/>
      <c r="R73" s="5"/>
    </row>
    <row r="74" spans="15:18" x14ac:dyDescent="0.25">
      <c r="O74" s="5" t="str">
        <f>IFERROR(VLOOKUP(Table3[[#This Row],[Player]],Table6[Player],1,0),"NA")</f>
        <v>NA</v>
      </c>
      <c r="P74" s="5" t="str">
        <f>IFERROR(VLOOKUP(Table3[[#This Row],[Player]],workbook!J74:O113,4,0),"0")</f>
        <v>0</v>
      </c>
      <c r="Q74" s="6"/>
      <c r="R74" s="5"/>
    </row>
    <row r="75" spans="15:18" x14ac:dyDescent="0.25">
      <c r="O75" s="5" t="str">
        <f>IFERROR(VLOOKUP(Table3[[#This Row],[Player]],Table6[Player],1,0),"NA")</f>
        <v>NA</v>
      </c>
      <c r="P75" s="5" t="str">
        <f>IFERROR(VLOOKUP(Table3[[#This Row],[Player]],workbook!J75:O114,4,0),"0")</f>
        <v>0</v>
      </c>
      <c r="Q75" s="6"/>
      <c r="R75" s="5"/>
    </row>
    <row r="76" spans="15:18" x14ac:dyDescent="0.25">
      <c r="O76" s="5" t="str">
        <f>IFERROR(VLOOKUP(Table3[[#This Row],[Player]],Table6[Player],1,0),"NA")</f>
        <v>NA</v>
      </c>
      <c r="P76" s="5" t="str">
        <f>IFERROR(VLOOKUP(Table3[[#This Row],[Player]],workbook!J76:O115,4,0),"0")</f>
        <v>0</v>
      </c>
      <c r="Q76" s="6"/>
      <c r="R76" s="5"/>
    </row>
    <row r="77" spans="15:18" x14ac:dyDescent="0.25">
      <c r="O77" s="5" t="str">
        <f>IFERROR(VLOOKUP(Table3[[#This Row],[Player]],Table6[Player],1,0),"NA")</f>
        <v>NA</v>
      </c>
      <c r="P77" s="5" t="str">
        <f>IFERROR(VLOOKUP(Table3[[#This Row],[Player]],workbook!J77:O116,4,0),"0")</f>
        <v>0</v>
      </c>
      <c r="Q77" s="6"/>
      <c r="R77" s="5"/>
    </row>
    <row r="78" spans="15:18" x14ac:dyDescent="0.25">
      <c r="O78" s="5" t="str">
        <f>IFERROR(VLOOKUP(Table3[[#This Row],[Player]],Table6[Player],1,0),"NA")</f>
        <v>NA</v>
      </c>
      <c r="P78" s="5" t="str">
        <f>IFERROR(VLOOKUP(Table3[[#This Row],[Player]],workbook!J78:O117,4,0),"0")</f>
        <v>0</v>
      </c>
      <c r="Q78" s="6"/>
      <c r="R78" s="5"/>
    </row>
    <row r="79" spans="15:18" x14ac:dyDescent="0.25">
      <c r="O79" s="5" t="str">
        <f>IFERROR(VLOOKUP(Table3[[#This Row],[Player]],Table6[Player],1,0),"NA")</f>
        <v>NA</v>
      </c>
      <c r="P79" s="5" t="str">
        <f>IFERROR(VLOOKUP(Table3[[#This Row],[Player]],workbook!J79:O118,4,0),"0")</f>
        <v>0</v>
      </c>
      <c r="Q79" s="6"/>
      <c r="R79" s="5"/>
    </row>
    <row r="80" spans="15:18" x14ac:dyDescent="0.25">
      <c r="O80" s="5" t="str">
        <f>IFERROR(VLOOKUP(Table3[[#This Row],[Player]],Table6[Player],1,0),"NA")</f>
        <v>NA</v>
      </c>
      <c r="P80" s="5" t="str">
        <f>IFERROR(VLOOKUP(Table3[[#This Row],[Player]],workbook!J80:O119,4,0),"0")</f>
        <v>0</v>
      </c>
      <c r="Q80" s="6"/>
      <c r="R80" s="5"/>
    </row>
    <row r="81" spans="15:18" x14ac:dyDescent="0.25">
      <c r="O81" s="5" t="str">
        <f>IFERROR(VLOOKUP(Table3[[#This Row],[Player]],Table6[Player],1,0),"NA")</f>
        <v>NA</v>
      </c>
      <c r="P81" s="5" t="str">
        <f>IFERROR(VLOOKUP(Table3[[#This Row],[Player]],workbook!J81:O120,4,0),"0")</f>
        <v>0</v>
      </c>
      <c r="Q81" s="6"/>
      <c r="R81" s="5"/>
    </row>
    <row r="82" spans="15:18" x14ac:dyDescent="0.25">
      <c r="O82" s="5" t="str">
        <f>IFERROR(VLOOKUP(Table3[[#This Row],[Player]],Table6[Player],1,0),"NA")</f>
        <v>NA</v>
      </c>
      <c r="P82" s="5" t="str">
        <f>IFERROR(VLOOKUP(Table3[[#This Row],[Player]],workbook!J82:O121,4,0),"0")</f>
        <v>0</v>
      </c>
      <c r="Q82" s="6"/>
      <c r="R82" s="5"/>
    </row>
    <row r="83" spans="15:18" x14ac:dyDescent="0.25">
      <c r="O83" s="5" t="str">
        <f>IFERROR(VLOOKUP(Table3[[#This Row],[Player]],Table6[Player],1,0),"NA")</f>
        <v>NA</v>
      </c>
      <c r="P83" s="5" t="str">
        <f>IFERROR(VLOOKUP(Table3[[#This Row],[Player]],workbook!J83:O122,4,0),"0")</f>
        <v>0</v>
      </c>
      <c r="Q83" s="6"/>
      <c r="R83" s="5"/>
    </row>
    <row r="84" spans="15:18" x14ac:dyDescent="0.25">
      <c r="O84" s="5" t="str">
        <f>IFERROR(VLOOKUP(Table3[[#This Row],[Player]],Table6[Player],1,0),"NA")</f>
        <v>NA</v>
      </c>
      <c r="P84" s="5" t="str">
        <f>IFERROR(VLOOKUP(Table3[[#This Row],[Player]],workbook!J84:O123,4,0),"0")</f>
        <v>0</v>
      </c>
      <c r="Q84" s="6"/>
      <c r="R84" s="5"/>
    </row>
    <row r="85" spans="15:18" x14ac:dyDescent="0.25">
      <c r="O85" s="5" t="str">
        <f>IFERROR(VLOOKUP(Table3[[#This Row],[Player]],Table6[Player],1,0),"NA")</f>
        <v>NA</v>
      </c>
      <c r="P85" s="5" t="str">
        <f>IFERROR(VLOOKUP(Table3[[#This Row],[Player]],workbook!J85:O124,4,0),"0")</f>
        <v>0</v>
      </c>
      <c r="Q85" s="6"/>
      <c r="R85" s="5"/>
    </row>
    <row r="86" spans="15:18" x14ac:dyDescent="0.25">
      <c r="O86" s="5" t="str">
        <f>IFERROR(VLOOKUP(Table3[[#This Row],[Player]],Table6[Player],1,0),"NA")</f>
        <v>NA</v>
      </c>
      <c r="P86" s="5" t="str">
        <f>IFERROR(VLOOKUP(Table3[[#This Row],[Player]],workbook!J86:O125,4,0),"0")</f>
        <v>0</v>
      </c>
      <c r="Q86" s="6"/>
      <c r="R86" s="5"/>
    </row>
    <row r="87" spans="15:18" x14ac:dyDescent="0.25">
      <c r="O87" s="5" t="str">
        <f>IFERROR(VLOOKUP(Table3[[#This Row],[Player]],Table6[Player],1,0),"NA")</f>
        <v>NA</v>
      </c>
      <c r="P87" s="5" t="str">
        <f>IFERROR(VLOOKUP(Table3[[#This Row],[Player]],workbook!J87:O126,4,0),"0")</f>
        <v>0</v>
      </c>
      <c r="Q87" s="6"/>
      <c r="R87" s="5"/>
    </row>
    <row r="88" spans="15:18" x14ac:dyDescent="0.25">
      <c r="O88" s="5" t="str">
        <f>IFERROR(VLOOKUP(Table3[[#This Row],[Player]],Table6[Player],1,0),"NA")</f>
        <v>NA</v>
      </c>
      <c r="P88" s="5" t="str">
        <f>IFERROR(VLOOKUP(Table3[[#This Row],[Player]],workbook!J88:O127,4,0),"0")</f>
        <v>0</v>
      </c>
      <c r="Q88" s="6"/>
      <c r="R88" s="5"/>
    </row>
    <row r="89" spans="15:18" x14ac:dyDescent="0.25">
      <c r="O89" s="5" t="str">
        <f>IFERROR(VLOOKUP(Table3[[#This Row],[Player]],Table6[Player],1,0),"NA")</f>
        <v>NA</v>
      </c>
      <c r="P89" s="5" t="str">
        <f>IFERROR(VLOOKUP(Table3[[#This Row],[Player]],workbook!J89:O128,4,0),"0")</f>
        <v>0</v>
      </c>
      <c r="Q89" s="6"/>
      <c r="R89" s="5"/>
    </row>
    <row r="90" spans="15:18" x14ac:dyDescent="0.25">
      <c r="O90" s="5" t="str">
        <f>IFERROR(VLOOKUP(Table3[[#This Row],[Player]],Table6[Player],1,0),"NA")</f>
        <v>NA</v>
      </c>
      <c r="P90" s="5" t="str">
        <f>IFERROR(VLOOKUP(Table3[[#This Row],[Player]],workbook!J90:O129,4,0),"0")</f>
        <v>0</v>
      </c>
      <c r="Q90" s="6"/>
      <c r="R90" s="5"/>
    </row>
    <row r="91" spans="15:18" x14ac:dyDescent="0.25">
      <c r="O91" s="5" t="str">
        <f>IFERROR(VLOOKUP(Table3[[#This Row],[Player]],Table6[Player],1,0),"NA")</f>
        <v>NA</v>
      </c>
      <c r="P91" s="5" t="str">
        <f>IFERROR(VLOOKUP(Table3[[#This Row],[Player]],workbook!J91:O130,4,0),"0")</f>
        <v>0</v>
      </c>
      <c r="Q91" s="6"/>
      <c r="R91" s="5"/>
    </row>
    <row r="92" spans="15:18" x14ac:dyDescent="0.25">
      <c r="O92" s="5" t="str">
        <f>IFERROR(VLOOKUP(Table3[[#This Row],[Player]],Table6[Player],1,0),"NA")</f>
        <v>NA</v>
      </c>
      <c r="P92" s="5" t="str">
        <f>IFERROR(VLOOKUP(Table3[[#This Row],[Player]],workbook!J92:O131,4,0),"0")</f>
        <v>0</v>
      </c>
      <c r="Q92" s="6"/>
      <c r="R92" s="5"/>
    </row>
    <row r="93" spans="15:18" x14ac:dyDescent="0.25">
      <c r="O93" s="5" t="str">
        <f>IFERROR(VLOOKUP(Table3[[#This Row],[Player]],Table6[Player],1,0),"NA")</f>
        <v>NA</v>
      </c>
      <c r="P93" s="5" t="str">
        <f>IFERROR(VLOOKUP(Table3[[#This Row],[Player]],workbook!J93:O132,4,0),"0")</f>
        <v>0</v>
      </c>
      <c r="Q93" s="6"/>
      <c r="R93" s="5"/>
    </row>
    <row r="94" spans="15:18" x14ac:dyDescent="0.25">
      <c r="O94" s="5" t="str">
        <f>IFERROR(VLOOKUP(Table3[[#This Row],[Player]],Table6[Player],1,0),"NA")</f>
        <v>NA</v>
      </c>
      <c r="P94" s="5" t="str">
        <f>IFERROR(VLOOKUP(Table3[[#This Row],[Player]],workbook!J94:O133,4,0),"0")</f>
        <v>0</v>
      </c>
      <c r="Q94" s="6"/>
      <c r="R94" s="5"/>
    </row>
    <row r="95" spans="15:18" x14ac:dyDescent="0.25">
      <c r="O95" s="5" t="str">
        <f>IFERROR(VLOOKUP(Table3[[#This Row],[Player]],Table6[Player],1,0),"NA")</f>
        <v>NA</v>
      </c>
      <c r="P95" s="5" t="str">
        <f>IFERROR(VLOOKUP(Table3[[#This Row],[Player]],workbook!J95:O134,4,0),"0")</f>
        <v>0</v>
      </c>
      <c r="Q95" s="6"/>
      <c r="R95" s="5"/>
    </row>
    <row r="96" spans="15:18" x14ac:dyDescent="0.25">
      <c r="O96" s="5" t="str">
        <f>IFERROR(VLOOKUP(Table3[[#This Row],[Player]],Table6[Player],1,0),"NA")</f>
        <v>NA</v>
      </c>
      <c r="P96" s="5" t="str">
        <f>IFERROR(VLOOKUP(Table3[[#This Row],[Player]],workbook!J96:O135,4,0),"0")</f>
        <v>0</v>
      </c>
      <c r="Q96" s="6"/>
      <c r="R96" s="5"/>
    </row>
    <row r="97" spans="15:18" x14ac:dyDescent="0.25">
      <c r="O97" s="5" t="str">
        <f>IFERROR(VLOOKUP(Table3[[#This Row],[Player]],Table6[Player],1,0),"NA")</f>
        <v>NA</v>
      </c>
      <c r="P97" s="5" t="str">
        <f>IFERROR(VLOOKUP(Table3[[#This Row],[Player]],workbook!J97:O136,4,0),"0")</f>
        <v>0</v>
      </c>
      <c r="Q97" s="6"/>
      <c r="R97" s="5"/>
    </row>
    <row r="98" spans="15:18" x14ac:dyDescent="0.25">
      <c r="O98" s="5" t="str">
        <f>IFERROR(VLOOKUP(Table3[[#This Row],[Player]],Table6[Player],1,0),"NA")</f>
        <v>NA</v>
      </c>
      <c r="P98" s="5" t="str">
        <f>IFERROR(VLOOKUP(Table3[[#This Row],[Player]],workbook!J98:O137,4,0),"0")</f>
        <v>0</v>
      </c>
      <c r="Q98" s="6"/>
      <c r="R98" s="5"/>
    </row>
    <row r="99" spans="15:18" x14ac:dyDescent="0.25">
      <c r="O99" s="5" t="str">
        <f>IFERROR(VLOOKUP(Table3[[#This Row],[Player]],Table6[Player],1,0),"NA")</f>
        <v>NA</v>
      </c>
      <c r="P99" s="5" t="str">
        <f>IFERROR(VLOOKUP(Table3[[#This Row],[Player]],workbook!J99:O138,4,0),"0")</f>
        <v>0</v>
      </c>
      <c r="Q99" s="6"/>
      <c r="R99" s="5"/>
    </row>
    <row r="100" spans="15:18" x14ac:dyDescent="0.25">
      <c r="O100" s="5" t="str">
        <f>IFERROR(VLOOKUP(Table3[[#This Row],[Player]],Table6[Player],1,0),"NA")</f>
        <v>NA</v>
      </c>
      <c r="P100" s="5" t="str">
        <f>IFERROR(VLOOKUP(Table3[[#This Row],[Player]],workbook!J100:O139,4,0),"0")</f>
        <v>0</v>
      </c>
      <c r="Q100" s="6"/>
      <c r="R100" s="5"/>
    </row>
  </sheetData>
  <mergeCells count="1">
    <mergeCell ref="S2:T2"/>
  </mergeCells>
  <pageMargins left="0.7" right="0.7" top="0.75" bottom="0.75" header="0.3" footer="0.3"/>
  <ignoredErrors>
    <ignoredError sqref="Q3:Q5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0"/>
  <sheetViews>
    <sheetView topLeftCell="A31" workbookViewId="0">
      <selection activeCell="M3" sqref="M3"/>
    </sheetView>
  </sheetViews>
  <sheetFormatPr defaultRowHeight="15" x14ac:dyDescent="0.25"/>
  <cols>
    <col min="1" max="1" width="30.5703125" customWidth="1"/>
    <col min="2" max="2" width="6.7109375" customWidth="1"/>
    <col min="3" max="3" width="6.85546875" customWidth="1"/>
    <col min="4" max="4" width="8.28515625" customWidth="1"/>
    <col min="5" max="5" width="8.140625" customWidth="1"/>
    <col min="6" max="6" width="7.42578125" customWidth="1"/>
    <col min="7" max="7" width="9.42578125" customWidth="1"/>
    <col min="8" max="8" width="7.140625" customWidth="1"/>
    <col min="9" max="9" width="7.28515625" style="21" customWidth="1"/>
    <col min="10" max="10" width="8" customWidth="1"/>
    <col min="11" max="11" width="5.42578125" customWidth="1"/>
    <col min="12" max="12" width="4.85546875" customWidth="1"/>
    <col min="13" max="13" width="10.7109375" customWidth="1"/>
    <col min="15" max="15" width="12.140625" customWidth="1"/>
    <col min="16" max="16" width="10.28515625" customWidth="1"/>
  </cols>
  <sheetData>
    <row r="2" spans="1:17" x14ac:dyDescent="0.25">
      <c r="A2" s="3" t="s">
        <v>0</v>
      </c>
      <c r="B2" s="3" t="s">
        <v>37</v>
      </c>
      <c r="C2" s="3" t="s">
        <v>1</v>
      </c>
      <c r="D2" s="3" t="s">
        <v>38</v>
      </c>
      <c r="E2" s="3" t="s">
        <v>39</v>
      </c>
      <c r="F2" s="3" t="s">
        <v>3</v>
      </c>
      <c r="G2" s="3" t="s">
        <v>40</v>
      </c>
      <c r="H2" s="3" t="s">
        <v>5</v>
      </c>
      <c r="I2" s="20" t="s">
        <v>103</v>
      </c>
      <c r="J2" s="3" t="s">
        <v>48</v>
      </c>
      <c r="K2" s="3" t="s">
        <v>142</v>
      </c>
      <c r="L2" s="3" t="s">
        <v>143</v>
      </c>
      <c r="M2" s="3" t="s">
        <v>183</v>
      </c>
    </row>
    <row r="3" spans="1:17" x14ac:dyDescent="0.25">
      <c r="A3" t="s">
        <v>104</v>
      </c>
      <c r="B3">
        <v>17</v>
      </c>
      <c r="C3">
        <v>17</v>
      </c>
      <c r="D3">
        <v>65.400000000000006</v>
      </c>
      <c r="E3">
        <v>1</v>
      </c>
      <c r="F3">
        <v>548</v>
      </c>
      <c r="G3">
        <v>30</v>
      </c>
      <c r="H3">
        <v>18.260000000000002</v>
      </c>
      <c r="I3" s="22">
        <v>8.34</v>
      </c>
      <c r="J3">
        <v>13.1</v>
      </c>
      <c r="K3">
        <v>2</v>
      </c>
      <c r="L3">
        <v>0</v>
      </c>
      <c r="M3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118</v>
      </c>
      <c r="O3" s="52"/>
      <c r="P3" s="52"/>
      <c r="Q3" s="52"/>
    </row>
    <row r="4" spans="1:17" x14ac:dyDescent="0.25">
      <c r="A4" t="s">
        <v>105</v>
      </c>
      <c r="B4">
        <v>15</v>
      </c>
      <c r="C4">
        <v>15</v>
      </c>
      <c r="D4">
        <v>60</v>
      </c>
      <c r="E4">
        <v>2</v>
      </c>
      <c r="F4">
        <v>404</v>
      </c>
      <c r="G4">
        <v>27</v>
      </c>
      <c r="H4">
        <v>14.96</v>
      </c>
      <c r="I4" s="22">
        <v>8.34</v>
      </c>
      <c r="J4">
        <v>13.3</v>
      </c>
      <c r="K4">
        <v>2</v>
      </c>
      <c r="L4">
        <v>0</v>
      </c>
      <c r="M4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117</v>
      </c>
      <c r="O4" s="52"/>
      <c r="P4" s="52"/>
      <c r="Q4" s="52"/>
    </row>
    <row r="5" spans="1:17" x14ac:dyDescent="0.25">
      <c r="A5" t="s">
        <v>106</v>
      </c>
      <c r="B5">
        <v>15</v>
      </c>
      <c r="C5">
        <v>15</v>
      </c>
      <c r="D5">
        <v>57.2</v>
      </c>
      <c r="E5">
        <v>3</v>
      </c>
      <c r="F5">
        <v>457</v>
      </c>
      <c r="G5">
        <v>25</v>
      </c>
      <c r="H5">
        <v>18.28</v>
      </c>
      <c r="I5" s="22">
        <v>8.34</v>
      </c>
      <c r="J5">
        <v>13.7</v>
      </c>
      <c r="K5">
        <v>1</v>
      </c>
      <c r="L5">
        <v>0</v>
      </c>
      <c r="M5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109</v>
      </c>
      <c r="O5" s="52"/>
      <c r="P5" s="52"/>
      <c r="Q5" s="52"/>
    </row>
    <row r="6" spans="1:17" x14ac:dyDescent="0.25">
      <c r="A6" t="s">
        <v>107</v>
      </c>
      <c r="B6">
        <v>16</v>
      </c>
      <c r="C6">
        <v>16</v>
      </c>
      <c r="D6">
        <v>61</v>
      </c>
      <c r="E6">
        <v>0</v>
      </c>
      <c r="F6">
        <v>512</v>
      </c>
      <c r="G6">
        <v>22</v>
      </c>
      <c r="H6">
        <v>23.27</v>
      </c>
      <c r="I6" s="22">
        <v>8.34</v>
      </c>
      <c r="J6">
        <v>16.600000000000001</v>
      </c>
      <c r="K6">
        <v>0</v>
      </c>
      <c r="L6">
        <v>0</v>
      </c>
      <c r="M6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66</v>
      </c>
    </row>
    <row r="7" spans="1:17" x14ac:dyDescent="0.25">
      <c r="A7" t="s">
        <v>108</v>
      </c>
      <c r="B7">
        <v>15</v>
      </c>
      <c r="C7">
        <v>15</v>
      </c>
      <c r="D7">
        <v>57.1</v>
      </c>
      <c r="E7">
        <v>0</v>
      </c>
      <c r="F7">
        <v>405</v>
      </c>
      <c r="G7">
        <v>21</v>
      </c>
      <c r="H7">
        <v>19.28</v>
      </c>
      <c r="I7" s="22">
        <v>8.34</v>
      </c>
      <c r="J7">
        <v>16.3</v>
      </c>
      <c r="K7">
        <v>0</v>
      </c>
      <c r="L7">
        <v>0</v>
      </c>
      <c r="M7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63</v>
      </c>
    </row>
    <row r="8" spans="1:17" x14ac:dyDescent="0.25">
      <c r="A8" t="s">
        <v>110</v>
      </c>
      <c r="B8">
        <v>14</v>
      </c>
      <c r="C8">
        <v>14</v>
      </c>
      <c r="D8">
        <v>53.4</v>
      </c>
      <c r="E8">
        <v>0</v>
      </c>
      <c r="F8">
        <v>460</v>
      </c>
      <c r="G8">
        <v>20</v>
      </c>
      <c r="H8">
        <v>23</v>
      </c>
      <c r="I8" s="22">
        <v>8.34</v>
      </c>
      <c r="J8">
        <v>16.100000000000001</v>
      </c>
      <c r="K8">
        <v>0</v>
      </c>
      <c r="L8">
        <v>0</v>
      </c>
      <c r="M8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60</v>
      </c>
    </row>
    <row r="9" spans="1:17" x14ac:dyDescent="0.25">
      <c r="A9" t="s">
        <v>109</v>
      </c>
      <c r="B9">
        <v>14</v>
      </c>
      <c r="C9">
        <v>14</v>
      </c>
      <c r="D9">
        <v>55.4</v>
      </c>
      <c r="E9">
        <v>0</v>
      </c>
      <c r="F9">
        <v>365</v>
      </c>
      <c r="G9">
        <v>20</v>
      </c>
      <c r="H9">
        <v>18.25</v>
      </c>
      <c r="I9" s="22">
        <v>8.34</v>
      </c>
      <c r="J9">
        <v>16.7</v>
      </c>
      <c r="K9">
        <v>0</v>
      </c>
      <c r="L9">
        <v>0</v>
      </c>
      <c r="M9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60</v>
      </c>
    </row>
    <row r="10" spans="1:17" x14ac:dyDescent="0.25">
      <c r="A10" t="s">
        <v>111</v>
      </c>
      <c r="B10">
        <v>13</v>
      </c>
      <c r="C10">
        <v>13</v>
      </c>
      <c r="D10">
        <v>52</v>
      </c>
      <c r="E10">
        <v>0</v>
      </c>
      <c r="F10">
        <v>356</v>
      </c>
      <c r="G10">
        <v>17</v>
      </c>
      <c r="H10">
        <v>20.94</v>
      </c>
      <c r="I10" s="22">
        <v>8.34</v>
      </c>
      <c r="J10">
        <v>18.3</v>
      </c>
      <c r="K10">
        <v>0</v>
      </c>
      <c r="L10">
        <v>1</v>
      </c>
      <c r="M10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51</v>
      </c>
    </row>
    <row r="11" spans="1:17" x14ac:dyDescent="0.25">
      <c r="A11" t="s">
        <v>119</v>
      </c>
      <c r="B11">
        <v>9</v>
      </c>
      <c r="C11">
        <v>9</v>
      </c>
      <c r="D11">
        <v>31.4</v>
      </c>
      <c r="E11">
        <v>1</v>
      </c>
      <c r="F11">
        <v>210</v>
      </c>
      <c r="G11">
        <v>11</v>
      </c>
      <c r="H11">
        <v>19.09</v>
      </c>
      <c r="I11" s="22">
        <v>8.34</v>
      </c>
      <c r="J11">
        <v>17.2</v>
      </c>
      <c r="K11">
        <v>1</v>
      </c>
      <c r="L11">
        <v>0</v>
      </c>
      <c r="M11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51</v>
      </c>
    </row>
    <row r="12" spans="1:17" x14ac:dyDescent="0.25">
      <c r="A12" t="s">
        <v>120</v>
      </c>
      <c r="B12">
        <v>9</v>
      </c>
      <c r="C12">
        <v>9</v>
      </c>
      <c r="D12">
        <v>27.1</v>
      </c>
      <c r="E12">
        <v>2</v>
      </c>
      <c r="F12">
        <v>236</v>
      </c>
      <c r="G12">
        <v>11</v>
      </c>
      <c r="H12">
        <v>21.45</v>
      </c>
      <c r="I12" s="22">
        <v>8.34</v>
      </c>
      <c r="J12">
        <v>14.8</v>
      </c>
      <c r="K12">
        <v>0</v>
      </c>
      <c r="L12">
        <v>0</v>
      </c>
      <c r="M12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49</v>
      </c>
    </row>
    <row r="13" spans="1:17" x14ac:dyDescent="0.25">
      <c r="A13" t="s">
        <v>126</v>
      </c>
      <c r="B13">
        <v>8</v>
      </c>
      <c r="C13">
        <v>8</v>
      </c>
      <c r="D13">
        <v>26</v>
      </c>
      <c r="E13">
        <v>2</v>
      </c>
      <c r="F13">
        <v>212</v>
      </c>
      <c r="G13">
        <v>9</v>
      </c>
      <c r="H13">
        <v>23.55</v>
      </c>
      <c r="I13" s="22">
        <v>8.34</v>
      </c>
      <c r="J13">
        <v>17.3</v>
      </c>
      <c r="K13">
        <v>0</v>
      </c>
      <c r="L13">
        <v>0</v>
      </c>
      <c r="M13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43</v>
      </c>
    </row>
    <row r="14" spans="1:17" x14ac:dyDescent="0.25">
      <c r="A14" t="s">
        <v>114</v>
      </c>
      <c r="B14">
        <v>7</v>
      </c>
      <c r="C14">
        <v>7</v>
      </c>
      <c r="D14">
        <v>28</v>
      </c>
      <c r="E14">
        <v>0</v>
      </c>
      <c r="F14">
        <v>233</v>
      </c>
      <c r="G14">
        <v>14</v>
      </c>
      <c r="H14">
        <v>16.64</v>
      </c>
      <c r="I14" s="22">
        <v>8.34</v>
      </c>
      <c r="J14">
        <v>12</v>
      </c>
      <c r="K14">
        <v>0</v>
      </c>
      <c r="L14">
        <v>0</v>
      </c>
      <c r="M14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42</v>
      </c>
    </row>
    <row r="15" spans="1:17" x14ac:dyDescent="0.25">
      <c r="A15" t="s">
        <v>112</v>
      </c>
      <c r="B15">
        <v>16</v>
      </c>
      <c r="C15">
        <v>16</v>
      </c>
      <c r="D15">
        <v>62.5</v>
      </c>
      <c r="E15">
        <v>1</v>
      </c>
      <c r="F15">
        <v>504</v>
      </c>
      <c r="G15">
        <v>16</v>
      </c>
      <c r="H15">
        <v>31.5</v>
      </c>
      <c r="I15" s="22">
        <v>8.34</v>
      </c>
      <c r="J15">
        <v>23.5</v>
      </c>
      <c r="K15">
        <v>0</v>
      </c>
      <c r="L15">
        <v>0</v>
      </c>
      <c r="M15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40</v>
      </c>
    </row>
    <row r="16" spans="1:17" x14ac:dyDescent="0.25">
      <c r="A16" t="s">
        <v>70</v>
      </c>
      <c r="B16">
        <v>17</v>
      </c>
      <c r="C16">
        <v>13</v>
      </c>
      <c r="D16">
        <v>29.4</v>
      </c>
      <c r="E16">
        <v>0</v>
      </c>
      <c r="F16">
        <v>283</v>
      </c>
      <c r="G16">
        <v>13</v>
      </c>
      <c r="H16">
        <v>21.76</v>
      </c>
      <c r="I16" s="22">
        <v>8.34</v>
      </c>
      <c r="J16">
        <v>13.6</v>
      </c>
      <c r="K16">
        <v>0</v>
      </c>
      <c r="L16">
        <v>0</v>
      </c>
      <c r="M16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39</v>
      </c>
    </row>
    <row r="17" spans="1:13" x14ac:dyDescent="0.25">
      <c r="A17" t="s">
        <v>127</v>
      </c>
      <c r="B17">
        <v>8</v>
      </c>
      <c r="C17">
        <v>8</v>
      </c>
      <c r="D17">
        <v>24.5</v>
      </c>
      <c r="E17">
        <v>1</v>
      </c>
      <c r="F17">
        <v>218</v>
      </c>
      <c r="G17">
        <v>9</v>
      </c>
      <c r="H17">
        <v>24.22</v>
      </c>
      <c r="I17" s="22">
        <v>8.34</v>
      </c>
      <c r="J17">
        <v>16.5</v>
      </c>
      <c r="K17">
        <v>0</v>
      </c>
      <c r="L17">
        <v>0</v>
      </c>
      <c r="M17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35</v>
      </c>
    </row>
    <row r="18" spans="1:13" x14ac:dyDescent="0.25">
      <c r="A18" t="s">
        <v>118</v>
      </c>
      <c r="B18">
        <v>14</v>
      </c>
      <c r="C18">
        <v>14</v>
      </c>
      <c r="D18">
        <v>52</v>
      </c>
      <c r="E18">
        <v>2</v>
      </c>
      <c r="F18">
        <v>396</v>
      </c>
      <c r="G18">
        <v>12</v>
      </c>
      <c r="H18">
        <v>33</v>
      </c>
      <c r="I18" s="22">
        <v>8.34</v>
      </c>
      <c r="J18">
        <v>26</v>
      </c>
      <c r="K18">
        <v>0</v>
      </c>
      <c r="L18">
        <v>0</v>
      </c>
      <c r="M18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34</v>
      </c>
    </row>
    <row r="19" spans="1:13" x14ac:dyDescent="0.25">
      <c r="A19" t="s">
        <v>113</v>
      </c>
      <c r="B19">
        <v>15</v>
      </c>
      <c r="C19">
        <v>15</v>
      </c>
      <c r="D19">
        <v>53</v>
      </c>
      <c r="E19">
        <v>0</v>
      </c>
      <c r="F19">
        <v>433</v>
      </c>
      <c r="G19">
        <v>15</v>
      </c>
      <c r="H19">
        <v>28.86</v>
      </c>
      <c r="I19" s="22">
        <v>8.34</v>
      </c>
      <c r="J19">
        <v>21.2</v>
      </c>
      <c r="K19">
        <v>0</v>
      </c>
      <c r="L19">
        <v>0</v>
      </c>
      <c r="M19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30</v>
      </c>
    </row>
    <row r="20" spans="1:13" x14ac:dyDescent="0.25">
      <c r="A20" t="s">
        <v>122</v>
      </c>
      <c r="B20">
        <v>9</v>
      </c>
      <c r="C20">
        <v>9</v>
      </c>
      <c r="D20">
        <v>31.3</v>
      </c>
      <c r="E20">
        <v>0</v>
      </c>
      <c r="F20">
        <v>235</v>
      </c>
      <c r="G20">
        <v>10</v>
      </c>
      <c r="H20">
        <v>23.5</v>
      </c>
      <c r="I20" s="22">
        <v>8.34</v>
      </c>
      <c r="J20">
        <v>18.899999999999999</v>
      </c>
      <c r="K20">
        <v>0</v>
      </c>
      <c r="L20">
        <v>0</v>
      </c>
      <c r="M20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30</v>
      </c>
    </row>
    <row r="21" spans="1:13" x14ac:dyDescent="0.25">
      <c r="A21" t="s">
        <v>95</v>
      </c>
      <c r="B21">
        <v>14</v>
      </c>
      <c r="C21">
        <v>14</v>
      </c>
      <c r="D21">
        <v>52</v>
      </c>
      <c r="E21">
        <v>0</v>
      </c>
      <c r="F21">
        <v>409</v>
      </c>
      <c r="G21">
        <v>12</v>
      </c>
      <c r="H21">
        <v>34.08</v>
      </c>
      <c r="I21" s="22">
        <v>8.34</v>
      </c>
      <c r="J21">
        <v>26</v>
      </c>
      <c r="K21">
        <v>1</v>
      </c>
      <c r="L21">
        <v>0</v>
      </c>
      <c r="M21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28</v>
      </c>
    </row>
    <row r="22" spans="1:13" x14ac:dyDescent="0.25">
      <c r="A22" t="s">
        <v>115</v>
      </c>
      <c r="B22">
        <v>13</v>
      </c>
      <c r="C22">
        <v>13</v>
      </c>
      <c r="D22">
        <v>52</v>
      </c>
      <c r="E22">
        <v>0</v>
      </c>
      <c r="F22">
        <v>374</v>
      </c>
      <c r="G22">
        <v>14</v>
      </c>
      <c r="H22">
        <v>26.71</v>
      </c>
      <c r="I22" s="22">
        <v>8.34</v>
      </c>
      <c r="J22">
        <v>22.2</v>
      </c>
      <c r="K22">
        <v>0</v>
      </c>
      <c r="L22">
        <v>0</v>
      </c>
      <c r="M22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28</v>
      </c>
    </row>
    <row r="23" spans="1:13" x14ac:dyDescent="0.25">
      <c r="A23" t="s">
        <v>41</v>
      </c>
      <c r="B23">
        <v>16</v>
      </c>
      <c r="C23">
        <v>16</v>
      </c>
      <c r="D23">
        <v>64</v>
      </c>
      <c r="E23">
        <v>1</v>
      </c>
      <c r="F23">
        <v>344</v>
      </c>
      <c r="G23">
        <v>20</v>
      </c>
      <c r="H23">
        <v>17.2</v>
      </c>
      <c r="I23" s="22">
        <v>8.34</v>
      </c>
      <c r="J23">
        <v>19.2</v>
      </c>
      <c r="K23">
        <v>0</v>
      </c>
      <c r="L23">
        <v>0</v>
      </c>
      <c r="M23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28</v>
      </c>
    </row>
    <row r="24" spans="1:13" x14ac:dyDescent="0.25">
      <c r="A24" t="s">
        <v>125</v>
      </c>
      <c r="B24">
        <v>4</v>
      </c>
      <c r="C24">
        <v>4</v>
      </c>
      <c r="D24">
        <v>16</v>
      </c>
      <c r="E24">
        <v>0</v>
      </c>
      <c r="F24">
        <v>167</v>
      </c>
      <c r="G24">
        <v>9</v>
      </c>
      <c r="H24">
        <v>18.55</v>
      </c>
      <c r="I24" s="22">
        <v>8.34</v>
      </c>
      <c r="J24">
        <v>10.6</v>
      </c>
      <c r="K24">
        <v>0</v>
      </c>
      <c r="L24">
        <v>0</v>
      </c>
      <c r="M24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27</v>
      </c>
    </row>
    <row r="25" spans="1:13" x14ac:dyDescent="0.25">
      <c r="A25" t="s">
        <v>116</v>
      </c>
      <c r="B25">
        <v>15</v>
      </c>
      <c r="C25">
        <v>15</v>
      </c>
      <c r="D25">
        <v>51</v>
      </c>
      <c r="E25">
        <v>0</v>
      </c>
      <c r="F25">
        <v>391</v>
      </c>
      <c r="G25">
        <v>13</v>
      </c>
      <c r="H25">
        <v>30.07</v>
      </c>
      <c r="I25" s="22">
        <v>8.34</v>
      </c>
      <c r="J25">
        <v>23.5</v>
      </c>
      <c r="K25">
        <v>0</v>
      </c>
      <c r="L25">
        <v>0</v>
      </c>
      <c r="M25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26</v>
      </c>
    </row>
    <row r="26" spans="1:13" x14ac:dyDescent="0.25">
      <c r="A26" t="s">
        <v>117</v>
      </c>
      <c r="B26">
        <v>14</v>
      </c>
      <c r="C26">
        <v>14</v>
      </c>
      <c r="D26">
        <v>51</v>
      </c>
      <c r="E26">
        <v>1</v>
      </c>
      <c r="F26">
        <v>376</v>
      </c>
      <c r="G26">
        <v>12</v>
      </c>
      <c r="H26">
        <v>31.33</v>
      </c>
      <c r="I26" s="22">
        <v>8.34</v>
      </c>
      <c r="J26">
        <v>25.5</v>
      </c>
      <c r="K26">
        <v>0</v>
      </c>
      <c r="L26">
        <v>0</v>
      </c>
      <c r="M26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26</v>
      </c>
    </row>
    <row r="27" spans="1:13" x14ac:dyDescent="0.25">
      <c r="A27" t="s">
        <v>43</v>
      </c>
      <c r="B27">
        <v>15</v>
      </c>
      <c r="C27">
        <v>15</v>
      </c>
      <c r="D27">
        <v>50</v>
      </c>
      <c r="E27">
        <v>1</v>
      </c>
      <c r="F27">
        <v>298</v>
      </c>
      <c r="G27">
        <v>8</v>
      </c>
      <c r="H27">
        <v>37.25</v>
      </c>
      <c r="I27" s="22">
        <v>8.34</v>
      </c>
      <c r="J27">
        <v>37.5</v>
      </c>
      <c r="K27">
        <v>0</v>
      </c>
      <c r="L27">
        <v>0</v>
      </c>
      <c r="M27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20</v>
      </c>
    </row>
    <row r="28" spans="1:13" x14ac:dyDescent="0.25">
      <c r="A28" t="s">
        <v>133</v>
      </c>
      <c r="B28">
        <v>6</v>
      </c>
      <c r="C28">
        <v>6</v>
      </c>
      <c r="D28">
        <v>20</v>
      </c>
      <c r="E28">
        <v>1</v>
      </c>
      <c r="F28">
        <v>176</v>
      </c>
      <c r="G28">
        <v>6</v>
      </c>
      <c r="H28">
        <v>29.33</v>
      </c>
      <c r="I28" s="22">
        <v>8.34</v>
      </c>
      <c r="J28">
        <v>20</v>
      </c>
      <c r="K28">
        <v>0</v>
      </c>
      <c r="L28">
        <v>0</v>
      </c>
      <c r="M28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20</v>
      </c>
    </row>
    <row r="29" spans="1:13" x14ac:dyDescent="0.25">
      <c r="A29" t="s">
        <v>128</v>
      </c>
      <c r="B29">
        <v>9</v>
      </c>
      <c r="C29">
        <v>9</v>
      </c>
      <c r="D29">
        <v>31.3</v>
      </c>
      <c r="E29">
        <v>0</v>
      </c>
      <c r="F29">
        <v>304</v>
      </c>
      <c r="G29">
        <v>9</v>
      </c>
      <c r="H29">
        <v>33.770000000000003</v>
      </c>
      <c r="I29" s="22">
        <v>8.34</v>
      </c>
      <c r="J29">
        <v>21</v>
      </c>
      <c r="K29">
        <v>0</v>
      </c>
      <c r="L29">
        <v>0</v>
      </c>
      <c r="M29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18</v>
      </c>
    </row>
    <row r="30" spans="1:13" x14ac:dyDescent="0.25">
      <c r="A30" t="s">
        <v>100</v>
      </c>
      <c r="B30">
        <v>10</v>
      </c>
      <c r="C30">
        <v>7</v>
      </c>
      <c r="D30">
        <v>18</v>
      </c>
      <c r="E30">
        <v>0</v>
      </c>
      <c r="F30">
        <v>175</v>
      </c>
      <c r="G30">
        <v>6</v>
      </c>
      <c r="H30">
        <v>29.16</v>
      </c>
      <c r="I30" s="22">
        <v>8.34</v>
      </c>
      <c r="J30">
        <v>18</v>
      </c>
      <c r="K30">
        <v>0</v>
      </c>
      <c r="L30">
        <v>0</v>
      </c>
      <c r="M30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18</v>
      </c>
    </row>
    <row r="31" spans="1:13" x14ac:dyDescent="0.25">
      <c r="A31" t="s">
        <v>136</v>
      </c>
      <c r="B31">
        <v>13</v>
      </c>
      <c r="C31">
        <v>13</v>
      </c>
      <c r="D31">
        <v>45.4</v>
      </c>
      <c r="E31">
        <v>1</v>
      </c>
      <c r="F31">
        <v>379</v>
      </c>
      <c r="G31">
        <v>6</v>
      </c>
      <c r="H31">
        <v>63.16</v>
      </c>
      <c r="I31" s="22">
        <v>8.34</v>
      </c>
      <c r="J31">
        <v>45.6</v>
      </c>
      <c r="K31">
        <v>0</v>
      </c>
      <c r="L31">
        <v>0</v>
      </c>
      <c r="M31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17</v>
      </c>
    </row>
    <row r="32" spans="1:13" x14ac:dyDescent="0.25">
      <c r="A32" t="s">
        <v>131</v>
      </c>
      <c r="B32">
        <v>10</v>
      </c>
      <c r="C32">
        <v>10</v>
      </c>
      <c r="D32">
        <v>29</v>
      </c>
      <c r="E32">
        <v>0</v>
      </c>
      <c r="F32">
        <v>282</v>
      </c>
      <c r="G32">
        <v>8</v>
      </c>
      <c r="H32">
        <v>35.25</v>
      </c>
      <c r="I32" s="22">
        <v>8.34</v>
      </c>
      <c r="J32">
        <v>21.7</v>
      </c>
      <c r="K32">
        <v>0</v>
      </c>
      <c r="L32">
        <v>0</v>
      </c>
      <c r="M32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16</v>
      </c>
    </row>
    <row r="33" spans="1:13" x14ac:dyDescent="0.25">
      <c r="A33" t="s">
        <v>124</v>
      </c>
      <c r="B33">
        <v>14</v>
      </c>
      <c r="C33">
        <v>14</v>
      </c>
      <c r="D33">
        <v>50</v>
      </c>
      <c r="E33">
        <v>0</v>
      </c>
      <c r="F33">
        <v>427</v>
      </c>
      <c r="G33">
        <v>10</v>
      </c>
      <c r="H33">
        <v>42.7</v>
      </c>
      <c r="I33" s="22">
        <v>8.34</v>
      </c>
      <c r="J33">
        <v>30</v>
      </c>
      <c r="K33">
        <v>0</v>
      </c>
      <c r="L33">
        <v>0</v>
      </c>
      <c r="M33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15</v>
      </c>
    </row>
    <row r="34" spans="1:13" x14ac:dyDescent="0.25">
      <c r="A34" t="s">
        <v>84</v>
      </c>
      <c r="B34">
        <v>14</v>
      </c>
      <c r="C34">
        <v>14</v>
      </c>
      <c r="D34">
        <v>46</v>
      </c>
      <c r="E34">
        <v>0</v>
      </c>
      <c r="F34">
        <v>326</v>
      </c>
      <c r="G34">
        <v>10</v>
      </c>
      <c r="H34">
        <v>32.6</v>
      </c>
      <c r="I34" s="22">
        <v>8.34</v>
      </c>
      <c r="J34">
        <v>27.6</v>
      </c>
      <c r="K34">
        <v>0</v>
      </c>
      <c r="L34">
        <v>0</v>
      </c>
      <c r="M34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15</v>
      </c>
    </row>
    <row r="35" spans="1:13" x14ac:dyDescent="0.25">
      <c r="A35" t="s">
        <v>129</v>
      </c>
      <c r="B35">
        <v>10</v>
      </c>
      <c r="C35">
        <v>10</v>
      </c>
      <c r="D35">
        <v>38.1</v>
      </c>
      <c r="E35">
        <v>0</v>
      </c>
      <c r="F35">
        <v>367</v>
      </c>
      <c r="G35">
        <v>9</v>
      </c>
      <c r="H35">
        <v>40.770000000000003</v>
      </c>
      <c r="I35" s="22">
        <v>8.34</v>
      </c>
      <c r="J35">
        <v>25.4</v>
      </c>
      <c r="K35">
        <v>0</v>
      </c>
      <c r="L35">
        <v>0</v>
      </c>
      <c r="M35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13.5</v>
      </c>
    </row>
    <row r="36" spans="1:13" x14ac:dyDescent="0.25">
      <c r="A36" t="s">
        <v>99</v>
      </c>
      <c r="B36">
        <v>15</v>
      </c>
      <c r="C36">
        <v>15</v>
      </c>
      <c r="D36">
        <v>51</v>
      </c>
      <c r="E36">
        <v>0</v>
      </c>
      <c r="F36">
        <v>327</v>
      </c>
      <c r="G36">
        <v>9</v>
      </c>
      <c r="H36">
        <v>36.33</v>
      </c>
      <c r="I36" s="22">
        <v>8.34</v>
      </c>
      <c r="J36">
        <v>34</v>
      </c>
      <c r="K36">
        <v>0</v>
      </c>
      <c r="L36">
        <v>0</v>
      </c>
      <c r="M36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13.5</v>
      </c>
    </row>
    <row r="37" spans="1:13" x14ac:dyDescent="0.25">
      <c r="A37" t="s">
        <v>92</v>
      </c>
      <c r="B37">
        <v>14</v>
      </c>
      <c r="C37">
        <v>13</v>
      </c>
      <c r="D37">
        <v>42</v>
      </c>
      <c r="E37">
        <v>0</v>
      </c>
      <c r="F37">
        <v>344</v>
      </c>
      <c r="G37">
        <v>13</v>
      </c>
      <c r="H37">
        <v>26.46</v>
      </c>
      <c r="I37" s="22">
        <v>8.34</v>
      </c>
      <c r="J37">
        <v>19.3</v>
      </c>
      <c r="K37">
        <v>0</v>
      </c>
      <c r="L37">
        <v>0</v>
      </c>
      <c r="M37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13</v>
      </c>
    </row>
    <row r="38" spans="1:13" x14ac:dyDescent="0.25">
      <c r="A38" t="s">
        <v>135</v>
      </c>
      <c r="B38">
        <v>7</v>
      </c>
      <c r="C38">
        <v>7</v>
      </c>
      <c r="D38">
        <v>21</v>
      </c>
      <c r="E38">
        <v>0</v>
      </c>
      <c r="F38">
        <v>191</v>
      </c>
      <c r="G38">
        <v>6</v>
      </c>
      <c r="H38">
        <v>31.83</v>
      </c>
      <c r="I38" s="22">
        <v>8.34</v>
      </c>
      <c r="J38">
        <v>21</v>
      </c>
      <c r="K38">
        <v>0</v>
      </c>
      <c r="L38">
        <v>0</v>
      </c>
      <c r="M38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12</v>
      </c>
    </row>
    <row r="39" spans="1:13" x14ac:dyDescent="0.25">
      <c r="A39" t="s">
        <v>134</v>
      </c>
      <c r="B39">
        <v>6</v>
      </c>
      <c r="C39">
        <v>6</v>
      </c>
      <c r="D39">
        <v>21</v>
      </c>
      <c r="E39">
        <v>0</v>
      </c>
      <c r="F39">
        <v>180</v>
      </c>
      <c r="G39">
        <v>6</v>
      </c>
      <c r="H39">
        <v>30</v>
      </c>
      <c r="I39" s="22">
        <v>8.34</v>
      </c>
      <c r="J39">
        <v>21</v>
      </c>
      <c r="K39">
        <v>0</v>
      </c>
      <c r="L39">
        <v>0</v>
      </c>
      <c r="M39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12</v>
      </c>
    </row>
    <row r="40" spans="1:13" x14ac:dyDescent="0.25">
      <c r="A40" t="s">
        <v>121</v>
      </c>
      <c r="B40">
        <v>10</v>
      </c>
      <c r="C40">
        <v>10</v>
      </c>
      <c r="D40">
        <v>35.299999999999997</v>
      </c>
      <c r="E40">
        <v>0</v>
      </c>
      <c r="F40">
        <v>320</v>
      </c>
      <c r="G40">
        <v>11</v>
      </c>
      <c r="H40">
        <v>29.09</v>
      </c>
      <c r="I40" s="22">
        <v>8.34</v>
      </c>
      <c r="J40">
        <v>19.3</v>
      </c>
      <c r="K40">
        <v>0</v>
      </c>
      <c r="L40">
        <v>0</v>
      </c>
      <c r="M40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11</v>
      </c>
    </row>
    <row r="41" spans="1:13" x14ac:dyDescent="0.25">
      <c r="A41" t="s">
        <v>123</v>
      </c>
      <c r="B41">
        <v>9</v>
      </c>
      <c r="C41">
        <v>9</v>
      </c>
      <c r="D41">
        <v>32.200000000000003</v>
      </c>
      <c r="E41">
        <v>0</v>
      </c>
      <c r="F41">
        <v>275</v>
      </c>
      <c r="G41">
        <v>10</v>
      </c>
      <c r="H41">
        <v>27.5</v>
      </c>
      <c r="I41" s="22">
        <v>8.34</v>
      </c>
      <c r="J41">
        <v>19.399999999999999</v>
      </c>
      <c r="K41">
        <v>0</v>
      </c>
      <c r="L41">
        <v>0</v>
      </c>
      <c r="M41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10</v>
      </c>
    </row>
    <row r="42" spans="1:13" x14ac:dyDescent="0.25">
      <c r="A42" t="s">
        <v>138</v>
      </c>
      <c r="B42">
        <v>5</v>
      </c>
      <c r="C42">
        <v>5</v>
      </c>
      <c r="D42">
        <v>19</v>
      </c>
      <c r="E42">
        <v>0</v>
      </c>
      <c r="F42">
        <v>165</v>
      </c>
      <c r="G42">
        <v>5</v>
      </c>
      <c r="H42">
        <v>33</v>
      </c>
      <c r="I42" s="22">
        <v>8.34</v>
      </c>
      <c r="J42">
        <v>22.8</v>
      </c>
      <c r="K42">
        <v>0</v>
      </c>
      <c r="L42">
        <v>0</v>
      </c>
      <c r="M42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10</v>
      </c>
    </row>
    <row r="43" spans="1:13" x14ac:dyDescent="0.25">
      <c r="A43" t="s">
        <v>137</v>
      </c>
      <c r="B43">
        <v>16</v>
      </c>
      <c r="C43">
        <v>16</v>
      </c>
      <c r="D43">
        <v>50.1</v>
      </c>
      <c r="E43">
        <v>0</v>
      </c>
      <c r="F43">
        <v>380</v>
      </c>
      <c r="G43">
        <v>6</v>
      </c>
      <c r="H43">
        <v>63.33</v>
      </c>
      <c r="I43" s="22">
        <v>8.34</v>
      </c>
      <c r="J43">
        <v>50.1</v>
      </c>
      <c r="K43">
        <v>0</v>
      </c>
      <c r="L43">
        <v>0</v>
      </c>
      <c r="M43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9</v>
      </c>
    </row>
    <row r="44" spans="1:13" x14ac:dyDescent="0.25">
      <c r="A44" t="s">
        <v>85</v>
      </c>
      <c r="B44">
        <v>14</v>
      </c>
      <c r="C44">
        <v>13</v>
      </c>
      <c r="D44">
        <v>36.200000000000003</v>
      </c>
      <c r="E44">
        <v>0</v>
      </c>
      <c r="F44">
        <v>318</v>
      </c>
      <c r="G44">
        <v>6</v>
      </c>
      <c r="H44">
        <v>53</v>
      </c>
      <c r="I44" s="22">
        <v>8.34</v>
      </c>
      <c r="J44">
        <v>36.299999999999997</v>
      </c>
      <c r="K44">
        <v>0</v>
      </c>
      <c r="L44">
        <v>0</v>
      </c>
      <c r="M44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9</v>
      </c>
    </row>
    <row r="45" spans="1:13" x14ac:dyDescent="0.25">
      <c r="A45" t="s">
        <v>130</v>
      </c>
      <c r="B45">
        <v>7</v>
      </c>
      <c r="C45">
        <v>7</v>
      </c>
      <c r="D45">
        <v>25.4</v>
      </c>
      <c r="E45">
        <v>0</v>
      </c>
      <c r="F45">
        <v>242</v>
      </c>
      <c r="G45">
        <v>8</v>
      </c>
      <c r="H45">
        <v>30.25</v>
      </c>
      <c r="I45" s="22">
        <v>8.34</v>
      </c>
      <c r="J45">
        <v>19.2</v>
      </c>
      <c r="K45">
        <v>0</v>
      </c>
      <c r="L45">
        <v>0</v>
      </c>
      <c r="M45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8</v>
      </c>
    </row>
    <row r="46" spans="1:13" x14ac:dyDescent="0.25">
      <c r="A46" t="s">
        <v>98</v>
      </c>
      <c r="B46">
        <v>10</v>
      </c>
      <c r="C46">
        <v>10</v>
      </c>
      <c r="D46">
        <v>38</v>
      </c>
      <c r="E46">
        <v>0</v>
      </c>
      <c r="F46">
        <v>302</v>
      </c>
      <c r="G46">
        <v>5</v>
      </c>
      <c r="H46">
        <v>60.4</v>
      </c>
      <c r="I46" s="22">
        <v>8.34</v>
      </c>
      <c r="J46">
        <v>45.6</v>
      </c>
      <c r="K46">
        <v>0</v>
      </c>
      <c r="L46">
        <v>0</v>
      </c>
      <c r="M46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7.5</v>
      </c>
    </row>
    <row r="47" spans="1:13" x14ac:dyDescent="0.25">
      <c r="A47" t="s">
        <v>141</v>
      </c>
      <c r="B47">
        <v>10</v>
      </c>
      <c r="C47">
        <v>9</v>
      </c>
      <c r="D47">
        <v>26</v>
      </c>
      <c r="E47">
        <v>0</v>
      </c>
      <c r="F47">
        <v>231</v>
      </c>
      <c r="G47">
        <v>5</v>
      </c>
      <c r="H47">
        <v>46.2</v>
      </c>
      <c r="I47" s="22">
        <v>8.34</v>
      </c>
      <c r="J47">
        <v>31.2</v>
      </c>
      <c r="K47">
        <v>0</v>
      </c>
      <c r="L47">
        <v>0</v>
      </c>
      <c r="M47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7.5</v>
      </c>
    </row>
    <row r="48" spans="1:13" x14ac:dyDescent="0.25">
      <c r="A48" t="s">
        <v>140</v>
      </c>
      <c r="B48">
        <v>7</v>
      </c>
      <c r="C48">
        <v>7</v>
      </c>
      <c r="D48">
        <v>26</v>
      </c>
      <c r="E48">
        <v>0</v>
      </c>
      <c r="F48">
        <v>206</v>
      </c>
      <c r="G48">
        <v>5</v>
      </c>
      <c r="H48">
        <v>41.2</v>
      </c>
      <c r="I48" s="22">
        <v>8.34</v>
      </c>
      <c r="J48">
        <v>31.2</v>
      </c>
      <c r="K48">
        <v>0</v>
      </c>
      <c r="L48">
        <v>0</v>
      </c>
      <c r="M48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7.5</v>
      </c>
    </row>
    <row r="49" spans="1:13" x14ac:dyDescent="0.25">
      <c r="A49" t="s">
        <v>139</v>
      </c>
      <c r="B49">
        <v>7</v>
      </c>
      <c r="C49">
        <v>7</v>
      </c>
      <c r="D49">
        <v>22</v>
      </c>
      <c r="E49">
        <v>0</v>
      </c>
      <c r="F49">
        <v>178</v>
      </c>
      <c r="G49">
        <v>5</v>
      </c>
      <c r="H49">
        <v>35.6</v>
      </c>
      <c r="I49" s="22">
        <v>8.34</v>
      </c>
      <c r="J49">
        <v>26.4</v>
      </c>
      <c r="K49">
        <v>0</v>
      </c>
      <c r="L49">
        <v>0</v>
      </c>
      <c r="M49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7.5</v>
      </c>
    </row>
    <row r="50" spans="1:13" x14ac:dyDescent="0.25">
      <c r="A50" t="s">
        <v>132</v>
      </c>
      <c r="B50">
        <v>5</v>
      </c>
      <c r="C50">
        <v>5</v>
      </c>
      <c r="D50">
        <v>19.5</v>
      </c>
      <c r="E50">
        <v>0</v>
      </c>
      <c r="F50">
        <v>148</v>
      </c>
      <c r="G50">
        <v>6</v>
      </c>
      <c r="H50">
        <v>24.66</v>
      </c>
      <c r="I50" s="22">
        <v>8.34</v>
      </c>
      <c r="J50">
        <v>19.8</v>
      </c>
      <c r="K50">
        <v>0</v>
      </c>
      <c r="L50">
        <v>0</v>
      </c>
      <c r="M50">
        <f>(IF(Table1[[#This Row],[Econ]]&gt;=1,IF(Table1[[#This Row],[Econ]]&lt;=5,Table1[[#This Row],[Wkts]]*2,IF(Table1[[#This Row],[Econ]]&gt;=6,IF(Table1[[#This Row],[Econ]]&lt;=8,Table1[[#This Row],[Wkts]]*1.5,IF(Table1[[#This Row],[Econ]]&gt;8,Table1[[#This Row],[Wkts]]*1)))))+Table1[[#This Row],[4]]*10+Table1[[#This Row],[Mdns]]*8)+IF(Table1[[#This Row],[SR]]&gt;=10,IF(Table1[[#This Row],[SR]]&lt;=19,Table1[[#This Row],[Wkts]]*2,IF(Table1[[#This Row],[SR]]&gt;=20,IF(Table1[[#This Row],[SR]]&lt;=25,Table1[[#This Row],[Wkts]]*1,IF(Table1[[#This Row],[SR]]&gt;25,Table1[[#This Row],[Wkts]]*0.5)))))</f>
        <v>6</v>
      </c>
    </row>
  </sheetData>
  <pageMargins left="0.7" right="0.7" top="0.75" bottom="0.75" header="0.3" footer="0.3"/>
  <ignoredErrors>
    <ignoredError sqref="M4:M50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4" workbookViewId="0">
      <selection activeCell="K23" sqref="K23"/>
    </sheetView>
  </sheetViews>
  <sheetFormatPr defaultRowHeight="15" x14ac:dyDescent="0.25"/>
  <cols>
    <col min="1" max="1" width="14.42578125" customWidth="1"/>
  </cols>
  <sheetData>
    <row r="1" spans="1:18" x14ac:dyDescent="0.25">
      <c r="A1" s="37" t="s">
        <v>0</v>
      </c>
      <c r="B1" s="38" t="s">
        <v>37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46</v>
      </c>
      <c r="H1" s="38" t="s">
        <v>47</v>
      </c>
      <c r="I1" s="38" t="s">
        <v>48</v>
      </c>
      <c r="J1" s="38" t="s">
        <v>174</v>
      </c>
      <c r="K1" s="38" t="s">
        <v>175</v>
      </c>
      <c r="L1" s="38" t="s">
        <v>176</v>
      </c>
      <c r="M1" s="38" t="s">
        <v>6</v>
      </c>
      <c r="N1" s="38" t="s">
        <v>7</v>
      </c>
      <c r="O1" s="38" t="s">
        <v>183</v>
      </c>
    </row>
    <row r="2" spans="1:18" x14ac:dyDescent="0.25">
      <c r="A2" s="35" t="s">
        <v>70</v>
      </c>
      <c r="B2" s="36">
        <v>17</v>
      </c>
      <c r="C2" s="36">
        <v>17</v>
      </c>
      <c r="D2" s="36">
        <v>3</v>
      </c>
      <c r="E2" s="36">
        <v>352</v>
      </c>
      <c r="F2" s="36">
        <v>65</v>
      </c>
      <c r="G2" s="36">
        <v>25.14</v>
      </c>
      <c r="H2" s="36">
        <v>237</v>
      </c>
      <c r="I2" s="36">
        <v>148.52000000000001</v>
      </c>
      <c r="J2" s="36">
        <v>0</v>
      </c>
      <c r="K2" s="36">
        <v>3</v>
      </c>
      <c r="L2" s="36">
        <v>1</v>
      </c>
      <c r="M2" s="36">
        <v>31</v>
      </c>
      <c r="N2" s="36">
        <v>16</v>
      </c>
      <c r="O2" s="36">
        <v>529</v>
      </c>
      <c r="P2" s="49"/>
    </row>
    <row r="3" spans="1:18" x14ac:dyDescent="0.25">
      <c r="A3" s="33" t="s">
        <v>84</v>
      </c>
      <c r="B3" s="34">
        <v>14</v>
      </c>
      <c r="C3" s="34">
        <v>11</v>
      </c>
      <c r="D3" s="34">
        <v>5</v>
      </c>
      <c r="E3" s="34">
        <v>255</v>
      </c>
      <c r="F3" s="34">
        <v>53</v>
      </c>
      <c r="G3" s="34">
        <v>42.5</v>
      </c>
      <c r="H3" s="34">
        <v>183</v>
      </c>
      <c r="I3" s="34">
        <v>139.34</v>
      </c>
      <c r="J3" s="34">
        <v>0</v>
      </c>
      <c r="K3" s="34">
        <v>1</v>
      </c>
      <c r="L3" s="34">
        <v>0</v>
      </c>
      <c r="M3" s="34">
        <v>13</v>
      </c>
      <c r="N3" s="34">
        <v>17</v>
      </c>
      <c r="O3" s="48">
        <v>370</v>
      </c>
      <c r="P3" s="170" t="s">
        <v>202</v>
      </c>
      <c r="Q3" s="170"/>
      <c r="R3" s="170"/>
    </row>
    <row r="4" spans="1:18" x14ac:dyDescent="0.25">
      <c r="A4" s="35" t="s">
        <v>85</v>
      </c>
      <c r="B4" s="36">
        <v>14</v>
      </c>
      <c r="C4" s="36">
        <v>11</v>
      </c>
      <c r="D4" s="36">
        <v>6</v>
      </c>
      <c r="E4" s="36">
        <v>232</v>
      </c>
      <c r="F4" s="36">
        <v>50</v>
      </c>
      <c r="G4" s="36">
        <v>46.4</v>
      </c>
      <c r="H4" s="36">
        <v>135</v>
      </c>
      <c r="I4" s="36">
        <v>171.85</v>
      </c>
      <c r="J4" s="36">
        <v>0</v>
      </c>
      <c r="K4" s="36">
        <v>1</v>
      </c>
      <c r="L4" s="36">
        <v>0</v>
      </c>
      <c r="M4" s="36">
        <v>22</v>
      </c>
      <c r="N4" s="36">
        <v>11</v>
      </c>
      <c r="O4" s="47">
        <v>350</v>
      </c>
      <c r="P4" s="170"/>
      <c r="Q4" s="170"/>
      <c r="R4" s="170"/>
    </row>
    <row r="5" spans="1:18" x14ac:dyDescent="0.25">
      <c r="A5" s="33" t="s">
        <v>92</v>
      </c>
      <c r="B5" s="34">
        <v>14</v>
      </c>
      <c r="C5" s="34">
        <v>11</v>
      </c>
      <c r="D5" s="34">
        <v>3</v>
      </c>
      <c r="E5" s="34">
        <v>186</v>
      </c>
      <c r="F5" s="34">
        <v>52</v>
      </c>
      <c r="G5" s="34">
        <v>23.25</v>
      </c>
      <c r="H5" s="34">
        <v>141</v>
      </c>
      <c r="I5" s="34">
        <v>131.91</v>
      </c>
      <c r="J5" s="34">
        <v>0</v>
      </c>
      <c r="K5" s="34">
        <v>1</v>
      </c>
      <c r="L5" s="34">
        <v>2</v>
      </c>
      <c r="M5" s="34">
        <v>12</v>
      </c>
      <c r="N5" s="34">
        <v>12</v>
      </c>
      <c r="O5" s="48">
        <v>270</v>
      </c>
      <c r="P5" s="170"/>
      <c r="Q5" s="170"/>
      <c r="R5" s="170"/>
    </row>
    <row r="6" spans="1:18" x14ac:dyDescent="0.25">
      <c r="A6" s="35" t="s">
        <v>95</v>
      </c>
      <c r="B6" s="36">
        <v>14</v>
      </c>
      <c r="C6" s="36">
        <v>11</v>
      </c>
      <c r="D6" s="36">
        <v>4</v>
      </c>
      <c r="E6" s="36">
        <v>146</v>
      </c>
      <c r="F6" s="36" t="s">
        <v>10</v>
      </c>
      <c r="G6" s="36">
        <v>20.85</v>
      </c>
      <c r="H6" s="36">
        <v>114</v>
      </c>
      <c r="I6" s="36">
        <v>128.07</v>
      </c>
      <c r="J6" s="36">
        <v>0</v>
      </c>
      <c r="K6" s="36">
        <v>1</v>
      </c>
      <c r="L6" s="36">
        <v>0</v>
      </c>
      <c r="M6" s="36">
        <v>9</v>
      </c>
      <c r="N6" s="36">
        <v>8</v>
      </c>
      <c r="O6" s="47">
        <v>213</v>
      </c>
    </row>
    <row r="7" spans="1:18" x14ac:dyDescent="0.25">
      <c r="A7" s="35" t="s">
        <v>98</v>
      </c>
      <c r="B7" s="36">
        <v>10</v>
      </c>
      <c r="C7" s="36">
        <v>9</v>
      </c>
      <c r="D7" s="36">
        <v>0</v>
      </c>
      <c r="E7" s="36">
        <v>121</v>
      </c>
      <c r="F7" s="36">
        <v>64</v>
      </c>
      <c r="G7" s="36">
        <v>13.44</v>
      </c>
      <c r="H7" s="36">
        <v>85</v>
      </c>
      <c r="I7" s="36">
        <v>142.35</v>
      </c>
      <c r="J7" s="36">
        <v>0</v>
      </c>
      <c r="K7" s="36">
        <v>1</v>
      </c>
      <c r="L7" s="36">
        <v>2</v>
      </c>
      <c r="M7" s="36">
        <v>10</v>
      </c>
      <c r="N7" s="36">
        <v>8</v>
      </c>
      <c r="O7" s="36">
        <v>183</v>
      </c>
    </row>
    <row r="8" spans="1:18" x14ac:dyDescent="0.25">
      <c r="A8" s="33" t="s">
        <v>99</v>
      </c>
      <c r="B8" s="34">
        <v>15</v>
      </c>
      <c r="C8" s="34">
        <v>9</v>
      </c>
      <c r="D8" s="34">
        <v>1</v>
      </c>
      <c r="E8" s="34">
        <v>117</v>
      </c>
      <c r="F8" s="34">
        <v>42</v>
      </c>
      <c r="G8" s="34">
        <v>14.62</v>
      </c>
      <c r="H8" s="34">
        <v>85</v>
      </c>
      <c r="I8" s="34">
        <v>137.63999999999999</v>
      </c>
      <c r="J8" s="34">
        <v>0</v>
      </c>
      <c r="K8" s="34">
        <v>0</v>
      </c>
      <c r="L8" s="34">
        <v>0</v>
      </c>
      <c r="M8" s="34">
        <v>6</v>
      </c>
      <c r="N8" s="34">
        <v>8</v>
      </c>
      <c r="O8" s="34">
        <v>167</v>
      </c>
    </row>
    <row r="9" spans="1:18" x14ac:dyDescent="0.25">
      <c r="A9" s="35" t="s">
        <v>100</v>
      </c>
      <c r="B9" s="36">
        <v>10</v>
      </c>
      <c r="C9" s="36">
        <v>9</v>
      </c>
      <c r="D9" s="36">
        <v>0</v>
      </c>
      <c r="E9" s="36">
        <v>117</v>
      </c>
      <c r="F9" s="36">
        <v>25</v>
      </c>
      <c r="G9" s="36">
        <v>13</v>
      </c>
      <c r="H9" s="36">
        <v>81</v>
      </c>
      <c r="I9" s="36">
        <v>144.44</v>
      </c>
      <c r="J9" s="36">
        <v>0</v>
      </c>
      <c r="K9" s="36">
        <v>0</v>
      </c>
      <c r="L9" s="36">
        <v>0</v>
      </c>
      <c r="M9" s="36">
        <v>9</v>
      </c>
      <c r="N9" s="36">
        <v>9</v>
      </c>
      <c r="O9" s="36">
        <v>180</v>
      </c>
    </row>
    <row r="11" spans="1:18" x14ac:dyDescent="0.25">
      <c r="A11" s="39" t="s">
        <v>0</v>
      </c>
      <c r="B11" s="40" t="s">
        <v>37</v>
      </c>
      <c r="C11" s="40" t="s">
        <v>1</v>
      </c>
      <c r="D11" s="40" t="s">
        <v>38</v>
      </c>
      <c r="E11" s="40" t="s">
        <v>39</v>
      </c>
      <c r="F11" s="40" t="s">
        <v>3</v>
      </c>
      <c r="G11" s="40" t="s">
        <v>40</v>
      </c>
      <c r="H11" s="40" t="s">
        <v>5</v>
      </c>
      <c r="I11" s="41" t="s">
        <v>103</v>
      </c>
      <c r="J11" s="40" t="s">
        <v>48</v>
      </c>
      <c r="K11" s="40" t="s">
        <v>142</v>
      </c>
      <c r="L11" s="40" t="s">
        <v>143</v>
      </c>
      <c r="M11" s="42" t="s">
        <v>183</v>
      </c>
    </row>
    <row r="12" spans="1:18" x14ac:dyDescent="0.25">
      <c r="A12" s="35" t="s">
        <v>70</v>
      </c>
      <c r="B12" s="43">
        <v>17</v>
      </c>
      <c r="C12" s="43">
        <v>13</v>
      </c>
      <c r="D12" s="43">
        <v>29.4</v>
      </c>
      <c r="E12" s="43">
        <v>0</v>
      </c>
      <c r="F12" s="43">
        <v>283</v>
      </c>
      <c r="G12" s="43">
        <v>13</v>
      </c>
      <c r="H12" s="43">
        <v>21.76</v>
      </c>
      <c r="I12" s="44">
        <v>8.34</v>
      </c>
      <c r="J12" s="43">
        <v>13.6</v>
      </c>
      <c r="K12" s="43">
        <v>0</v>
      </c>
      <c r="L12" s="43">
        <v>0</v>
      </c>
      <c r="M12">
        <f>IF(I12&gt;=1,IF('2020 All Rounders'!I12&lt;=5,'2020 All Rounders'!G12*2,IF('2020 All Rounders'!I12&gt;=6,IF('2020 All Rounders'!I12&lt;=8,'2020 All Rounders'!G12*1.5,IF('2020 All Rounders'!I12&gt;8,'2020 All Rounders'!G12*1)))))+'2020 All Rounders'!K12*10+'2020 All Rounders'!E12*8+IF('2020 All Rounders'!J12&gt;=10,IF('2020 All Rounders'!J12&lt;=19,'2020 All Rounders'!G12*2,IF('2020 All Rounders'!J12&gt;=20,IF('2020 All Rounders'!J12&lt;=25,'2020 All Rounders'!G12*1,IF('2020 All Rounders'!J12&gt;25,'2020 All Rounders'!G12*(0.5))))))</f>
        <v>39</v>
      </c>
    </row>
    <row r="13" spans="1:18" x14ac:dyDescent="0.25">
      <c r="A13" s="33" t="s">
        <v>84</v>
      </c>
      <c r="B13" s="43">
        <v>14</v>
      </c>
      <c r="C13" s="43">
        <v>14</v>
      </c>
      <c r="D13" s="43">
        <v>46</v>
      </c>
      <c r="E13" s="43">
        <v>0</v>
      </c>
      <c r="F13" s="43">
        <v>326</v>
      </c>
      <c r="G13" s="43">
        <v>10</v>
      </c>
      <c r="H13" s="43">
        <v>32.6</v>
      </c>
      <c r="I13" s="44">
        <v>8.34</v>
      </c>
      <c r="J13" s="43">
        <v>27.6</v>
      </c>
      <c r="K13" s="43">
        <v>0</v>
      </c>
      <c r="L13" s="43">
        <v>0</v>
      </c>
      <c r="M13">
        <f>IF(I13&gt;=1,IF('2020 All Rounders'!I13&lt;=5,'2020 All Rounders'!G13*2,IF('2020 All Rounders'!I13&gt;=6,IF('2020 All Rounders'!I13&lt;=8,'2020 All Rounders'!G13*1.5,IF('2020 All Rounders'!I13&gt;8,'2020 All Rounders'!G13*1)))))+'2020 All Rounders'!K13*10+'2020 All Rounders'!E13*8+IF('2020 All Rounders'!J13&gt;=10,IF('2020 All Rounders'!J13&lt;=19,'2020 All Rounders'!G13*2,IF('2020 All Rounders'!J13&gt;=20,IF('2020 All Rounders'!J13&lt;=25,'2020 All Rounders'!G13*1,IF('2020 All Rounders'!J13&gt;25,'2020 All Rounders'!G13*(0.5))))))</f>
        <v>15</v>
      </c>
    </row>
    <row r="14" spans="1:18" x14ac:dyDescent="0.25">
      <c r="A14" s="35" t="s">
        <v>85</v>
      </c>
      <c r="B14" s="43">
        <v>14</v>
      </c>
      <c r="C14" s="43">
        <v>13</v>
      </c>
      <c r="D14" s="43">
        <v>36.200000000000003</v>
      </c>
      <c r="E14" s="43">
        <v>0</v>
      </c>
      <c r="F14" s="43">
        <v>318</v>
      </c>
      <c r="G14" s="43">
        <v>6</v>
      </c>
      <c r="H14" s="43">
        <v>53</v>
      </c>
      <c r="I14" s="44">
        <v>8.34</v>
      </c>
      <c r="J14" s="43">
        <v>36.299999999999997</v>
      </c>
      <c r="K14" s="43">
        <v>0</v>
      </c>
      <c r="L14" s="43">
        <v>0</v>
      </c>
      <c r="M14">
        <f>IF(I14&gt;=1,IF('2020 All Rounders'!I14&lt;=5,'2020 All Rounders'!G14*2,IF('2020 All Rounders'!I14&gt;=6,IF('2020 All Rounders'!I14&lt;=8,'2020 All Rounders'!G14*1.5,IF('2020 All Rounders'!I14&gt;8,'2020 All Rounders'!G14*1)))))+'2020 All Rounders'!K14*10+'2020 All Rounders'!E14*8+IF('2020 All Rounders'!J14&gt;=10,IF('2020 All Rounders'!J14&lt;=19,'2020 All Rounders'!G14*2,IF('2020 All Rounders'!J14&gt;=20,IF('2020 All Rounders'!J14&lt;=25,'2020 All Rounders'!G14*1,IF('2020 All Rounders'!J14&gt;25,'2020 All Rounders'!G14*(0.5))))))</f>
        <v>9</v>
      </c>
      <c r="N14" s="170" t="s">
        <v>204</v>
      </c>
      <c r="O14" s="170"/>
      <c r="P14" s="170"/>
    </row>
    <row r="15" spans="1:18" x14ac:dyDescent="0.25">
      <c r="A15" s="33" t="s">
        <v>92</v>
      </c>
      <c r="B15" s="43">
        <v>14</v>
      </c>
      <c r="C15" s="43">
        <v>13</v>
      </c>
      <c r="D15" s="43">
        <v>42</v>
      </c>
      <c r="E15" s="43">
        <v>0</v>
      </c>
      <c r="F15" s="43">
        <v>344</v>
      </c>
      <c r="G15" s="43">
        <v>13</v>
      </c>
      <c r="H15" s="43">
        <v>26.46</v>
      </c>
      <c r="I15" s="44">
        <v>8.34</v>
      </c>
      <c r="J15" s="43">
        <v>19.3</v>
      </c>
      <c r="K15" s="43">
        <v>0</v>
      </c>
      <c r="L15" s="43">
        <v>0</v>
      </c>
      <c r="M15">
        <f>IF(I15&gt;=1,IF('2020 All Rounders'!I15&lt;=5,'2020 All Rounders'!G15*2,IF('2020 All Rounders'!I15&gt;=6,IF('2020 All Rounders'!I15&lt;=8,'2020 All Rounders'!G15*1.5,IF('2020 All Rounders'!I15&gt;8,'2020 All Rounders'!G15*1)))))+'2020 All Rounders'!K15*10+'2020 All Rounders'!E15*8+IF('2020 All Rounders'!J15&gt;=10,IF('2020 All Rounders'!J15&lt;=19,'2020 All Rounders'!G15*2,IF('2020 All Rounders'!J15&gt;=20,IF('2020 All Rounders'!J15&lt;=25,'2020 All Rounders'!G15*1,IF('2020 All Rounders'!J15&gt;25,'2020 All Rounders'!G15*(0.5))))))</f>
        <v>13</v>
      </c>
      <c r="N15" s="170"/>
      <c r="O15" s="170"/>
      <c r="P15" s="170"/>
    </row>
    <row r="16" spans="1:18" x14ac:dyDescent="0.25">
      <c r="A16" s="35" t="s">
        <v>95</v>
      </c>
      <c r="B16" s="43">
        <v>14</v>
      </c>
      <c r="C16" s="43">
        <v>14</v>
      </c>
      <c r="D16" s="43">
        <v>52</v>
      </c>
      <c r="E16" s="43">
        <v>0</v>
      </c>
      <c r="F16" s="43">
        <v>409</v>
      </c>
      <c r="G16" s="43">
        <v>12</v>
      </c>
      <c r="H16" s="43">
        <v>34.08</v>
      </c>
      <c r="I16" s="44">
        <v>8.34</v>
      </c>
      <c r="J16" s="43">
        <v>26</v>
      </c>
      <c r="K16" s="43">
        <v>1</v>
      </c>
      <c r="L16" s="43">
        <v>0</v>
      </c>
      <c r="M16">
        <f>IF(I16&gt;=1,IF('2020 All Rounders'!I16&lt;=5,'2020 All Rounders'!G16*2,IF('2020 All Rounders'!I16&gt;=6,IF('2020 All Rounders'!I16&lt;=8,'2020 All Rounders'!G16*1.5,IF('2020 All Rounders'!I16&gt;8,'2020 All Rounders'!G16*1)))))+'2020 All Rounders'!K16*10+'2020 All Rounders'!E16*8+IF('2020 All Rounders'!J16&gt;=10,IF('2020 All Rounders'!J16&lt;=19,'2020 All Rounders'!G16*2,IF('2020 All Rounders'!J16&gt;=20,IF('2020 All Rounders'!J16&lt;=25,'2020 All Rounders'!G16*1,IF('2020 All Rounders'!J16&gt;25,'2020 All Rounders'!G16*(0.5))))))</f>
        <v>28</v>
      </c>
      <c r="N16" s="170"/>
      <c r="O16" s="170"/>
      <c r="P16" s="170"/>
    </row>
    <row r="17" spans="1:13" x14ac:dyDescent="0.25">
      <c r="A17" s="35" t="s">
        <v>98</v>
      </c>
      <c r="B17" s="43">
        <v>10</v>
      </c>
      <c r="C17" s="43">
        <v>10</v>
      </c>
      <c r="D17" s="43">
        <v>38</v>
      </c>
      <c r="E17" s="43">
        <v>0</v>
      </c>
      <c r="F17" s="43">
        <v>302</v>
      </c>
      <c r="G17" s="43">
        <v>5</v>
      </c>
      <c r="H17" s="43">
        <v>60.4</v>
      </c>
      <c r="I17" s="44">
        <v>8.34</v>
      </c>
      <c r="J17" s="43">
        <v>45.6</v>
      </c>
      <c r="K17" s="43">
        <v>0</v>
      </c>
      <c r="L17" s="43">
        <v>0</v>
      </c>
      <c r="M17">
        <f>IF(I17&gt;=1,IF('2020 All Rounders'!I17&lt;=5,'2020 All Rounders'!G17*2,IF('2020 All Rounders'!I17&gt;=6,IF('2020 All Rounders'!I17&lt;=8,'2020 All Rounders'!G17*1.5,IF('2020 All Rounders'!I17&gt;8,'2020 All Rounders'!G17*1)))))+'2020 All Rounders'!K17*10+'2020 All Rounders'!E17*8+IF('2020 All Rounders'!J17&gt;=10,IF('2020 All Rounders'!J17&lt;=19,'2020 All Rounders'!G17*2,IF('2020 All Rounders'!J17&gt;=20,IF('2020 All Rounders'!J17&lt;=25,'2020 All Rounders'!G17*1,IF('2020 All Rounders'!J17&gt;25,'2020 All Rounders'!G17*(0.5))))))</f>
        <v>7.5</v>
      </c>
    </row>
    <row r="18" spans="1:13" x14ac:dyDescent="0.25">
      <c r="A18" s="33" t="s">
        <v>99</v>
      </c>
      <c r="B18" s="43">
        <v>10</v>
      </c>
      <c r="C18" s="43">
        <v>7</v>
      </c>
      <c r="D18" s="43">
        <v>18</v>
      </c>
      <c r="E18" s="43">
        <v>0</v>
      </c>
      <c r="F18" s="43">
        <v>175</v>
      </c>
      <c r="G18" s="43">
        <v>6</v>
      </c>
      <c r="H18" s="43">
        <v>29.16</v>
      </c>
      <c r="I18" s="44">
        <v>8.34</v>
      </c>
      <c r="J18" s="43">
        <v>18</v>
      </c>
      <c r="K18" s="43">
        <v>0</v>
      </c>
      <c r="L18" s="43">
        <v>0</v>
      </c>
      <c r="M18">
        <f>IF(I18&gt;=1,IF('2020 All Rounders'!I18&lt;=5,'2020 All Rounders'!G18*2,IF('2020 All Rounders'!I18&gt;=6,IF('2020 All Rounders'!I18&lt;=8,'2020 All Rounders'!G18*1.5,IF('2020 All Rounders'!I18&gt;8,'2020 All Rounders'!G18*1)))))+'2020 All Rounders'!K18*10+'2020 All Rounders'!E18*8+IF('2020 All Rounders'!J18&gt;=10,IF('2020 All Rounders'!J18&lt;=19,'2020 All Rounders'!G18*2,IF('2020 All Rounders'!J18&gt;=20,IF('2020 All Rounders'!J18&lt;=25,'2020 All Rounders'!G18*1,IF('2020 All Rounders'!J18&gt;25,'2020 All Rounders'!G18*(0.5))))))</f>
        <v>18</v>
      </c>
    </row>
    <row r="19" spans="1:13" x14ac:dyDescent="0.25">
      <c r="A19" s="35" t="s">
        <v>100</v>
      </c>
      <c r="B19" s="45">
        <v>15</v>
      </c>
      <c r="C19" s="45">
        <v>15</v>
      </c>
      <c r="D19" s="45">
        <v>51</v>
      </c>
      <c r="E19" s="45">
        <v>0</v>
      </c>
      <c r="F19" s="45">
        <v>327</v>
      </c>
      <c r="G19" s="45">
        <v>9</v>
      </c>
      <c r="H19" s="45">
        <v>36.33</v>
      </c>
      <c r="I19" s="46">
        <v>8.34</v>
      </c>
      <c r="J19" s="45">
        <v>34</v>
      </c>
      <c r="K19" s="45">
        <v>0</v>
      </c>
      <c r="L19" s="45">
        <v>0</v>
      </c>
      <c r="M19">
        <f>IF(I19&gt;=1,IF('2020 All Rounders'!I19&lt;=5,'2020 All Rounders'!G19*2,IF('2020 All Rounders'!I19&gt;=6,IF('2020 All Rounders'!I19&lt;=8,'2020 All Rounders'!G19*1.5,IF('2020 All Rounders'!I19&gt;8,'2020 All Rounders'!G19*1)))))+'2020 All Rounders'!K19*10+'2020 All Rounders'!E19*8+IF('2020 All Rounders'!J19&gt;=10,IF('2020 All Rounders'!J19&lt;=19,'2020 All Rounders'!G19*2,IF('2020 All Rounders'!J19&gt;=20,IF('2020 All Rounders'!J19&lt;=25,'2020 All Rounders'!G19*1,IF('2020 All Rounders'!J19&gt;25,'2020 All Rounders'!G19*(0.5))))))</f>
        <v>13.5</v>
      </c>
    </row>
    <row r="22" spans="1:13" ht="18.75" x14ac:dyDescent="0.3">
      <c r="A22" s="56" t="s">
        <v>199</v>
      </c>
      <c r="B22" s="56"/>
    </row>
    <row r="23" spans="1:13" ht="18.75" x14ac:dyDescent="0.25">
      <c r="A23" s="57" t="s">
        <v>205</v>
      </c>
      <c r="B23" s="57" t="s">
        <v>183</v>
      </c>
    </row>
    <row r="24" spans="1:13" x14ac:dyDescent="0.25">
      <c r="A24" s="58" t="s">
        <v>70</v>
      </c>
      <c r="B24" s="59">
        <f>O2+M12</f>
        <v>568</v>
      </c>
    </row>
    <row r="25" spans="1:13" x14ac:dyDescent="0.25">
      <c r="A25" s="60" t="s">
        <v>84</v>
      </c>
      <c r="B25" s="59">
        <f>O3+M13</f>
        <v>385</v>
      </c>
    </row>
    <row r="26" spans="1:13" x14ac:dyDescent="0.25">
      <c r="A26" s="58" t="s">
        <v>85</v>
      </c>
      <c r="B26" s="59">
        <f>O4+M14</f>
        <v>359</v>
      </c>
    </row>
    <row r="27" spans="1:13" x14ac:dyDescent="0.25">
      <c r="A27" s="60" t="s">
        <v>92</v>
      </c>
      <c r="B27" s="59">
        <f>M15+O5</f>
        <v>283</v>
      </c>
    </row>
    <row r="28" spans="1:13" x14ac:dyDescent="0.25">
      <c r="A28" s="58" t="s">
        <v>95</v>
      </c>
      <c r="B28" s="59">
        <f>M16+O6</f>
        <v>241</v>
      </c>
    </row>
    <row r="29" spans="1:13" x14ac:dyDescent="0.25">
      <c r="A29" s="58" t="s">
        <v>98</v>
      </c>
      <c r="B29" s="59">
        <f>M17+O7</f>
        <v>190.5</v>
      </c>
    </row>
    <row r="30" spans="1:13" x14ac:dyDescent="0.25">
      <c r="A30" s="60" t="s">
        <v>99</v>
      </c>
      <c r="B30" s="59">
        <f>M18+O8</f>
        <v>185</v>
      </c>
    </row>
    <row r="31" spans="1:13" x14ac:dyDescent="0.25">
      <c r="A31" s="58" t="s">
        <v>100</v>
      </c>
      <c r="B31" s="59">
        <f>O9</f>
        <v>180</v>
      </c>
    </row>
  </sheetData>
  <mergeCells count="2">
    <mergeCell ref="P3:R5"/>
    <mergeCell ref="N14:P16"/>
  </mergeCells>
  <pageMargins left="0.7" right="0.7" top="0.75" bottom="0.75" header="0.3" footer="0.3"/>
  <pageSetup orientation="portrait" r:id="rId1"/>
  <ignoredErrors>
    <ignoredError sqref="K11:L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2"/>
  <sheetViews>
    <sheetView zoomScaleNormal="100" workbookViewId="0">
      <selection activeCell="P3" sqref="P3"/>
    </sheetView>
  </sheetViews>
  <sheetFormatPr defaultRowHeight="15" x14ac:dyDescent="0.25"/>
  <cols>
    <col min="1" max="1" width="26" style="5" customWidth="1"/>
    <col min="2" max="2" width="6.7109375" style="5" customWidth="1"/>
    <col min="3" max="3" width="6.85546875" style="5" customWidth="1"/>
    <col min="4" max="4" width="6" style="5" customWidth="1"/>
    <col min="5" max="5" width="7.42578125" style="5" customWidth="1"/>
    <col min="6" max="6" width="5.42578125" style="5" customWidth="1"/>
    <col min="7" max="7" width="6.5703125" style="5" customWidth="1"/>
    <col min="8" max="8" width="5.28515625" style="5" customWidth="1"/>
    <col min="9" max="9" width="7" style="5" customWidth="1"/>
    <col min="10" max="10" width="6.140625" style="5" customWidth="1"/>
    <col min="11" max="11" width="5.140625" style="5" customWidth="1"/>
    <col min="12" max="12" width="4.140625" style="5" customWidth="1"/>
    <col min="13" max="14" width="5" style="5" customWidth="1"/>
    <col min="15" max="15" width="12.42578125" style="5" customWidth="1"/>
    <col min="16" max="16" width="11.85546875" customWidth="1"/>
    <col min="18" max="18" width="12.85546875" customWidth="1"/>
    <col min="19" max="19" width="10.28515625" customWidth="1"/>
  </cols>
  <sheetData>
    <row r="2" spans="1:23" x14ac:dyDescent="0.25">
      <c r="A2" s="5" t="s">
        <v>0</v>
      </c>
      <c r="B2" s="5" t="s">
        <v>37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46</v>
      </c>
      <c r="H2" s="5" t="s">
        <v>47</v>
      </c>
      <c r="I2" s="5" t="s">
        <v>48</v>
      </c>
      <c r="J2" s="5" t="s">
        <v>174</v>
      </c>
      <c r="K2" s="5" t="s">
        <v>175</v>
      </c>
      <c r="L2" s="5" t="s">
        <v>176</v>
      </c>
      <c r="M2" s="5" t="s">
        <v>6</v>
      </c>
      <c r="N2" s="5" t="s">
        <v>7</v>
      </c>
      <c r="O2" s="5" t="s">
        <v>247</v>
      </c>
      <c r="P2" s="5" t="s">
        <v>246</v>
      </c>
      <c r="Q2" s="5" t="s">
        <v>183</v>
      </c>
      <c r="R2" s="5" t="s">
        <v>201</v>
      </c>
    </row>
    <row r="3" spans="1:23" x14ac:dyDescent="0.25">
      <c r="A3" s="5" t="s">
        <v>100</v>
      </c>
      <c r="B3" s="5">
        <v>14</v>
      </c>
      <c r="C3" s="5">
        <v>13</v>
      </c>
      <c r="D3" s="5">
        <v>4</v>
      </c>
      <c r="E3" s="5">
        <v>510</v>
      </c>
      <c r="F3" s="5" t="s">
        <v>144</v>
      </c>
      <c r="G3" s="5">
        <v>56.66</v>
      </c>
      <c r="H3" s="5">
        <v>249</v>
      </c>
      <c r="I3" s="5">
        <v>204.81</v>
      </c>
      <c r="J3" s="5">
        <v>0</v>
      </c>
      <c r="K3" s="5">
        <v>4</v>
      </c>
      <c r="L3" s="5">
        <v>1</v>
      </c>
      <c r="M3" s="5">
        <v>31</v>
      </c>
      <c r="N3" s="5">
        <v>52</v>
      </c>
      <c r="O3" s="5" t="str">
        <f>IFERROR(VLOOKUP(Table2[[#This Row],[Player]],Table5[Player],1,0),"NA")</f>
        <v>NA</v>
      </c>
      <c r="P3" s="5" t="str">
        <f>IFERROR(VLOOKUP(Table2[[#This Row],[Player]],workbook!$A$4:$D$41,4,0),"0")</f>
        <v>0</v>
      </c>
      <c r="Q3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1349</v>
      </c>
      <c r="R3" s="5" t="str">
        <f>IFERROR(VLOOKUP(Table2[[#This Row],[Player]],'2019 Bowlers'!$A$3:$A$49,1,0),"NA")</f>
        <v>AD Russell</v>
      </c>
    </row>
    <row r="4" spans="1:23" x14ac:dyDescent="0.25">
      <c r="A4" s="5" t="s">
        <v>51</v>
      </c>
      <c r="B4" s="5">
        <v>12</v>
      </c>
      <c r="C4" s="5">
        <v>12</v>
      </c>
      <c r="D4" s="5">
        <v>2</v>
      </c>
      <c r="E4" s="5">
        <v>692</v>
      </c>
      <c r="F4" s="5" t="s">
        <v>17</v>
      </c>
      <c r="G4" s="5">
        <v>69.2</v>
      </c>
      <c r="H4" s="5">
        <v>481</v>
      </c>
      <c r="I4" s="5">
        <v>143.86000000000001</v>
      </c>
      <c r="J4" s="5">
        <v>1</v>
      </c>
      <c r="K4" s="5">
        <v>8</v>
      </c>
      <c r="L4" s="5">
        <v>0</v>
      </c>
      <c r="M4" s="5">
        <v>57</v>
      </c>
      <c r="N4" s="5">
        <v>21</v>
      </c>
      <c r="O4" s="5" t="str">
        <f>IFERROR(VLOOKUP(Table2[[#This Row],[Player]],Table5[Player],1,0),"NA")</f>
        <v>DA Warner</v>
      </c>
      <c r="P4" s="5">
        <f>IFERROR(VLOOKUP(Table2[[#This Row],[Player]],workbook!$A$4:$D$41,4,0),"0")</f>
        <v>12</v>
      </c>
      <c r="Q4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1111</v>
      </c>
      <c r="R4" s="5" t="str">
        <f>IFERROR(VLOOKUP(Table2[[#This Row],[Player]],'2019 Bowlers'!$A$3:$A$49,1,0),"NA")</f>
        <v>NA</v>
      </c>
      <c r="T4" s="53"/>
      <c r="U4" s="53"/>
      <c r="V4" s="53"/>
    </row>
    <row r="5" spans="1:23" x14ac:dyDescent="0.25">
      <c r="A5" s="5" t="s">
        <v>49</v>
      </c>
      <c r="B5" s="5">
        <v>14</v>
      </c>
      <c r="C5" s="5">
        <v>14</v>
      </c>
      <c r="D5" s="5">
        <v>3</v>
      </c>
      <c r="E5" s="5">
        <v>593</v>
      </c>
      <c r="F5" s="5" t="s">
        <v>17</v>
      </c>
      <c r="G5" s="5">
        <v>53.9</v>
      </c>
      <c r="H5" s="5">
        <v>438</v>
      </c>
      <c r="I5" s="5">
        <v>135.38</v>
      </c>
      <c r="J5" s="5">
        <v>1</v>
      </c>
      <c r="K5" s="5">
        <v>6</v>
      </c>
      <c r="L5" s="5">
        <v>0</v>
      </c>
      <c r="M5" s="5">
        <v>49</v>
      </c>
      <c r="N5" s="5">
        <v>25</v>
      </c>
      <c r="O5" s="5" t="str">
        <f>IFERROR(VLOOKUP(Table2[[#This Row],[Player]],Table5[Player],1,0),"NA")</f>
        <v>NA</v>
      </c>
      <c r="P5" s="5" t="str">
        <f>IFERROR(VLOOKUP(Table2[[#This Row],[Player]],workbook!$A$4:$D$41,4,0),"0")</f>
        <v>0</v>
      </c>
      <c r="Q5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904</v>
      </c>
      <c r="R5" s="5" t="str">
        <f>IFERROR(VLOOKUP(Table2[[#This Row],[Player]],'2019 Bowlers'!$A$3:$A$49,1,0),"NA")</f>
        <v>NA</v>
      </c>
      <c r="T5" s="53"/>
      <c r="U5" s="53"/>
      <c r="V5" s="53"/>
    </row>
    <row r="6" spans="1:23" ht="15.75" x14ac:dyDescent="0.25">
      <c r="A6" s="5" t="s">
        <v>50</v>
      </c>
      <c r="B6" s="5">
        <v>16</v>
      </c>
      <c r="C6" s="5">
        <v>16</v>
      </c>
      <c r="D6" s="5">
        <v>1</v>
      </c>
      <c r="E6" s="5">
        <v>521</v>
      </c>
      <c r="F6" s="5" t="s">
        <v>24</v>
      </c>
      <c r="G6" s="5">
        <v>34.729999999999997</v>
      </c>
      <c r="H6" s="5">
        <v>384</v>
      </c>
      <c r="I6" s="5">
        <v>135.66999999999999</v>
      </c>
      <c r="J6" s="5">
        <v>0</v>
      </c>
      <c r="K6" s="5">
        <v>5</v>
      </c>
      <c r="L6" s="5">
        <v>1</v>
      </c>
      <c r="M6" s="5">
        <v>64</v>
      </c>
      <c r="N6" s="5">
        <v>11</v>
      </c>
      <c r="O6" s="5" t="str">
        <f>IFERROR(VLOOKUP(Table2[[#This Row],[Player]],Table5[Player],1,0),"NA")</f>
        <v>S Dhawan</v>
      </c>
      <c r="P6" s="5">
        <f>IFERROR(VLOOKUP(Table2[[#This Row],[Player]],workbook!$A$4:$D$41,4,0),"0")</f>
        <v>5</v>
      </c>
      <c r="Q6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828</v>
      </c>
      <c r="R6" s="5" t="str">
        <f>IFERROR(VLOOKUP(Table2[[#This Row],[Player]],'2019 Bowlers'!$A$3:$A$49,1,0),"NA")</f>
        <v>NA</v>
      </c>
      <c r="T6" s="53"/>
      <c r="U6" s="54"/>
      <c r="V6" s="53"/>
    </row>
    <row r="7" spans="1:23" x14ac:dyDescent="0.25">
      <c r="A7" s="5" t="s">
        <v>78</v>
      </c>
      <c r="B7" s="5">
        <v>13</v>
      </c>
      <c r="C7" s="5">
        <v>13</v>
      </c>
      <c r="D7" s="5">
        <v>1</v>
      </c>
      <c r="E7" s="5">
        <v>490</v>
      </c>
      <c r="F7" s="5" t="s">
        <v>145</v>
      </c>
      <c r="G7" s="5">
        <v>40.83</v>
      </c>
      <c r="H7" s="5">
        <v>319</v>
      </c>
      <c r="I7" s="5">
        <v>153.6</v>
      </c>
      <c r="J7" s="5">
        <v>0</v>
      </c>
      <c r="K7" s="5">
        <v>4</v>
      </c>
      <c r="L7" s="5">
        <v>0</v>
      </c>
      <c r="M7" s="5">
        <v>45</v>
      </c>
      <c r="N7" s="5">
        <v>34</v>
      </c>
      <c r="O7" s="5" t="str">
        <f>IFERROR(VLOOKUP(Table2[[#This Row],[Player]],Table5[Player],1,0),"NA")</f>
        <v>NA</v>
      </c>
      <c r="P7" s="5" t="str">
        <f>IFERROR(VLOOKUP(Table2[[#This Row],[Player]],workbook!$A$4:$D$41,4,0),"0")</f>
        <v>0</v>
      </c>
      <c r="Q7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793</v>
      </c>
      <c r="R7" s="5" t="str">
        <f>IFERROR(VLOOKUP(Table2[[#This Row],[Player]],'2019 Bowlers'!$A$3:$A$49,1,0),"NA")</f>
        <v>NA</v>
      </c>
    </row>
    <row r="8" spans="1:23" x14ac:dyDescent="0.25">
      <c r="A8" s="5" t="s">
        <v>55</v>
      </c>
      <c r="B8" s="5">
        <v>16</v>
      </c>
      <c r="C8" s="5">
        <v>16</v>
      </c>
      <c r="D8" s="5">
        <v>1</v>
      </c>
      <c r="E8" s="5">
        <v>529</v>
      </c>
      <c r="F8" s="5">
        <v>81</v>
      </c>
      <c r="G8" s="5">
        <v>35.26</v>
      </c>
      <c r="H8" s="5">
        <v>398</v>
      </c>
      <c r="I8" s="5">
        <v>132.91</v>
      </c>
      <c r="J8" s="5">
        <v>0</v>
      </c>
      <c r="K8" s="5">
        <v>4</v>
      </c>
      <c r="L8" s="5">
        <v>1</v>
      </c>
      <c r="M8" s="5">
        <v>45</v>
      </c>
      <c r="N8" s="5">
        <v>25</v>
      </c>
      <c r="O8" s="5" t="str">
        <f>IFERROR(VLOOKUP(Table2[[#This Row],[Player]],Table5[Player],1,0),"NA")</f>
        <v>NA</v>
      </c>
      <c r="P8" s="5" t="str">
        <f>IFERROR(VLOOKUP(Table2[[#This Row],[Player]],workbook!$A$4:$D$41,4,0),"0")</f>
        <v>0</v>
      </c>
      <c r="Q8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792</v>
      </c>
      <c r="R8" s="5" t="str">
        <f>IFERROR(VLOOKUP(Table2[[#This Row],[Player]],'2019 Bowlers'!$A$3:$A$49,1,0),"NA")</f>
        <v>NA</v>
      </c>
    </row>
    <row r="9" spans="1:23" x14ac:dyDescent="0.25">
      <c r="A9" s="5" t="s">
        <v>72</v>
      </c>
      <c r="B9" s="5">
        <v>16</v>
      </c>
      <c r="C9" s="5">
        <v>16</v>
      </c>
      <c r="D9" s="5">
        <v>3</v>
      </c>
      <c r="E9" s="5">
        <v>488</v>
      </c>
      <c r="F9" s="5" t="s">
        <v>29</v>
      </c>
      <c r="G9" s="5">
        <v>37.53</v>
      </c>
      <c r="H9" s="5">
        <v>300</v>
      </c>
      <c r="I9" s="5">
        <v>162.66</v>
      </c>
      <c r="J9" s="5">
        <v>0</v>
      </c>
      <c r="K9" s="5">
        <v>3</v>
      </c>
      <c r="L9" s="5">
        <v>0</v>
      </c>
      <c r="M9" s="5">
        <v>37</v>
      </c>
      <c r="N9" s="5">
        <v>27</v>
      </c>
      <c r="O9" s="5" t="str">
        <f>IFERROR(VLOOKUP(Table2[[#This Row],[Player]],Table5[Player],1,0),"NA")</f>
        <v>NA</v>
      </c>
      <c r="P9" s="5" t="str">
        <f>IFERROR(VLOOKUP(Table2[[#This Row],[Player]],workbook!$A$4:$D$41,4,0),"0")</f>
        <v>0</v>
      </c>
      <c r="Q9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731</v>
      </c>
      <c r="R9" s="5" t="str">
        <f>IFERROR(VLOOKUP(Table2[[#This Row],[Player]],'2019 Bowlers'!$A$3:$A$49,1,0),"NA")</f>
        <v>NA</v>
      </c>
      <c r="T9" s="31"/>
      <c r="U9" s="32"/>
      <c r="V9" s="32"/>
      <c r="W9" s="31"/>
    </row>
    <row r="10" spans="1:23" x14ac:dyDescent="0.25">
      <c r="A10" s="5" t="s">
        <v>71</v>
      </c>
      <c r="B10" s="5">
        <v>10</v>
      </c>
      <c r="C10" s="5">
        <v>10</v>
      </c>
      <c r="D10" s="5">
        <v>2</v>
      </c>
      <c r="E10" s="5">
        <v>445</v>
      </c>
      <c r="F10" s="5">
        <v>114</v>
      </c>
      <c r="G10" s="5">
        <v>55.62</v>
      </c>
      <c r="H10" s="5">
        <v>283</v>
      </c>
      <c r="I10" s="5">
        <v>157.24</v>
      </c>
      <c r="J10" s="5">
        <v>1</v>
      </c>
      <c r="K10" s="5">
        <v>2</v>
      </c>
      <c r="L10" s="5">
        <v>1</v>
      </c>
      <c r="M10" s="5">
        <v>48</v>
      </c>
      <c r="N10" s="5">
        <v>18</v>
      </c>
      <c r="O10" s="5" t="str">
        <f>IFERROR(VLOOKUP(Table2[[#This Row],[Player]],Table5[Player],1,0),"NA")</f>
        <v>NA</v>
      </c>
      <c r="P10" s="5" t="str">
        <f>IFERROR(VLOOKUP(Table2[[#This Row],[Player]],workbook!$A$4:$D$41,4,0),"0")</f>
        <v>0</v>
      </c>
      <c r="Q10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689</v>
      </c>
      <c r="R10" s="5" t="str">
        <f>IFERROR(VLOOKUP(Table2[[#This Row],[Player]],'2019 Bowlers'!$A$3:$A$49,1,0),"NA")</f>
        <v>NA</v>
      </c>
      <c r="T10" s="31"/>
      <c r="U10" s="31"/>
      <c r="V10" s="31"/>
      <c r="W10" s="31"/>
    </row>
    <row r="11" spans="1:23" x14ac:dyDescent="0.25">
      <c r="A11" s="5" t="s">
        <v>58</v>
      </c>
      <c r="B11" s="5">
        <v>14</v>
      </c>
      <c r="C11" s="5">
        <v>14</v>
      </c>
      <c r="D11" s="5">
        <v>0</v>
      </c>
      <c r="E11" s="5">
        <v>464</v>
      </c>
      <c r="F11" s="5">
        <v>100</v>
      </c>
      <c r="G11" s="5">
        <v>33.14</v>
      </c>
      <c r="H11" s="5">
        <v>328</v>
      </c>
      <c r="I11" s="5">
        <v>141.46</v>
      </c>
      <c r="J11" s="5">
        <v>1</v>
      </c>
      <c r="K11" s="5">
        <v>2</v>
      </c>
      <c r="L11" s="5">
        <v>0</v>
      </c>
      <c r="M11" s="5">
        <v>46</v>
      </c>
      <c r="N11" s="5">
        <v>13</v>
      </c>
      <c r="O11" s="5" t="str">
        <f>IFERROR(VLOOKUP(Table2[[#This Row],[Player]],Table5[Player],1,0),"NA")</f>
        <v>NA</v>
      </c>
      <c r="P11" s="5" t="str">
        <f>IFERROR(VLOOKUP(Table2[[#This Row],[Player]],workbook!$A$4:$D$41,4,0),"0")</f>
        <v>0</v>
      </c>
      <c r="Q11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686</v>
      </c>
      <c r="R11" s="5" t="str">
        <f>IFERROR(VLOOKUP(Table2[[#This Row],[Player]],'2019 Bowlers'!$A$3:$A$49,1,0),"NA")</f>
        <v>NA</v>
      </c>
    </row>
    <row r="12" spans="1:23" x14ac:dyDescent="0.25">
      <c r="A12" s="5" t="s">
        <v>60</v>
      </c>
      <c r="B12" s="5">
        <v>13</v>
      </c>
      <c r="C12" s="5">
        <v>13</v>
      </c>
      <c r="D12" s="5">
        <v>3</v>
      </c>
      <c r="E12" s="5">
        <v>442</v>
      </c>
      <c r="F12" s="5" t="s">
        <v>11</v>
      </c>
      <c r="G12" s="5">
        <v>44.2</v>
      </c>
      <c r="H12" s="5">
        <v>287</v>
      </c>
      <c r="I12" s="5">
        <v>154</v>
      </c>
      <c r="J12" s="5">
        <v>0</v>
      </c>
      <c r="K12" s="5">
        <v>5</v>
      </c>
      <c r="L12" s="5">
        <v>0</v>
      </c>
      <c r="M12" s="5">
        <v>31</v>
      </c>
      <c r="N12" s="5">
        <v>26</v>
      </c>
      <c r="O12" s="5" t="str">
        <f>IFERROR(VLOOKUP(Table2[[#This Row],[Player]],Table5[Player],1,0),"NA")</f>
        <v>NA</v>
      </c>
      <c r="P12" s="5" t="str">
        <f>IFERROR(VLOOKUP(Table2[[#This Row],[Player]],workbook!$A$4:$D$41,4,0),"0")</f>
        <v>0</v>
      </c>
      <c r="Q12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679</v>
      </c>
      <c r="R12" s="5" t="str">
        <f>IFERROR(VLOOKUP(Table2[[#This Row],[Player]],'2019 Bowlers'!$A$3:$A$49,1,0),"NA")</f>
        <v>NA</v>
      </c>
    </row>
    <row r="13" spans="1:23" x14ac:dyDescent="0.25">
      <c r="A13" s="5" t="s">
        <v>53</v>
      </c>
      <c r="B13" s="5">
        <v>16</v>
      </c>
      <c r="C13" s="5">
        <v>16</v>
      </c>
      <c r="D13" s="5">
        <v>1</v>
      </c>
      <c r="E13" s="5">
        <v>463</v>
      </c>
      <c r="F13" s="5">
        <v>67</v>
      </c>
      <c r="G13" s="5">
        <v>30.86</v>
      </c>
      <c r="H13" s="5">
        <v>386</v>
      </c>
      <c r="I13" s="5">
        <v>119.94</v>
      </c>
      <c r="J13" s="5">
        <v>0</v>
      </c>
      <c r="K13" s="5">
        <v>3</v>
      </c>
      <c r="L13" s="5">
        <v>0</v>
      </c>
      <c r="M13" s="5">
        <v>41</v>
      </c>
      <c r="N13" s="5">
        <v>14</v>
      </c>
      <c r="O13" s="5" t="str">
        <f>IFERROR(VLOOKUP(Table2[[#This Row],[Player]],Table5[Player],1,0),"NA")</f>
        <v>SS Iyer</v>
      </c>
      <c r="P13" s="5" t="str">
        <f>IFERROR(VLOOKUP(Table2[[#This Row],[Player]],workbook!$A$4:$D$41,4,0),"0")</f>
        <v>0</v>
      </c>
      <c r="Q13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666</v>
      </c>
      <c r="R13" s="5" t="str">
        <f>IFERROR(VLOOKUP(Table2[[#This Row],[Player]],'2019 Bowlers'!$A$3:$A$49,1,0),"NA")</f>
        <v>NA</v>
      </c>
    </row>
    <row r="14" spans="1:23" x14ac:dyDescent="0.25">
      <c r="A14" s="5" t="s">
        <v>146</v>
      </c>
      <c r="B14" s="5">
        <v>13</v>
      </c>
      <c r="C14" s="5">
        <v>13</v>
      </c>
      <c r="D14" s="5">
        <v>0</v>
      </c>
      <c r="E14" s="5">
        <v>405</v>
      </c>
      <c r="F14" s="5">
        <v>82</v>
      </c>
      <c r="G14" s="5">
        <v>31.15</v>
      </c>
      <c r="H14" s="5">
        <v>290</v>
      </c>
      <c r="I14" s="5">
        <v>139.65</v>
      </c>
      <c r="J14" s="5">
        <v>0</v>
      </c>
      <c r="K14" s="5">
        <v>4</v>
      </c>
      <c r="L14" s="5">
        <v>2</v>
      </c>
      <c r="M14" s="5">
        <v>41</v>
      </c>
      <c r="N14" s="5">
        <v>22</v>
      </c>
      <c r="O14" s="5" t="str">
        <f>IFERROR(VLOOKUP(Table2[[#This Row],[Player]],Table5[Player],1,0),"NA")</f>
        <v>NA</v>
      </c>
      <c r="P14" s="5" t="str">
        <f>IFERROR(VLOOKUP(Table2[[#This Row],[Player]],workbook!$A$4:$D$41,4,0),"0")</f>
        <v>0</v>
      </c>
      <c r="Q14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640</v>
      </c>
      <c r="R14" s="5" t="str">
        <f>IFERROR(VLOOKUP(Table2[[#This Row],[Player]],'2019 Bowlers'!$A$3:$A$49,1,0),"NA")</f>
        <v>NA</v>
      </c>
    </row>
    <row r="15" spans="1:23" x14ac:dyDescent="0.25">
      <c r="A15" s="5" t="s">
        <v>73</v>
      </c>
      <c r="B15" s="5">
        <v>15</v>
      </c>
      <c r="C15" s="5">
        <v>15</v>
      </c>
      <c r="D15" s="5">
        <v>1</v>
      </c>
      <c r="E15" s="5">
        <v>405</v>
      </c>
      <c r="F15" s="5">
        <v>67</v>
      </c>
      <c r="G15" s="5">
        <v>28.92</v>
      </c>
      <c r="H15" s="5">
        <v>315</v>
      </c>
      <c r="I15" s="5">
        <v>128.57</v>
      </c>
      <c r="J15" s="5">
        <v>0</v>
      </c>
      <c r="K15" s="5">
        <v>2</v>
      </c>
      <c r="L15" s="5">
        <v>0</v>
      </c>
      <c r="M15" s="5">
        <v>52</v>
      </c>
      <c r="N15" s="5">
        <v>10</v>
      </c>
      <c r="O15" s="5" t="str">
        <f>IFERROR(VLOOKUP(Table2[[#This Row],[Player]],Table5[Player],1,0),"NA")</f>
        <v>RG Sharma</v>
      </c>
      <c r="P15" s="5">
        <f>IFERROR(VLOOKUP(Table2[[#This Row],[Player]],workbook!$A$4:$D$41,4,0),"0")</f>
        <v>6</v>
      </c>
      <c r="Q15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659</v>
      </c>
      <c r="R15" s="5" t="str">
        <f>IFERROR(VLOOKUP(Table2[[#This Row],[Player]],'2019 Bowlers'!$A$3:$A$49,1,0),"NA")</f>
        <v>NA</v>
      </c>
    </row>
    <row r="16" spans="1:23" x14ac:dyDescent="0.25">
      <c r="A16" s="5" t="s">
        <v>77</v>
      </c>
      <c r="B16" s="5">
        <v>17</v>
      </c>
      <c r="C16" s="5">
        <v>17</v>
      </c>
      <c r="D16" s="5">
        <v>0</v>
      </c>
      <c r="E16" s="5">
        <v>398</v>
      </c>
      <c r="F16" s="5">
        <v>96</v>
      </c>
      <c r="G16" s="5">
        <v>23.41</v>
      </c>
      <c r="H16" s="5">
        <v>312</v>
      </c>
      <c r="I16" s="5">
        <v>127.56</v>
      </c>
      <c r="J16" s="5">
        <v>0</v>
      </c>
      <c r="K16" s="5">
        <v>3</v>
      </c>
      <c r="L16" s="5">
        <v>3</v>
      </c>
      <c r="M16" s="5">
        <v>42</v>
      </c>
      <c r="N16" s="5">
        <v>20</v>
      </c>
      <c r="O16" s="5" t="str">
        <f>IFERROR(VLOOKUP(Table2[[#This Row],[Player]],Table5[Player],1,0),"NA")</f>
        <v>NA</v>
      </c>
      <c r="P16" s="5" t="str">
        <f>IFERROR(VLOOKUP(Table2[[#This Row],[Player]],workbook!$A$4:$D$41,4,0),"0")</f>
        <v>0</v>
      </c>
      <c r="Q16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616</v>
      </c>
      <c r="R16" s="5" t="str">
        <f>IFERROR(VLOOKUP(Table2[[#This Row],[Player]],'2019 Bowlers'!$A$3:$A$49,1,0),"NA")</f>
        <v>NA</v>
      </c>
    </row>
    <row r="17" spans="1:18" x14ac:dyDescent="0.25">
      <c r="A17" s="5" t="s">
        <v>56</v>
      </c>
      <c r="B17" s="5">
        <v>16</v>
      </c>
      <c r="C17" s="5">
        <v>15</v>
      </c>
      <c r="D17" s="5">
        <v>2</v>
      </c>
      <c r="E17" s="5">
        <v>424</v>
      </c>
      <c r="F17" s="5" t="s">
        <v>32</v>
      </c>
      <c r="G17" s="5">
        <v>32.61</v>
      </c>
      <c r="H17" s="5">
        <v>324</v>
      </c>
      <c r="I17" s="5">
        <v>130.86000000000001</v>
      </c>
      <c r="J17" s="5">
        <v>0</v>
      </c>
      <c r="K17" s="5">
        <v>2</v>
      </c>
      <c r="L17" s="5">
        <v>0</v>
      </c>
      <c r="M17" s="5">
        <v>45</v>
      </c>
      <c r="N17" s="5">
        <v>10</v>
      </c>
      <c r="O17" s="5" t="str">
        <f>IFERROR(VLOOKUP(Table2[[#This Row],[Player]],Table5[Player],1,0),"NA")</f>
        <v>SA Yadav</v>
      </c>
      <c r="P17" s="5">
        <f>IFERROR(VLOOKUP(Table2[[#This Row],[Player]],workbook!$A$4:$D$41,4,0),"0")</f>
        <v>8</v>
      </c>
      <c r="Q17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671</v>
      </c>
      <c r="R17" s="5" t="str">
        <f>IFERROR(VLOOKUP(Table2[[#This Row],[Player]],'2019 Bowlers'!$A$3:$A$49,1,0),"NA")</f>
        <v>NA</v>
      </c>
    </row>
    <row r="18" spans="1:18" x14ac:dyDescent="0.25">
      <c r="A18" s="5" t="s">
        <v>80</v>
      </c>
      <c r="B18" s="5">
        <v>16</v>
      </c>
      <c r="C18" s="5">
        <v>15</v>
      </c>
      <c r="D18" s="5">
        <v>6</v>
      </c>
      <c r="E18" s="5">
        <v>402</v>
      </c>
      <c r="F18" s="5">
        <v>91</v>
      </c>
      <c r="G18" s="5">
        <v>44.66</v>
      </c>
      <c r="H18" s="5">
        <v>210</v>
      </c>
      <c r="I18" s="5">
        <v>191.42</v>
      </c>
      <c r="J18" s="5">
        <v>0</v>
      </c>
      <c r="K18" s="5">
        <v>1</v>
      </c>
      <c r="L18" s="5">
        <v>1</v>
      </c>
      <c r="M18" s="5">
        <v>28</v>
      </c>
      <c r="N18" s="5">
        <v>29</v>
      </c>
      <c r="O18" s="5" t="str">
        <f>IFERROR(VLOOKUP(Table2[[#This Row],[Player]],Table5[Player],1,0),"NA")</f>
        <v>HH Pandya</v>
      </c>
      <c r="P18" s="5">
        <f>IFERROR(VLOOKUP(Table2[[#This Row],[Player]],workbook!$A$4:$D$41,4,0),"0")</f>
        <v>6</v>
      </c>
      <c r="Q18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648</v>
      </c>
      <c r="R18" s="5" t="str">
        <f>IFERROR(VLOOKUP(Table2[[#This Row],[Player]],'2019 Bowlers'!$A$3:$A$49,1,0),"NA")</f>
        <v>HH Pandya</v>
      </c>
    </row>
    <row r="19" spans="1:18" x14ac:dyDescent="0.25">
      <c r="A19" s="5" t="s">
        <v>90</v>
      </c>
      <c r="B19" s="5">
        <v>15</v>
      </c>
      <c r="C19" s="5">
        <v>12</v>
      </c>
      <c r="D19" s="5">
        <v>7</v>
      </c>
      <c r="E19" s="5">
        <v>416</v>
      </c>
      <c r="F19" s="5" t="s">
        <v>18</v>
      </c>
      <c r="G19" s="5">
        <v>83.2</v>
      </c>
      <c r="H19" s="5">
        <v>309</v>
      </c>
      <c r="I19" s="5">
        <v>134.62</v>
      </c>
      <c r="J19" s="5">
        <v>0</v>
      </c>
      <c r="K19" s="5">
        <v>3</v>
      </c>
      <c r="L19" s="5">
        <v>0</v>
      </c>
      <c r="M19" s="5">
        <v>22</v>
      </c>
      <c r="N19" s="5">
        <v>23</v>
      </c>
      <c r="O19" s="5" t="str">
        <f>IFERROR(VLOOKUP(Table2[[#This Row],[Player]],Table5[Player],1,0),"NA")</f>
        <v>NA</v>
      </c>
      <c r="P19" s="5" t="str">
        <f>IFERROR(VLOOKUP(Table2[[#This Row],[Player]],workbook!$A$4:$D$41,4,0),"0")</f>
        <v>0</v>
      </c>
      <c r="Q19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598</v>
      </c>
      <c r="R19" s="5" t="str">
        <f>IFERROR(VLOOKUP(Table2[[#This Row],[Player]],'2019 Bowlers'!$A$3:$A$49,1,0),"NA")</f>
        <v>NA</v>
      </c>
    </row>
    <row r="20" spans="1:18" x14ac:dyDescent="0.25">
      <c r="A20" s="5" t="s">
        <v>61</v>
      </c>
      <c r="B20" s="5">
        <v>12</v>
      </c>
      <c r="C20" s="5">
        <v>12</v>
      </c>
      <c r="D20" s="5">
        <v>1</v>
      </c>
      <c r="E20" s="5">
        <v>396</v>
      </c>
      <c r="F20" s="5">
        <v>96</v>
      </c>
      <c r="G20" s="5">
        <v>36</v>
      </c>
      <c r="H20" s="5">
        <v>321</v>
      </c>
      <c r="I20" s="5">
        <v>123.36</v>
      </c>
      <c r="J20" s="5">
        <v>0</v>
      </c>
      <c r="K20" s="5">
        <v>3</v>
      </c>
      <c r="L20" s="5">
        <v>0</v>
      </c>
      <c r="M20" s="5">
        <v>36</v>
      </c>
      <c r="N20" s="5">
        <v>15</v>
      </c>
      <c r="O20" s="5" t="str">
        <f>IFERROR(VLOOKUP(Table2[[#This Row],[Player]],Table5[Player],1,0),"NA")</f>
        <v>F du Plessis</v>
      </c>
      <c r="P20" s="5">
        <f>IFERROR(VLOOKUP(Table2[[#This Row],[Player]],workbook!$A$4:$D$41,4,0),"0")</f>
        <v>12</v>
      </c>
      <c r="Q20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672</v>
      </c>
      <c r="R20" s="5" t="str">
        <f>IFERROR(VLOOKUP(Table2[[#This Row],[Player]],'2019 Bowlers'!$A$3:$A$49,1,0),"NA")</f>
        <v>NA</v>
      </c>
    </row>
    <row r="21" spans="1:18" x14ac:dyDescent="0.25">
      <c r="A21" s="5" t="s">
        <v>147</v>
      </c>
      <c r="B21" s="5">
        <v>14</v>
      </c>
      <c r="C21" s="5">
        <v>13</v>
      </c>
      <c r="D21" s="5">
        <v>1</v>
      </c>
      <c r="E21" s="5">
        <v>393</v>
      </c>
      <c r="F21" s="5" t="s">
        <v>30</v>
      </c>
      <c r="G21" s="5">
        <v>32.75</v>
      </c>
      <c r="H21" s="5">
        <v>285</v>
      </c>
      <c r="I21" s="5">
        <v>137.88999999999999</v>
      </c>
      <c r="J21" s="5">
        <v>1</v>
      </c>
      <c r="K21" s="5">
        <v>1</v>
      </c>
      <c r="L21" s="5">
        <v>1</v>
      </c>
      <c r="M21" s="5">
        <v>45</v>
      </c>
      <c r="N21" s="5">
        <v>9</v>
      </c>
      <c r="O21" s="5" t="str">
        <f>IFERROR(VLOOKUP(Table2[[#This Row],[Player]],Table5[Player],1,0),"NA")</f>
        <v>AM Rahane</v>
      </c>
      <c r="P21" s="5">
        <f>IFERROR(VLOOKUP(Table2[[#This Row],[Player]],workbook!$A$4:$D$41,4,0),"0")</f>
        <v>4</v>
      </c>
      <c r="Q21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612</v>
      </c>
      <c r="R21" s="5" t="str">
        <f>IFERROR(VLOOKUP(Table2[[#This Row],[Player]],'2019 Bowlers'!$A$3:$A$49,1,0),"NA")</f>
        <v>NA</v>
      </c>
    </row>
    <row r="22" spans="1:18" x14ac:dyDescent="0.25">
      <c r="A22" s="5" t="s">
        <v>148</v>
      </c>
      <c r="B22" s="5">
        <v>17</v>
      </c>
      <c r="C22" s="5">
        <v>17</v>
      </c>
      <c r="D22" s="5">
        <v>1</v>
      </c>
      <c r="E22" s="5">
        <v>383</v>
      </c>
      <c r="F22" s="5">
        <v>59</v>
      </c>
      <c r="G22" s="5">
        <v>23.93</v>
      </c>
      <c r="H22" s="5">
        <v>314</v>
      </c>
      <c r="I22" s="5">
        <v>121.97</v>
      </c>
      <c r="J22" s="5">
        <v>0</v>
      </c>
      <c r="K22" s="5">
        <v>3</v>
      </c>
      <c r="L22" s="5">
        <v>1</v>
      </c>
      <c r="M22" s="5">
        <v>45</v>
      </c>
      <c r="N22" s="5">
        <v>9</v>
      </c>
      <c r="O22" s="5" t="str">
        <f>IFERROR(VLOOKUP(Table2[[#This Row],[Player]],Table5[Player],1,0),"NA")</f>
        <v>NA</v>
      </c>
      <c r="P22" s="5" t="str">
        <f>IFERROR(VLOOKUP(Table2[[#This Row],[Player]],workbook!$A$4:$D$41,4,0),"0")</f>
        <v>0</v>
      </c>
      <c r="Q22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574</v>
      </c>
      <c r="R22" s="5" t="str">
        <f>IFERROR(VLOOKUP(Table2[[#This Row],[Player]],'2019 Bowlers'!$A$3:$A$49,1,0),"NA")</f>
        <v>NA</v>
      </c>
    </row>
    <row r="23" spans="1:18" x14ac:dyDescent="0.25">
      <c r="A23" s="5" t="s">
        <v>149</v>
      </c>
      <c r="B23" s="5">
        <v>14</v>
      </c>
      <c r="C23" s="5">
        <v>14</v>
      </c>
      <c r="D23" s="5">
        <v>0</v>
      </c>
      <c r="E23" s="5">
        <v>373</v>
      </c>
      <c r="F23" s="5">
        <v>67</v>
      </c>
      <c r="G23" s="5">
        <v>26.64</v>
      </c>
      <c r="H23" s="5">
        <v>268</v>
      </c>
      <c r="I23" s="5">
        <v>139.16999999999999</v>
      </c>
      <c r="J23" s="5">
        <v>0</v>
      </c>
      <c r="K23" s="5">
        <v>2</v>
      </c>
      <c r="L23" s="5">
        <v>1</v>
      </c>
      <c r="M23" s="5">
        <v>48</v>
      </c>
      <c r="N23" s="5">
        <v>10</v>
      </c>
      <c r="O23" s="5" t="str">
        <f>IFERROR(VLOOKUP(Table2[[#This Row],[Player]],Table5[Player],1,0),"NA")</f>
        <v>NA</v>
      </c>
      <c r="P23" s="5" t="str">
        <f>IFERROR(VLOOKUP(Table2[[#This Row],[Player]],workbook!$A$4:$D$41,4,0),"0")</f>
        <v>0</v>
      </c>
      <c r="Q23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569</v>
      </c>
      <c r="R23" s="5" t="str">
        <f>IFERROR(VLOOKUP(Table2[[#This Row],[Player]],'2019 Bowlers'!$A$3:$A$49,1,0),"NA")</f>
        <v>NA</v>
      </c>
    </row>
    <row r="24" spans="1:18" x14ac:dyDescent="0.25">
      <c r="A24" s="5" t="s">
        <v>87</v>
      </c>
      <c r="B24" s="5">
        <v>16</v>
      </c>
      <c r="C24" s="5">
        <v>16</v>
      </c>
      <c r="D24" s="5">
        <v>0</v>
      </c>
      <c r="E24" s="5">
        <v>353</v>
      </c>
      <c r="F24" s="5">
        <v>99</v>
      </c>
      <c r="G24" s="5">
        <v>22.06</v>
      </c>
      <c r="H24" s="5">
        <v>264</v>
      </c>
      <c r="I24" s="5">
        <v>133.71</v>
      </c>
      <c r="J24" s="5">
        <v>0</v>
      </c>
      <c r="K24" s="5">
        <v>2</v>
      </c>
      <c r="L24" s="5">
        <v>1</v>
      </c>
      <c r="M24" s="5">
        <v>45</v>
      </c>
      <c r="N24" s="5">
        <v>9</v>
      </c>
      <c r="O24" s="5" t="str">
        <f>IFERROR(VLOOKUP(Table2[[#This Row],[Player]],Table5[Player],1,0),"NA")</f>
        <v>PP Shaw</v>
      </c>
      <c r="P24" s="5">
        <f>IFERROR(VLOOKUP(Table2[[#This Row],[Player]],workbook!$A$4:$D$41,4,0),"0")</f>
        <v>4</v>
      </c>
      <c r="Q24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564</v>
      </c>
      <c r="R24" s="5" t="str">
        <f>IFERROR(VLOOKUP(Table2[[#This Row],[Player]],'2019 Bowlers'!$A$3:$A$49,1,0),"NA")</f>
        <v>NA</v>
      </c>
    </row>
    <row r="25" spans="1:18" x14ac:dyDescent="0.25">
      <c r="A25" s="5" t="s">
        <v>69</v>
      </c>
      <c r="B25" s="5">
        <v>14</v>
      </c>
      <c r="C25" s="5">
        <v>11</v>
      </c>
      <c r="D25" s="5">
        <v>1</v>
      </c>
      <c r="E25" s="5">
        <v>344</v>
      </c>
      <c r="F25" s="5" t="s">
        <v>52</v>
      </c>
      <c r="G25" s="5">
        <v>34.4</v>
      </c>
      <c r="H25" s="5">
        <v>235</v>
      </c>
      <c r="I25" s="5">
        <v>146.38</v>
      </c>
      <c r="J25" s="5">
        <v>0</v>
      </c>
      <c r="K25" s="5">
        <v>3</v>
      </c>
      <c r="L25" s="5">
        <v>1</v>
      </c>
      <c r="M25" s="5">
        <v>27</v>
      </c>
      <c r="N25" s="5">
        <v>21</v>
      </c>
      <c r="O25" s="5" t="str">
        <f>IFERROR(VLOOKUP(Table2[[#This Row],[Player]],Table5[Player],1,0),"NA")</f>
        <v>NA</v>
      </c>
      <c r="P25" s="5" t="str">
        <f>IFERROR(VLOOKUP(Table2[[#This Row],[Player]],workbook!$A$4:$D$41,4,0),"0")</f>
        <v>0</v>
      </c>
      <c r="Q25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529</v>
      </c>
      <c r="R25" s="5" t="str">
        <f>IFERROR(VLOOKUP(Table2[[#This Row],[Player]],'2019 Bowlers'!$A$3:$A$49,1,0),"NA")</f>
        <v>NA</v>
      </c>
    </row>
    <row r="26" spans="1:18" x14ac:dyDescent="0.25">
      <c r="A26" s="5" t="s">
        <v>74</v>
      </c>
      <c r="B26" s="5">
        <v>8</v>
      </c>
      <c r="C26" s="5">
        <v>8</v>
      </c>
      <c r="D26" s="5">
        <v>0</v>
      </c>
      <c r="E26" s="5">
        <v>311</v>
      </c>
      <c r="F26" s="5">
        <v>89</v>
      </c>
      <c r="G26" s="5">
        <v>38.869999999999997</v>
      </c>
      <c r="H26" s="5">
        <v>205</v>
      </c>
      <c r="I26" s="5">
        <v>151.69999999999999</v>
      </c>
      <c r="J26" s="5">
        <v>0</v>
      </c>
      <c r="K26" s="5">
        <v>3</v>
      </c>
      <c r="L26" s="5">
        <v>0</v>
      </c>
      <c r="M26" s="5">
        <v>38</v>
      </c>
      <c r="N26" s="5">
        <v>14</v>
      </c>
      <c r="O26" s="5" t="str">
        <f>IFERROR(VLOOKUP(Table2[[#This Row],[Player]],Table5[Player],1,0),"NA")</f>
        <v>NA</v>
      </c>
      <c r="P26" s="5" t="str">
        <f>IFERROR(VLOOKUP(Table2[[#This Row],[Player]],workbook!$A$4:$D$41,4,0),"0")</f>
        <v>0</v>
      </c>
      <c r="Q26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505</v>
      </c>
      <c r="R26" s="5" t="str">
        <f>IFERROR(VLOOKUP(Table2[[#This Row],[Player]],'2019 Bowlers'!$A$3:$A$49,1,0),"NA")</f>
        <v>NA</v>
      </c>
    </row>
    <row r="27" spans="1:18" x14ac:dyDescent="0.25">
      <c r="A27" s="5" t="s">
        <v>63</v>
      </c>
      <c r="B27" s="5">
        <v>12</v>
      </c>
      <c r="C27" s="5">
        <v>11</v>
      </c>
      <c r="D27" s="5">
        <v>3</v>
      </c>
      <c r="E27" s="5">
        <v>344</v>
      </c>
      <c r="F27" s="5" t="s">
        <v>25</v>
      </c>
      <c r="G27" s="5">
        <v>43</v>
      </c>
      <c r="H27" s="5">
        <v>263</v>
      </c>
      <c r="I27" s="5">
        <v>130.79</v>
      </c>
      <c r="J27" s="5">
        <v>0</v>
      </c>
      <c r="K27" s="5">
        <v>3</v>
      </c>
      <c r="L27" s="5">
        <v>0</v>
      </c>
      <c r="M27" s="5">
        <v>34</v>
      </c>
      <c r="N27" s="5">
        <v>6</v>
      </c>
      <c r="O27" s="5" t="str">
        <f>IFERROR(VLOOKUP(Table2[[#This Row],[Player]],Table5[Player],1,0),"NA")</f>
        <v>MK Pandey</v>
      </c>
      <c r="P27" s="5">
        <f>IFERROR(VLOOKUP(Table2[[#This Row],[Player]],workbook!$A$4:$D$41,4,0),"0")</f>
        <v>7</v>
      </c>
      <c r="Q27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543</v>
      </c>
      <c r="R27" s="5" t="str">
        <f>IFERROR(VLOOKUP(Table2[[#This Row],[Player]],'2019 Bowlers'!$A$3:$A$49,1,0),"NA")</f>
        <v>NA</v>
      </c>
    </row>
    <row r="28" spans="1:18" x14ac:dyDescent="0.25">
      <c r="A28" s="5" t="s">
        <v>66</v>
      </c>
      <c r="B28" s="5">
        <v>12</v>
      </c>
      <c r="C28" s="5">
        <v>12</v>
      </c>
      <c r="D28" s="5">
        <v>2</v>
      </c>
      <c r="E28" s="5">
        <v>342</v>
      </c>
      <c r="F28" s="5" t="s">
        <v>23</v>
      </c>
      <c r="G28" s="5">
        <v>34.200000000000003</v>
      </c>
      <c r="H28" s="5">
        <v>230</v>
      </c>
      <c r="I28" s="5">
        <v>148.69</v>
      </c>
      <c r="J28" s="5">
        <v>1</v>
      </c>
      <c r="K28" s="5">
        <v>0</v>
      </c>
      <c r="L28" s="5">
        <v>1</v>
      </c>
      <c r="M28" s="5">
        <v>28</v>
      </c>
      <c r="N28" s="5">
        <v>13</v>
      </c>
      <c r="O28" s="5" t="str">
        <f>IFERROR(VLOOKUP(Table2[[#This Row],[Player]],Table5[Player],1,0),"NA")</f>
        <v>SV Samson</v>
      </c>
      <c r="P28" s="5">
        <f>IFERROR(VLOOKUP(Table2[[#This Row],[Player]],workbook!$A$4:$D$41,4,0),"0")</f>
        <v>4</v>
      </c>
      <c r="Q28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518</v>
      </c>
      <c r="R28" s="5" t="str">
        <f>IFERROR(VLOOKUP(Table2[[#This Row],[Player]],'2019 Bowlers'!$A$3:$A$49,1,0),"NA")</f>
        <v>NA</v>
      </c>
    </row>
    <row r="29" spans="1:18" x14ac:dyDescent="0.25">
      <c r="A29" s="5" t="s">
        <v>64</v>
      </c>
      <c r="B29" s="5">
        <v>13</v>
      </c>
      <c r="C29" s="5">
        <v>13</v>
      </c>
      <c r="D29" s="5">
        <v>0</v>
      </c>
      <c r="E29" s="5">
        <v>332</v>
      </c>
      <c r="F29" s="5">
        <v>58</v>
      </c>
      <c r="G29" s="5">
        <v>25.53</v>
      </c>
      <c r="H29" s="5">
        <v>234</v>
      </c>
      <c r="I29" s="5">
        <v>141.88</v>
      </c>
      <c r="J29" s="5">
        <v>0</v>
      </c>
      <c r="K29" s="5">
        <v>2</v>
      </c>
      <c r="L29" s="5">
        <v>1</v>
      </c>
      <c r="M29" s="5">
        <v>26</v>
      </c>
      <c r="N29" s="5">
        <v>14</v>
      </c>
      <c r="O29" s="5" t="str">
        <f>IFERROR(VLOOKUP(Table2[[#This Row],[Player]],Table5[Player],1,0),"NA")</f>
        <v>MA Agarwal</v>
      </c>
      <c r="P29" s="5">
        <f>IFERROR(VLOOKUP(Table2[[#This Row],[Player]],workbook!$A$4:$D$41,4,0),"0")</f>
        <v>6</v>
      </c>
      <c r="Q29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520</v>
      </c>
      <c r="R29" s="5" t="str">
        <f>IFERROR(VLOOKUP(Table2[[#This Row],[Player]],'2019 Bowlers'!$A$3:$A$49,1,0),"NA")</f>
        <v>NA</v>
      </c>
    </row>
    <row r="30" spans="1:18" x14ac:dyDescent="0.25">
      <c r="A30" s="5" t="s">
        <v>76</v>
      </c>
      <c r="B30" s="5">
        <v>12</v>
      </c>
      <c r="C30" s="5">
        <v>10</v>
      </c>
      <c r="D30" s="5">
        <v>2</v>
      </c>
      <c r="E30" s="5">
        <v>319</v>
      </c>
      <c r="F30" s="5" t="s">
        <v>15</v>
      </c>
      <c r="G30" s="5">
        <v>39.869999999999997</v>
      </c>
      <c r="H30" s="5">
        <v>275</v>
      </c>
      <c r="I30" s="5">
        <v>116</v>
      </c>
      <c r="J30" s="5">
        <v>0</v>
      </c>
      <c r="K30" s="5">
        <v>3</v>
      </c>
      <c r="L30" s="5">
        <v>0</v>
      </c>
      <c r="M30" s="5">
        <v>30</v>
      </c>
      <c r="N30" s="5">
        <v>4</v>
      </c>
      <c r="O30" s="5" t="str">
        <f>IFERROR(VLOOKUP(Table2[[#This Row],[Player]],Table5[Player],1,0),"NA")</f>
        <v>NA</v>
      </c>
      <c r="P30" s="5" t="str">
        <f>IFERROR(VLOOKUP(Table2[[#This Row],[Player]],workbook!$A$4:$D$41,4,0),"0")</f>
        <v>0</v>
      </c>
      <c r="Q30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449</v>
      </c>
      <c r="R30" s="5" t="str">
        <f>IFERROR(VLOOKUP(Table2[[#This Row],[Player]],'2019 Bowlers'!$A$3:$A$49,1,0),"NA")</f>
        <v>NA</v>
      </c>
    </row>
    <row r="31" spans="1:18" x14ac:dyDescent="0.25">
      <c r="A31" s="5" t="s">
        <v>62</v>
      </c>
      <c r="B31" s="5">
        <v>14</v>
      </c>
      <c r="C31" s="5">
        <v>13</v>
      </c>
      <c r="D31" s="5">
        <v>4</v>
      </c>
      <c r="E31" s="5">
        <v>296</v>
      </c>
      <c r="F31" s="5">
        <v>76</v>
      </c>
      <c r="G31" s="5">
        <v>32.880000000000003</v>
      </c>
      <c r="H31" s="5">
        <v>238</v>
      </c>
      <c r="I31" s="5">
        <v>124.36</v>
      </c>
      <c r="J31" s="5">
        <v>0</v>
      </c>
      <c r="K31" s="5">
        <v>3</v>
      </c>
      <c r="L31" s="5">
        <v>0</v>
      </c>
      <c r="M31" s="5">
        <v>21</v>
      </c>
      <c r="N31" s="5">
        <v>10</v>
      </c>
      <c r="O31" s="5" t="str">
        <f>IFERROR(VLOOKUP(Table2[[#This Row],[Player]],Table5[Player],1,0),"NA")</f>
        <v>Shubman Gill</v>
      </c>
      <c r="P31" s="5">
        <f>IFERROR(VLOOKUP(Table2[[#This Row],[Player]],workbook!$A$4:$D$41,4,0),"0")</f>
        <v>7</v>
      </c>
      <c r="Q31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472</v>
      </c>
      <c r="R31" s="5" t="str">
        <f>IFERROR(VLOOKUP(Table2[[#This Row],[Player]],'2019 Bowlers'!$A$3:$A$49,1,0),"NA")</f>
        <v>NA</v>
      </c>
    </row>
    <row r="32" spans="1:18" x14ac:dyDescent="0.25">
      <c r="A32" s="5" t="s">
        <v>83</v>
      </c>
      <c r="B32" s="5">
        <v>16</v>
      </c>
      <c r="C32" s="5">
        <v>14</v>
      </c>
      <c r="D32" s="5">
        <v>6</v>
      </c>
      <c r="E32" s="5">
        <v>279</v>
      </c>
      <c r="F32" s="5">
        <v>83</v>
      </c>
      <c r="G32" s="5">
        <v>34.869999999999997</v>
      </c>
      <c r="H32" s="5">
        <v>178</v>
      </c>
      <c r="I32" s="5">
        <v>156.74</v>
      </c>
      <c r="J32" s="5">
        <v>0</v>
      </c>
      <c r="K32" s="5">
        <v>1</v>
      </c>
      <c r="L32" s="5">
        <v>0</v>
      </c>
      <c r="M32" s="5">
        <v>14</v>
      </c>
      <c r="N32" s="5">
        <v>22</v>
      </c>
      <c r="O32" s="5" t="str">
        <f>IFERROR(VLOOKUP(Table2[[#This Row],[Player]],Table5[Player],1,0),"NA")</f>
        <v>KA Pollard</v>
      </c>
      <c r="P32" s="5">
        <f>IFERROR(VLOOKUP(Table2[[#This Row],[Player]],workbook!$A$4:$D$41,4,0),"0")</f>
        <v>8</v>
      </c>
      <c r="Q32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473</v>
      </c>
      <c r="R32" s="5" t="str">
        <f>IFERROR(VLOOKUP(Table2[[#This Row],[Player]],'2019 Bowlers'!$A$3:$A$49,1,0),"NA")</f>
        <v>NA</v>
      </c>
    </row>
    <row r="33" spans="1:18" x14ac:dyDescent="0.25">
      <c r="A33" s="5" t="s">
        <v>91</v>
      </c>
      <c r="B33" s="5">
        <v>12</v>
      </c>
      <c r="C33" s="5">
        <v>11</v>
      </c>
      <c r="D33" s="5">
        <v>2</v>
      </c>
      <c r="E33" s="5">
        <v>282</v>
      </c>
      <c r="F33" s="5" t="s">
        <v>33</v>
      </c>
      <c r="G33" s="5">
        <v>31.33</v>
      </c>
      <c r="H33" s="5">
        <v>245</v>
      </c>
      <c r="I33" s="5">
        <v>115.1</v>
      </c>
      <c r="J33" s="5">
        <v>0</v>
      </c>
      <c r="K33" s="5">
        <v>1</v>
      </c>
      <c r="L33" s="5">
        <v>1</v>
      </c>
      <c r="M33" s="5">
        <v>28</v>
      </c>
      <c r="N33" s="5">
        <v>10</v>
      </c>
      <c r="O33" s="5" t="str">
        <f>IFERROR(VLOOKUP(Table2[[#This Row],[Player]],Table5[Player],1,0),"NA")</f>
        <v>NA</v>
      </c>
      <c r="P33" s="5" t="str">
        <f>IFERROR(VLOOKUP(Table2[[#This Row],[Player]],workbook!$A$4:$D$41,4,0),"0")</f>
        <v>0</v>
      </c>
      <c r="Q33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410</v>
      </c>
      <c r="R33" s="5" t="str">
        <f>IFERROR(VLOOKUP(Table2[[#This Row],[Player]],'2019 Bowlers'!$A$3:$A$49,1,0),"NA")</f>
        <v>NA</v>
      </c>
    </row>
    <row r="34" spans="1:18" x14ac:dyDescent="0.25">
      <c r="A34" s="5" t="s">
        <v>94</v>
      </c>
      <c r="B34" s="5">
        <v>14</v>
      </c>
      <c r="C34" s="5">
        <v>13</v>
      </c>
      <c r="D34" s="5">
        <v>5</v>
      </c>
      <c r="E34" s="5">
        <v>253</v>
      </c>
      <c r="F34" s="5" t="s">
        <v>24</v>
      </c>
      <c r="G34" s="5">
        <v>31.62</v>
      </c>
      <c r="H34" s="5">
        <v>173</v>
      </c>
      <c r="I34" s="5">
        <v>146.24</v>
      </c>
      <c r="J34" s="5">
        <v>0</v>
      </c>
      <c r="K34" s="5">
        <v>2</v>
      </c>
      <c r="L34" s="5">
        <v>0</v>
      </c>
      <c r="M34" s="5">
        <v>22</v>
      </c>
      <c r="N34" s="5">
        <v>14</v>
      </c>
      <c r="O34" s="5" t="str">
        <f>IFERROR(VLOOKUP(Table2[[#This Row],[Player]],Table5[Player],1,0),"NA")</f>
        <v>NA</v>
      </c>
      <c r="P34" s="5" t="str">
        <f>IFERROR(VLOOKUP(Table2[[#This Row],[Player]],workbook!$A$4:$D$41,4,0),"0")</f>
        <v>0</v>
      </c>
      <c r="Q34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391</v>
      </c>
      <c r="R34" s="5" t="str">
        <f>IFERROR(VLOOKUP(Table2[[#This Row],[Player]],'2019 Bowlers'!$A$3:$A$49,1,0),"NA")</f>
        <v>NA</v>
      </c>
    </row>
    <row r="35" spans="1:18" x14ac:dyDescent="0.25">
      <c r="A35" s="5" t="s">
        <v>152</v>
      </c>
      <c r="B35" s="5">
        <v>11</v>
      </c>
      <c r="C35" s="5">
        <v>10</v>
      </c>
      <c r="D35" s="5">
        <v>2</v>
      </c>
      <c r="E35" s="5">
        <v>220</v>
      </c>
      <c r="F35" s="5">
        <v>66</v>
      </c>
      <c r="G35" s="5">
        <v>27.5</v>
      </c>
      <c r="H35" s="5">
        <v>133</v>
      </c>
      <c r="I35" s="5">
        <v>165.41</v>
      </c>
      <c r="J35" s="5">
        <v>0</v>
      </c>
      <c r="K35" s="5">
        <v>2</v>
      </c>
      <c r="L35" s="5">
        <v>0</v>
      </c>
      <c r="M35" s="5">
        <v>16</v>
      </c>
      <c r="N35" s="5">
        <v>17</v>
      </c>
      <c r="O35" s="5" t="str">
        <f>IFERROR(VLOOKUP(Table2[[#This Row],[Player]],Table5[Player],1,0),"NA")</f>
        <v>NA</v>
      </c>
      <c r="P35" s="5" t="str">
        <f>IFERROR(VLOOKUP(Table2[[#This Row],[Player]],workbook!$A$4:$D$41,4,0),"0")</f>
        <v>0</v>
      </c>
      <c r="Q35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352</v>
      </c>
      <c r="R35" s="5" t="str">
        <f>IFERROR(VLOOKUP(Table2[[#This Row],[Player]],'2019 Bowlers'!$A$3:$A$49,1,0),"NA")</f>
        <v>MM Ali</v>
      </c>
    </row>
    <row r="36" spans="1:18" x14ac:dyDescent="0.25">
      <c r="A36" s="5" t="s">
        <v>150</v>
      </c>
      <c r="B36" s="5">
        <v>15</v>
      </c>
      <c r="C36" s="5">
        <v>14</v>
      </c>
      <c r="D36" s="5">
        <v>2</v>
      </c>
      <c r="E36" s="5">
        <v>244</v>
      </c>
      <c r="F36" s="5" t="s">
        <v>151</v>
      </c>
      <c r="G36" s="5">
        <v>20.329999999999998</v>
      </c>
      <c r="H36" s="5">
        <v>193</v>
      </c>
      <c r="I36" s="5">
        <v>126.42</v>
      </c>
      <c r="J36" s="5">
        <v>0</v>
      </c>
      <c r="K36" s="5">
        <v>0</v>
      </c>
      <c r="L36" s="5">
        <v>0</v>
      </c>
      <c r="M36" s="5">
        <v>11</v>
      </c>
      <c r="N36" s="5">
        <v>12</v>
      </c>
      <c r="O36" s="5" t="str">
        <f>IFERROR(VLOOKUP(Table2[[#This Row],[Player]],Table5[Player],1,0),"NA")</f>
        <v>NA</v>
      </c>
      <c r="P36" s="5" t="str">
        <f>IFERROR(VLOOKUP(Table2[[#This Row],[Player]],workbook!$A$4:$D$41,4,0),"0")</f>
        <v>0</v>
      </c>
      <c r="Q36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325</v>
      </c>
      <c r="R36" s="5" t="str">
        <f>IFERROR(VLOOKUP(Table2[[#This Row],[Player]],'2019 Bowlers'!$A$3:$A$49,1,0),"NA")</f>
        <v>NA</v>
      </c>
    </row>
    <row r="37" spans="1:18" x14ac:dyDescent="0.25">
      <c r="A37" s="5" t="s">
        <v>153</v>
      </c>
      <c r="B37" s="5">
        <v>10</v>
      </c>
      <c r="C37" s="5">
        <v>10</v>
      </c>
      <c r="D37" s="5">
        <v>2</v>
      </c>
      <c r="E37" s="5">
        <v>213</v>
      </c>
      <c r="F37" s="5" t="s">
        <v>154</v>
      </c>
      <c r="G37" s="5">
        <v>26.62</v>
      </c>
      <c r="H37" s="5">
        <v>164</v>
      </c>
      <c r="I37" s="5">
        <v>129.87</v>
      </c>
      <c r="J37" s="5">
        <v>0</v>
      </c>
      <c r="K37" s="5">
        <v>1</v>
      </c>
      <c r="L37" s="5">
        <v>0</v>
      </c>
      <c r="M37" s="5">
        <v>19</v>
      </c>
      <c r="N37" s="5">
        <v>7</v>
      </c>
      <c r="O37" s="5" t="str">
        <f>IFERROR(VLOOKUP(Table2[[#This Row],[Player]],Table5[Player],1,0),"NA")</f>
        <v>NA</v>
      </c>
      <c r="P37" s="5" t="str">
        <f>IFERROR(VLOOKUP(Table2[[#This Row],[Player]],workbook!$A$4:$D$41,4,0),"0")</f>
        <v>0</v>
      </c>
      <c r="Q37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306</v>
      </c>
      <c r="R37" s="5" t="str">
        <f>IFERROR(VLOOKUP(Table2[[#This Row],[Player]],'2019 Bowlers'!$A$3:$A$49,1,0),"NA")</f>
        <v>NA</v>
      </c>
    </row>
    <row r="38" spans="1:18" x14ac:dyDescent="0.25">
      <c r="A38" s="5" t="s">
        <v>70</v>
      </c>
      <c r="B38" s="5">
        <v>10</v>
      </c>
      <c r="C38" s="5">
        <v>10</v>
      </c>
      <c r="D38" s="5">
        <v>6</v>
      </c>
      <c r="E38" s="5">
        <v>211</v>
      </c>
      <c r="F38" s="5" t="s">
        <v>13</v>
      </c>
      <c r="G38" s="5">
        <v>52.75</v>
      </c>
      <c r="H38" s="5">
        <v>156</v>
      </c>
      <c r="I38" s="5">
        <v>135.25</v>
      </c>
      <c r="J38" s="5">
        <v>0</v>
      </c>
      <c r="K38" s="5">
        <v>0</v>
      </c>
      <c r="L38" s="5">
        <v>2</v>
      </c>
      <c r="M38" s="5">
        <v>14</v>
      </c>
      <c r="N38" s="5">
        <v>10</v>
      </c>
      <c r="O38" s="5" t="str">
        <f>IFERROR(VLOOKUP(Table2[[#This Row],[Player]],Table5[Player],1,0),"NA")</f>
        <v>NA</v>
      </c>
      <c r="P38" s="5" t="str">
        <f>IFERROR(VLOOKUP(Table2[[#This Row],[Player]],workbook!$A$4:$D$41,4,0),"0")</f>
        <v>0</v>
      </c>
      <c r="Q38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285</v>
      </c>
      <c r="R38" s="5" t="str">
        <f>IFERROR(VLOOKUP(Table2[[#This Row],[Player]],'2019 Bowlers'!$A$3:$A$49,1,0),"NA")</f>
        <v>NA</v>
      </c>
    </row>
    <row r="39" spans="1:18" x14ac:dyDescent="0.25">
      <c r="A39" s="5" t="s">
        <v>155</v>
      </c>
      <c r="B39" s="5">
        <v>12</v>
      </c>
      <c r="C39" s="5">
        <v>12</v>
      </c>
      <c r="D39" s="5">
        <v>2</v>
      </c>
      <c r="E39" s="5">
        <v>184</v>
      </c>
      <c r="F39" s="5">
        <v>47</v>
      </c>
      <c r="G39" s="5">
        <v>18.399999999999999</v>
      </c>
      <c r="H39" s="5">
        <v>154</v>
      </c>
      <c r="I39" s="5">
        <v>119.48</v>
      </c>
      <c r="J39" s="5">
        <v>0</v>
      </c>
      <c r="K39" s="5">
        <v>0</v>
      </c>
      <c r="L39" s="5">
        <v>0</v>
      </c>
      <c r="M39" s="5">
        <v>20</v>
      </c>
      <c r="N39" s="5">
        <v>5</v>
      </c>
      <c r="O39" s="5" t="str">
        <f>IFERROR(VLOOKUP(Table2[[#This Row],[Player]],Table5[Player],1,0),"NA")</f>
        <v>NA</v>
      </c>
      <c r="P39" s="5" t="str">
        <f>IFERROR(VLOOKUP(Table2[[#This Row],[Player]],workbook!$A$4:$D$41,4,0),"0")</f>
        <v>0</v>
      </c>
      <c r="Q39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264</v>
      </c>
      <c r="R39" s="5" t="str">
        <f>IFERROR(VLOOKUP(Table2[[#This Row],[Player]],'2019 Bowlers'!$A$3:$A$49,1,0),"NA")</f>
        <v>NA</v>
      </c>
    </row>
    <row r="40" spans="1:18" x14ac:dyDescent="0.25">
      <c r="A40" s="5" t="s">
        <v>156</v>
      </c>
      <c r="B40" s="5">
        <v>8</v>
      </c>
      <c r="C40" s="5">
        <v>5</v>
      </c>
      <c r="D40" s="5">
        <v>1</v>
      </c>
      <c r="E40" s="5">
        <v>180</v>
      </c>
      <c r="F40" s="5">
        <v>67</v>
      </c>
      <c r="G40" s="5">
        <v>45</v>
      </c>
      <c r="H40" s="5">
        <v>143</v>
      </c>
      <c r="I40" s="5">
        <v>125.87</v>
      </c>
      <c r="J40" s="5">
        <v>0</v>
      </c>
      <c r="K40" s="5">
        <v>1</v>
      </c>
      <c r="L40" s="5">
        <v>0</v>
      </c>
      <c r="M40" s="5">
        <v>19</v>
      </c>
      <c r="N40" s="5">
        <v>4</v>
      </c>
      <c r="O40" s="5" t="str">
        <f>IFERROR(VLOOKUP(Table2[[#This Row],[Player]],Table5[Player],1,0),"NA")</f>
        <v>NA</v>
      </c>
      <c r="P40" s="5" t="str">
        <f>IFERROR(VLOOKUP(Table2[[#This Row],[Player]],workbook!$A$4:$D$41,4,0),"0")</f>
        <v>0</v>
      </c>
      <c r="Q40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261</v>
      </c>
      <c r="R40" s="5" t="str">
        <f>IFERROR(VLOOKUP(Table2[[#This Row],[Player]],'2019 Bowlers'!$A$3:$A$49,1,0),"NA")</f>
        <v>NA</v>
      </c>
    </row>
    <row r="41" spans="1:18" x14ac:dyDescent="0.25">
      <c r="A41" s="5" t="s">
        <v>137</v>
      </c>
      <c r="B41" s="5">
        <v>16</v>
      </c>
      <c r="C41" s="5">
        <v>15</v>
      </c>
      <c r="D41" s="5">
        <v>4</v>
      </c>
      <c r="E41" s="5">
        <v>183</v>
      </c>
      <c r="F41" s="5">
        <v>42</v>
      </c>
      <c r="G41" s="5">
        <v>16.63</v>
      </c>
      <c r="H41" s="5">
        <v>150</v>
      </c>
      <c r="I41" s="5">
        <v>122</v>
      </c>
      <c r="J41" s="5">
        <v>0</v>
      </c>
      <c r="K41" s="5">
        <v>0</v>
      </c>
      <c r="L41" s="5">
        <v>1</v>
      </c>
      <c r="M41" s="5">
        <v>18</v>
      </c>
      <c r="N41" s="5">
        <v>5</v>
      </c>
      <c r="O41" s="5" t="str">
        <f>IFERROR(VLOOKUP(Table2[[#This Row],[Player]],Table5[Player],1,0),"NA")</f>
        <v>KH Pandya</v>
      </c>
      <c r="P41" s="5">
        <f>IFERROR(VLOOKUP(Table2[[#This Row],[Player]],workbook!$A$4:$D$41,4,0),"0")</f>
        <v>4</v>
      </c>
      <c r="Q41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281</v>
      </c>
      <c r="R41" s="5" t="str">
        <f>IFERROR(VLOOKUP(Table2[[#This Row],[Player]],'2019 Bowlers'!$A$3:$A$49,1,0),"NA")</f>
        <v>KH Pandya</v>
      </c>
    </row>
    <row r="42" spans="1:18" x14ac:dyDescent="0.25">
      <c r="A42" s="5" t="s">
        <v>68</v>
      </c>
      <c r="B42" s="5">
        <v>7</v>
      </c>
      <c r="C42" s="5">
        <v>6</v>
      </c>
      <c r="D42" s="5">
        <v>0</v>
      </c>
      <c r="E42" s="5">
        <v>168</v>
      </c>
      <c r="F42" s="5">
        <v>48</v>
      </c>
      <c r="G42" s="5">
        <v>28</v>
      </c>
      <c r="H42" s="5">
        <v>107</v>
      </c>
      <c r="I42" s="5">
        <v>157</v>
      </c>
      <c r="J42" s="5">
        <v>0</v>
      </c>
      <c r="K42" s="5">
        <v>0</v>
      </c>
      <c r="L42" s="5">
        <v>0</v>
      </c>
      <c r="M42" s="5">
        <v>9</v>
      </c>
      <c r="N42" s="5">
        <v>14</v>
      </c>
      <c r="O42" s="5" t="str">
        <f>IFERROR(VLOOKUP(Table2[[#This Row],[Player]],Table5[Player],1,0),"NA")</f>
        <v>N Pooran</v>
      </c>
      <c r="P42" s="5">
        <f>IFERROR(VLOOKUP(Table2[[#This Row],[Player]],workbook!$A$4:$D$41,4,0),"0")</f>
        <v>7</v>
      </c>
      <c r="Q42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300</v>
      </c>
      <c r="R42" s="5" t="str">
        <f>IFERROR(VLOOKUP(Table2[[#This Row],[Player]],'2019 Bowlers'!$A$3:$A$49,1,0),"NA")</f>
        <v>NA</v>
      </c>
    </row>
    <row r="43" spans="1:18" x14ac:dyDescent="0.25">
      <c r="A43" s="5" t="s">
        <v>158</v>
      </c>
      <c r="B43" s="5">
        <v>7</v>
      </c>
      <c r="C43" s="5">
        <v>5</v>
      </c>
      <c r="D43" s="5">
        <v>0</v>
      </c>
      <c r="E43" s="5">
        <v>160</v>
      </c>
      <c r="F43" s="5">
        <v>50</v>
      </c>
      <c r="G43" s="5">
        <v>32</v>
      </c>
      <c r="H43" s="5">
        <v>126</v>
      </c>
      <c r="I43" s="5">
        <v>126.98</v>
      </c>
      <c r="J43" s="5">
        <v>0</v>
      </c>
      <c r="K43" s="5">
        <v>1</v>
      </c>
      <c r="L43" s="5">
        <v>0</v>
      </c>
      <c r="M43" s="5">
        <v>17</v>
      </c>
      <c r="N43" s="5">
        <v>5</v>
      </c>
      <c r="O43" s="5" t="str">
        <f>IFERROR(VLOOKUP(Table2[[#This Row],[Player]],Table5[Player],1,0),"NA")</f>
        <v>NA</v>
      </c>
      <c r="P43" s="5" t="str">
        <f>IFERROR(VLOOKUP(Table2[[#This Row],[Player]],workbook!$A$4:$D$41,4,0),"0")</f>
        <v>0</v>
      </c>
      <c r="Q43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239</v>
      </c>
      <c r="R43" s="5" t="str">
        <f>IFERROR(VLOOKUP(Table2[[#This Row],[Player]],'2019 Bowlers'!$A$3:$A$49,1,0),"NA")</f>
        <v>NA</v>
      </c>
    </row>
    <row r="44" spans="1:18" x14ac:dyDescent="0.25">
      <c r="A44" s="5" t="s">
        <v>98</v>
      </c>
      <c r="B44" s="5">
        <v>12</v>
      </c>
      <c r="C44" s="5">
        <v>9</v>
      </c>
      <c r="D44" s="5">
        <v>1</v>
      </c>
      <c r="E44" s="5">
        <v>143</v>
      </c>
      <c r="F44" s="5">
        <v>47</v>
      </c>
      <c r="G44" s="5">
        <v>17.87</v>
      </c>
      <c r="H44" s="5">
        <v>86</v>
      </c>
      <c r="I44" s="5">
        <v>166.27</v>
      </c>
      <c r="J44" s="5">
        <v>0</v>
      </c>
      <c r="K44" s="5">
        <v>0</v>
      </c>
      <c r="L44" s="5">
        <v>0</v>
      </c>
      <c r="M44" s="5">
        <v>17</v>
      </c>
      <c r="N44" s="5">
        <v>9</v>
      </c>
      <c r="O44" s="5" t="str">
        <f>IFERROR(VLOOKUP(Table2[[#This Row],[Player]],Table5[Player],1,0),"NA")</f>
        <v>NA</v>
      </c>
      <c r="P44" s="5" t="str">
        <f>IFERROR(VLOOKUP(Table2[[#This Row],[Player]],workbook!$A$4:$D$41,4,0),"0")</f>
        <v>0</v>
      </c>
      <c r="Q44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230</v>
      </c>
      <c r="R44" s="5" t="str">
        <f>IFERROR(VLOOKUP(Table2[[#This Row],[Player]],'2019 Bowlers'!$A$3:$A$49,1,0),"NA")</f>
        <v>SP Narine</v>
      </c>
    </row>
    <row r="45" spans="1:18" x14ac:dyDescent="0.25">
      <c r="A45" s="5" t="s">
        <v>75</v>
      </c>
      <c r="B45" s="5">
        <v>9</v>
      </c>
      <c r="C45" s="5">
        <v>9</v>
      </c>
      <c r="D45" s="5">
        <v>2</v>
      </c>
      <c r="E45" s="5">
        <v>156</v>
      </c>
      <c r="F45" s="5" t="s">
        <v>16</v>
      </c>
      <c r="G45" s="5">
        <v>22.28</v>
      </c>
      <c r="H45" s="5">
        <v>130</v>
      </c>
      <c r="I45" s="5">
        <v>120</v>
      </c>
      <c r="J45" s="5">
        <v>0</v>
      </c>
      <c r="K45" s="5">
        <v>1</v>
      </c>
      <c r="L45" s="5">
        <v>0</v>
      </c>
      <c r="M45" s="5">
        <v>12</v>
      </c>
      <c r="N45" s="5">
        <v>5</v>
      </c>
      <c r="O45" s="5" t="str">
        <f>IFERROR(VLOOKUP(Table2[[#This Row],[Player]],Table5[Player],1,0),"NA")</f>
        <v>KS Williamson</v>
      </c>
      <c r="P45" s="5">
        <f>IFERROR(VLOOKUP(Table2[[#This Row],[Player]],workbook!$A$4:$D$41,4,0),"0")</f>
        <v>6</v>
      </c>
      <c r="Q45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262</v>
      </c>
      <c r="R45" s="5" t="str">
        <f>IFERROR(VLOOKUP(Table2[[#This Row],[Player]],'2019 Bowlers'!$A$3:$A$49,1,0),"NA")</f>
        <v>NA</v>
      </c>
    </row>
    <row r="46" spans="1:18" x14ac:dyDescent="0.25">
      <c r="A46" s="5" t="s">
        <v>45</v>
      </c>
      <c r="B46" s="5">
        <v>13</v>
      </c>
      <c r="C46" s="5">
        <v>12</v>
      </c>
      <c r="D46" s="5">
        <v>8</v>
      </c>
      <c r="E46" s="5">
        <v>165</v>
      </c>
      <c r="F46" s="5" t="s">
        <v>9</v>
      </c>
      <c r="G46" s="5">
        <v>41.25</v>
      </c>
      <c r="H46" s="5">
        <v>120</v>
      </c>
      <c r="I46" s="5">
        <v>137.5</v>
      </c>
      <c r="J46" s="5">
        <v>0</v>
      </c>
      <c r="K46" s="5">
        <v>0</v>
      </c>
      <c r="L46" s="5">
        <v>1</v>
      </c>
      <c r="M46" s="5">
        <v>10</v>
      </c>
      <c r="N46" s="5">
        <v>4</v>
      </c>
      <c r="O46" s="5" t="str">
        <f>IFERROR(VLOOKUP(Table2[[#This Row],[Player]],Table5[Player],1,0),"NA")</f>
        <v>NA</v>
      </c>
      <c r="P46" s="5" t="str">
        <f>IFERROR(VLOOKUP(Table2[[#This Row],[Player]],workbook!$A$4:$D$41,4,0),"0")</f>
        <v>0</v>
      </c>
      <c r="Q46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207</v>
      </c>
      <c r="R46" s="5" t="str">
        <f>IFERROR(VLOOKUP(Table2[[#This Row],[Player]],'2019 Bowlers'!$A$3:$A$49,1,0),"NA")</f>
        <v>NA</v>
      </c>
    </row>
    <row r="47" spans="1:18" x14ac:dyDescent="0.25">
      <c r="A47" s="5" t="s">
        <v>86</v>
      </c>
      <c r="B47" s="5">
        <v>8</v>
      </c>
      <c r="C47" s="5">
        <v>7</v>
      </c>
      <c r="D47" s="5">
        <v>1</v>
      </c>
      <c r="E47" s="5">
        <v>141</v>
      </c>
      <c r="F47" s="5">
        <v>50</v>
      </c>
      <c r="G47" s="5">
        <v>23.5</v>
      </c>
      <c r="H47" s="5">
        <v>118</v>
      </c>
      <c r="I47" s="5">
        <v>119.49</v>
      </c>
      <c r="J47" s="5">
        <v>0</v>
      </c>
      <c r="K47" s="5">
        <v>1</v>
      </c>
      <c r="L47" s="5">
        <v>0</v>
      </c>
      <c r="M47" s="5">
        <v>13</v>
      </c>
      <c r="N47" s="5">
        <v>2</v>
      </c>
      <c r="O47" s="5" t="str">
        <f>IFERROR(VLOOKUP(Table2[[#This Row],[Player]],Table5[Player],1,0),"NA")</f>
        <v>NA</v>
      </c>
      <c r="P47" s="5" t="str">
        <f>IFERROR(VLOOKUP(Table2[[#This Row],[Player]],workbook!$A$4:$D$41,4,0),"0")</f>
        <v>0</v>
      </c>
      <c r="Q47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196</v>
      </c>
      <c r="R47" s="5" t="str">
        <f>IFERROR(VLOOKUP(Table2[[#This Row],[Player]],'2019 Bowlers'!$A$3:$A$49,1,0),"NA")</f>
        <v>NA</v>
      </c>
    </row>
    <row r="48" spans="1:18" x14ac:dyDescent="0.25">
      <c r="A48" s="5" t="s">
        <v>42</v>
      </c>
      <c r="B48" s="5">
        <v>8</v>
      </c>
      <c r="C48" s="5">
        <v>7</v>
      </c>
      <c r="D48" s="5">
        <v>1</v>
      </c>
      <c r="E48" s="5">
        <v>115</v>
      </c>
      <c r="F48" s="5">
        <v>31</v>
      </c>
      <c r="G48" s="5">
        <v>19.16</v>
      </c>
      <c r="H48" s="5">
        <v>76</v>
      </c>
      <c r="I48" s="5">
        <v>151.31</v>
      </c>
      <c r="J48" s="5">
        <v>0</v>
      </c>
      <c r="K48" s="5">
        <v>0</v>
      </c>
      <c r="L48" s="5">
        <v>0</v>
      </c>
      <c r="M48" s="5">
        <v>8</v>
      </c>
      <c r="N48" s="5">
        <v>7</v>
      </c>
      <c r="O48" s="5" t="str">
        <f>IFERROR(VLOOKUP(Table2[[#This Row],[Player]],Table5[Player],1,0),"NA")</f>
        <v>NA</v>
      </c>
      <c r="P48" s="5" t="str">
        <f>IFERROR(VLOOKUP(Table2[[#This Row],[Player]],workbook!$A$4:$D$41,4,0),"0")</f>
        <v>0</v>
      </c>
      <c r="Q48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167</v>
      </c>
      <c r="R48" s="5" t="str">
        <f>IFERROR(VLOOKUP(Table2[[#This Row],[Player]],'2019 Bowlers'!$A$3:$A$49,1,0),"NA")</f>
        <v>Mohammad Nabi</v>
      </c>
    </row>
    <row r="49" spans="1:18" x14ac:dyDescent="0.25">
      <c r="A49" s="5" t="s">
        <v>79</v>
      </c>
      <c r="B49" s="5">
        <v>9</v>
      </c>
      <c r="C49" s="5">
        <v>9</v>
      </c>
      <c r="D49" s="5">
        <v>3</v>
      </c>
      <c r="E49" s="5">
        <v>123</v>
      </c>
      <c r="F49" s="5">
        <v>46</v>
      </c>
      <c r="G49" s="5">
        <v>20.5</v>
      </c>
      <c r="H49" s="5">
        <v>99</v>
      </c>
      <c r="I49" s="5">
        <v>124.24</v>
      </c>
      <c r="J49" s="5">
        <v>0</v>
      </c>
      <c r="K49" s="5">
        <v>0</v>
      </c>
      <c r="L49" s="5">
        <v>1</v>
      </c>
      <c r="M49" s="5">
        <v>8</v>
      </c>
      <c r="N49" s="5">
        <v>4</v>
      </c>
      <c r="O49" s="5" t="str">
        <f>IFERROR(VLOOKUP(Table2[[#This Row],[Player]],Table5[Player],1,0),"NA")</f>
        <v>BA Stokes</v>
      </c>
      <c r="P49" s="5">
        <f>IFERROR(VLOOKUP(Table2[[#This Row],[Player]],workbook!$A$4:$D$41,4,0),"0")</f>
        <v>6</v>
      </c>
      <c r="Q49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201</v>
      </c>
      <c r="R49" s="5" t="str">
        <f>IFERROR(VLOOKUP(Table2[[#This Row],[Player]],'2019 Bowlers'!$A$3:$A$49,1,0),"NA")</f>
        <v>BA Stokes</v>
      </c>
    </row>
    <row r="50" spans="1:18" x14ac:dyDescent="0.25">
      <c r="A50" s="5" t="s">
        <v>99</v>
      </c>
      <c r="B50" s="5">
        <v>14</v>
      </c>
      <c r="C50" s="5">
        <v>12</v>
      </c>
      <c r="D50" s="5">
        <v>6</v>
      </c>
      <c r="E50" s="5">
        <v>110</v>
      </c>
      <c r="F50" s="5">
        <v>26</v>
      </c>
      <c r="G50" s="5">
        <v>18.329999999999998</v>
      </c>
      <c r="H50" s="5">
        <v>88</v>
      </c>
      <c r="I50" s="5">
        <v>125</v>
      </c>
      <c r="J50" s="5">
        <v>0</v>
      </c>
      <c r="K50" s="5">
        <v>0</v>
      </c>
      <c r="L50" s="5">
        <v>1</v>
      </c>
      <c r="M50" s="5">
        <v>10</v>
      </c>
      <c r="N50" s="5">
        <v>3</v>
      </c>
      <c r="O50" s="5" t="str">
        <f>IFERROR(VLOOKUP(Table2[[#This Row],[Player]],Table5[Player],1,0),"NA")</f>
        <v>AR Patel</v>
      </c>
      <c r="P50" s="5">
        <f>IFERROR(VLOOKUP(Table2[[#This Row],[Player]],workbook!$A$4:$D$41,4,0),"0")</f>
        <v>6</v>
      </c>
      <c r="Q50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190</v>
      </c>
      <c r="R50" s="5" t="str">
        <f>IFERROR(VLOOKUP(Table2[[#This Row],[Player]],'2019 Bowlers'!$A$3:$A$49,1,0),"NA")</f>
        <v>AR Patel</v>
      </c>
    </row>
    <row r="51" spans="1:18" x14ac:dyDescent="0.25">
      <c r="A51" s="5" t="s">
        <v>67</v>
      </c>
      <c r="B51" s="5">
        <v>17</v>
      </c>
      <c r="C51" s="5">
        <v>17</v>
      </c>
      <c r="D51" s="5">
        <v>5</v>
      </c>
      <c r="E51" s="5">
        <v>282</v>
      </c>
      <c r="F51" s="5">
        <v>57</v>
      </c>
      <c r="G51" s="5">
        <v>23.5</v>
      </c>
      <c r="H51" s="5">
        <v>303</v>
      </c>
      <c r="I51" s="5">
        <v>93.06</v>
      </c>
      <c r="J51" s="5">
        <v>0</v>
      </c>
      <c r="K51" s="5">
        <v>1</v>
      </c>
      <c r="L51" s="5">
        <v>2</v>
      </c>
      <c r="M51" s="5">
        <v>20</v>
      </c>
      <c r="N51" s="5">
        <v>7</v>
      </c>
      <c r="O51" s="5" t="str">
        <f>IFERROR(VLOOKUP(Table2[[#This Row],[Player]],Table5[Player],1,0),"NA")</f>
        <v>NA</v>
      </c>
      <c r="P51" s="5" t="str">
        <f>IFERROR(VLOOKUP(Table2[[#This Row],[Player]],workbook!$A$4:$D$41,4,0),"0")</f>
        <v>0</v>
      </c>
      <c r="Q51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88</v>
      </c>
      <c r="R51" s="5" t="str">
        <f>IFERROR(VLOOKUP(Table2[[#This Row],[Player]],'2019 Bowlers'!$A$3:$A$49,1,0),"NA")</f>
        <v>NA</v>
      </c>
    </row>
    <row r="52" spans="1:18" x14ac:dyDescent="0.25">
      <c r="A52" s="5" t="s">
        <v>157</v>
      </c>
      <c r="B52" s="5">
        <v>14</v>
      </c>
      <c r="C52" s="5">
        <v>12</v>
      </c>
      <c r="D52" s="5">
        <v>3</v>
      </c>
      <c r="E52" s="5">
        <v>162</v>
      </c>
      <c r="F52" s="5">
        <v>58</v>
      </c>
      <c r="G52" s="5">
        <v>18</v>
      </c>
      <c r="H52" s="5">
        <v>169</v>
      </c>
      <c r="I52" s="5">
        <v>95.85</v>
      </c>
      <c r="J52" s="5">
        <v>0</v>
      </c>
      <c r="K52" s="5">
        <v>1</v>
      </c>
      <c r="L52" s="5">
        <v>1</v>
      </c>
      <c r="M52" s="5">
        <v>19</v>
      </c>
      <c r="N52" s="5">
        <v>3</v>
      </c>
      <c r="O52" s="5" t="str">
        <f>IFERROR(VLOOKUP(Table2[[#This Row],[Player]],Table5[Player],1,0),"NA")</f>
        <v>NA</v>
      </c>
      <c r="P52" s="5" t="str">
        <f>IFERROR(VLOOKUP(Table2[[#This Row],[Player]],workbook!$A$4:$D$41,4,0),"0")</f>
        <v>0</v>
      </c>
      <c r="Q52" s="5">
        <f>(IF(Table2[[#This Row],[SR]]&gt;=100,IF(Table2[[#This Row],[SR]]&lt;=199,Table2[[#This Row],[Runs]]*1,IF(Table2[[#This Row],[SR]]&gt;=200,Table2[[#This Row],[Runs]]*2)))+Table2[[#This Row],[4s]]*3+Table2[[#This Row],[6s]]*4+Table2[[#This Row],[50]]*8+Table2[[#This Row],[100]]*16)+Table2[[#This Row],[Cathches]]*7-Table2[[#This Row],[0]]*4</f>
        <v>73</v>
      </c>
      <c r="R52" s="5" t="str">
        <f>IFERROR(VLOOKUP(Table2[[#This Row],[Player]],'2019 Bowlers'!$A$3:$A$49,1,0),"NA")</f>
        <v>NA</v>
      </c>
    </row>
    <row r="53" spans="1:18" x14ac:dyDescent="0.25">
      <c r="P53" s="5"/>
      <c r="Q53" s="5"/>
      <c r="R53" s="5"/>
    </row>
    <row r="54" spans="1:18" x14ac:dyDescent="0.25">
      <c r="P54" s="5"/>
      <c r="Q54" s="5"/>
      <c r="R54" s="5"/>
    </row>
    <row r="55" spans="1:18" x14ac:dyDescent="0.25">
      <c r="P55" s="5"/>
      <c r="Q55" s="5"/>
      <c r="R55" s="5"/>
    </row>
    <row r="56" spans="1:18" x14ac:dyDescent="0.25">
      <c r="P56" s="5"/>
      <c r="Q56" s="5"/>
      <c r="R56" s="5"/>
    </row>
    <row r="57" spans="1:18" x14ac:dyDescent="0.25">
      <c r="P57" s="5"/>
      <c r="Q57" s="5"/>
      <c r="R57" s="5"/>
    </row>
    <row r="58" spans="1:18" x14ac:dyDescent="0.25">
      <c r="P58" s="5"/>
      <c r="Q58" s="5"/>
      <c r="R58" s="5"/>
    </row>
    <row r="59" spans="1:18" x14ac:dyDescent="0.25">
      <c r="P59" s="5"/>
      <c r="Q59" s="5"/>
      <c r="R59" s="5"/>
    </row>
    <row r="60" spans="1:18" x14ac:dyDescent="0.25">
      <c r="P60" s="5"/>
      <c r="Q60" s="5"/>
      <c r="R60" s="5"/>
    </row>
    <row r="61" spans="1:18" x14ac:dyDescent="0.25">
      <c r="P61" s="5"/>
      <c r="Q61" s="5"/>
      <c r="R61" s="5"/>
    </row>
    <row r="62" spans="1:18" x14ac:dyDescent="0.25">
      <c r="P62" s="5"/>
      <c r="Q62" s="5"/>
      <c r="R62" s="5"/>
    </row>
    <row r="63" spans="1:18" x14ac:dyDescent="0.25">
      <c r="P63" s="5"/>
      <c r="Q63" s="5"/>
      <c r="R63" s="5"/>
    </row>
    <row r="64" spans="1:18" x14ac:dyDescent="0.25">
      <c r="P64" s="5"/>
      <c r="Q64" s="5"/>
      <c r="R64" s="5"/>
    </row>
    <row r="65" spans="16:18" x14ac:dyDescent="0.25">
      <c r="P65" s="5"/>
      <c r="Q65" s="5"/>
      <c r="R65" s="5"/>
    </row>
    <row r="66" spans="16:18" x14ac:dyDescent="0.25">
      <c r="P66" s="5"/>
      <c r="Q66" s="5"/>
      <c r="R66" s="5"/>
    </row>
    <row r="67" spans="16:18" x14ac:dyDescent="0.25">
      <c r="P67" s="5"/>
      <c r="Q67" s="5"/>
      <c r="R67" s="5"/>
    </row>
    <row r="68" spans="16:18" x14ac:dyDescent="0.25">
      <c r="P68" s="5"/>
      <c r="Q68" s="5"/>
      <c r="R68" s="5"/>
    </row>
    <row r="69" spans="16:18" x14ac:dyDescent="0.25">
      <c r="P69" s="5"/>
      <c r="Q69" s="5"/>
      <c r="R69" s="5"/>
    </row>
    <row r="70" spans="16:18" x14ac:dyDescent="0.25">
      <c r="P70" s="5"/>
      <c r="Q70" s="5"/>
      <c r="R70" s="5"/>
    </row>
    <row r="71" spans="16:18" x14ac:dyDescent="0.25">
      <c r="P71" s="5"/>
      <c r="Q71" s="5"/>
      <c r="R71" s="5"/>
    </row>
    <row r="72" spans="16:18" x14ac:dyDescent="0.25">
      <c r="P72" s="5"/>
      <c r="Q72" s="5"/>
      <c r="R72" s="5"/>
    </row>
    <row r="73" spans="16:18" x14ac:dyDescent="0.25">
      <c r="P73" s="5"/>
      <c r="Q73" s="5"/>
      <c r="R73" s="5"/>
    </row>
    <row r="74" spans="16:18" x14ac:dyDescent="0.25">
      <c r="P74" s="5"/>
      <c r="Q74" s="5"/>
      <c r="R74" s="5"/>
    </row>
    <row r="75" spans="16:18" x14ac:dyDescent="0.25">
      <c r="P75" s="5"/>
      <c r="Q75" s="5"/>
      <c r="R75" s="5"/>
    </row>
    <row r="76" spans="16:18" x14ac:dyDescent="0.25">
      <c r="P76" s="5"/>
      <c r="Q76" s="5"/>
      <c r="R76" s="5"/>
    </row>
    <row r="77" spans="16:18" x14ac:dyDescent="0.25">
      <c r="P77" s="5"/>
      <c r="Q77" s="5"/>
      <c r="R77" s="5"/>
    </row>
    <row r="78" spans="16:18" x14ac:dyDescent="0.25">
      <c r="P78" s="5"/>
      <c r="Q78" s="5"/>
      <c r="R78" s="5"/>
    </row>
    <row r="79" spans="16:18" x14ac:dyDescent="0.25">
      <c r="P79" s="5"/>
      <c r="Q79" s="5"/>
      <c r="R79" s="5"/>
    </row>
    <row r="80" spans="16:18" x14ac:dyDescent="0.25">
      <c r="P80" s="5"/>
      <c r="Q80" s="5"/>
      <c r="R80" s="5"/>
    </row>
    <row r="81" spans="16:18" x14ac:dyDescent="0.25">
      <c r="P81" s="5"/>
      <c r="Q81" s="5"/>
      <c r="R81" s="5"/>
    </row>
    <row r="82" spans="16:18" x14ac:dyDescent="0.25">
      <c r="P82" s="5"/>
      <c r="Q82" s="5"/>
      <c r="R82" s="5"/>
    </row>
    <row r="83" spans="16:18" x14ac:dyDescent="0.25">
      <c r="P83" s="5"/>
      <c r="Q83" s="5"/>
      <c r="R83" s="5"/>
    </row>
    <row r="84" spans="16:18" x14ac:dyDescent="0.25">
      <c r="P84" s="5"/>
      <c r="Q84" s="5"/>
      <c r="R84" s="5"/>
    </row>
    <row r="85" spans="16:18" x14ac:dyDescent="0.25">
      <c r="P85" s="5"/>
      <c r="Q85" s="5"/>
      <c r="R85" s="5"/>
    </row>
    <row r="86" spans="16:18" x14ac:dyDescent="0.25">
      <c r="P86" s="5"/>
      <c r="Q86" s="5"/>
      <c r="R86" s="5"/>
    </row>
    <row r="87" spans="16:18" x14ac:dyDescent="0.25">
      <c r="P87" s="5"/>
      <c r="Q87" s="5"/>
      <c r="R87" s="5"/>
    </row>
    <row r="88" spans="16:18" x14ac:dyDescent="0.25">
      <c r="P88" s="5"/>
      <c r="Q88" s="5"/>
      <c r="R88" s="5"/>
    </row>
    <row r="89" spans="16:18" x14ac:dyDescent="0.25">
      <c r="P89" s="5"/>
      <c r="Q89" s="5"/>
      <c r="R89" s="5"/>
    </row>
    <row r="90" spans="16:18" x14ac:dyDescent="0.25">
      <c r="P90" s="5"/>
      <c r="Q90" s="5"/>
      <c r="R90" s="5"/>
    </row>
    <row r="91" spans="16:18" x14ac:dyDescent="0.25">
      <c r="P91" s="5"/>
      <c r="Q91" s="5"/>
      <c r="R91" s="5"/>
    </row>
    <row r="92" spans="16:18" x14ac:dyDescent="0.25">
      <c r="P92" s="5"/>
      <c r="Q92" s="5"/>
      <c r="R92" s="5"/>
    </row>
    <row r="93" spans="16:18" x14ac:dyDescent="0.25">
      <c r="P93" s="5"/>
      <c r="Q93" s="5"/>
      <c r="R93" s="5"/>
    </row>
    <row r="94" spans="16:18" x14ac:dyDescent="0.25">
      <c r="P94" s="5"/>
      <c r="Q94" s="5"/>
      <c r="R94" s="5"/>
    </row>
    <row r="95" spans="16:18" x14ac:dyDescent="0.25">
      <c r="P95" s="5"/>
      <c r="Q95" s="5"/>
      <c r="R95" s="5"/>
    </row>
    <row r="96" spans="16:18" x14ac:dyDescent="0.25">
      <c r="P96" s="5"/>
      <c r="Q96" s="5"/>
      <c r="R96" s="5"/>
    </row>
    <row r="97" spans="16:18" x14ac:dyDescent="0.25">
      <c r="P97" s="5"/>
      <c r="Q97" s="5"/>
      <c r="R97" s="5"/>
    </row>
    <row r="98" spans="16:18" x14ac:dyDescent="0.25">
      <c r="P98" s="5"/>
      <c r="Q98" s="5"/>
      <c r="R98" s="5"/>
    </row>
    <row r="99" spans="16:18" x14ac:dyDescent="0.25">
      <c r="P99" s="5"/>
      <c r="Q99" s="5"/>
      <c r="R99" s="5"/>
    </row>
    <row r="100" spans="16:18" x14ac:dyDescent="0.25">
      <c r="P100" s="5"/>
      <c r="Q100" s="5"/>
      <c r="R100" s="5"/>
    </row>
    <row r="101" spans="16:18" x14ac:dyDescent="0.25">
      <c r="P101" s="5"/>
      <c r="Q101" s="5"/>
      <c r="R101" s="5"/>
    </row>
    <row r="102" spans="16:18" x14ac:dyDescent="0.25">
      <c r="P102" s="5" t="e">
        <f>VLOOKUP(Table2[[#This Row],[Player]],workbook!A102:D139,4,0)</f>
        <v>#N/A</v>
      </c>
      <c r="Q102" s="5"/>
      <c r="R102" s="5"/>
    </row>
  </sheetData>
  <pageMargins left="0.7" right="0.7" top="0.75" bottom="0.75" header="0.3" footer="0.3"/>
  <pageSetup orientation="portrait" r:id="rId1"/>
  <ignoredErrors>
    <ignoredError sqref="R3:R52 O4:O52 Q3:Q52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6"/>
  <sheetViews>
    <sheetView workbookViewId="0">
      <selection activeCell="A3" sqref="A3:M5"/>
    </sheetView>
  </sheetViews>
  <sheetFormatPr defaultRowHeight="15" x14ac:dyDescent="0.25"/>
  <cols>
    <col min="1" max="1" width="28.7109375" style="5" customWidth="1"/>
    <col min="2" max="2" width="9.140625" style="5" bestFit="1" customWidth="1"/>
    <col min="3" max="3" width="9.28515625" style="5" bestFit="1" customWidth="1"/>
    <col min="4" max="4" width="18.85546875" style="5" customWidth="1"/>
    <col min="5" max="5" width="12" style="5" customWidth="1"/>
    <col min="6" max="6" width="9.42578125" style="5" customWidth="1"/>
    <col min="7" max="7" width="13.28515625" style="5" customWidth="1"/>
    <col min="8" max="8" width="9.7109375" style="5" customWidth="1"/>
    <col min="9" max="9" width="12.28515625" style="5" customWidth="1"/>
    <col min="10" max="10" width="9.5703125" style="5" customWidth="1"/>
    <col min="11" max="11" width="8" style="5" customWidth="1"/>
    <col min="12" max="12" width="9.140625" style="5" customWidth="1"/>
    <col min="13" max="13" width="10.42578125" style="5" customWidth="1"/>
  </cols>
  <sheetData>
    <row r="2" spans="1:13" x14ac:dyDescent="0.25">
      <c r="A2" s="5" t="s">
        <v>0</v>
      </c>
      <c r="B2" s="5" t="s">
        <v>37</v>
      </c>
      <c r="C2" s="5" t="s">
        <v>1</v>
      </c>
      <c r="D2" s="5" t="s">
        <v>38</v>
      </c>
      <c r="E2" s="5" t="s">
        <v>39</v>
      </c>
      <c r="F2" s="5" t="s">
        <v>3</v>
      </c>
      <c r="G2" s="5" t="s">
        <v>40</v>
      </c>
      <c r="H2" s="5" t="s">
        <v>46</v>
      </c>
      <c r="I2" s="5" t="s">
        <v>103</v>
      </c>
      <c r="J2" s="5" t="s">
        <v>48</v>
      </c>
      <c r="K2" s="5" t="s">
        <v>142</v>
      </c>
      <c r="L2" s="5" t="s">
        <v>143</v>
      </c>
      <c r="M2" s="5" t="s">
        <v>183</v>
      </c>
    </row>
    <row r="3" spans="1:13" x14ac:dyDescent="0.25">
      <c r="A3" s="5" t="s">
        <v>102</v>
      </c>
      <c r="B3" s="5">
        <v>17</v>
      </c>
      <c r="C3" s="5">
        <v>17</v>
      </c>
      <c r="D3" s="5">
        <v>64.2</v>
      </c>
      <c r="E3" s="5">
        <v>1</v>
      </c>
      <c r="F3" s="5">
        <v>431</v>
      </c>
      <c r="G3" s="5">
        <v>26</v>
      </c>
      <c r="H3" s="5">
        <v>16.57</v>
      </c>
      <c r="I3" s="5">
        <v>6.69</v>
      </c>
      <c r="J3" s="5">
        <v>14.8</v>
      </c>
      <c r="K3" s="5">
        <v>2</v>
      </c>
      <c r="L3" s="5">
        <v>0</v>
      </c>
      <c r="M3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119</v>
      </c>
    </row>
    <row r="4" spans="1:13" x14ac:dyDescent="0.25">
      <c r="A4" s="5" t="s">
        <v>104</v>
      </c>
      <c r="B4" s="5">
        <v>12</v>
      </c>
      <c r="C4" s="5">
        <v>12</v>
      </c>
      <c r="D4" s="5">
        <v>47</v>
      </c>
      <c r="E4" s="5">
        <v>0</v>
      </c>
      <c r="F4" s="5">
        <v>368</v>
      </c>
      <c r="G4" s="5">
        <v>25</v>
      </c>
      <c r="H4" s="5">
        <v>14.72</v>
      </c>
      <c r="I4" s="5">
        <v>7.82</v>
      </c>
      <c r="J4" s="5">
        <v>11.2</v>
      </c>
      <c r="K4" s="5">
        <v>2</v>
      </c>
      <c r="L4" s="5">
        <v>0</v>
      </c>
      <c r="M4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107.5</v>
      </c>
    </row>
    <row r="5" spans="1:13" x14ac:dyDescent="0.25">
      <c r="A5" s="5" t="s">
        <v>118</v>
      </c>
      <c r="B5" s="5">
        <v>17</v>
      </c>
      <c r="C5" s="5">
        <v>17</v>
      </c>
      <c r="D5" s="5">
        <v>64.3</v>
      </c>
      <c r="E5" s="5">
        <v>2</v>
      </c>
      <c r="F5" s="5">
        <v>482</v>
      </c>
      <c r="G5" s="5">
        <v>22</v>
      </c>
      <c r="H5" s="5">
        <v>21.9</v>
      </c>
      <c r="I5" s="5">
        <v>7.47</v>
      </c>
      <c r="J5" s="5">
        <v>17.5</v>
      </c>
      <c r="K5" s="5">
        <v>0</v>
      </c>
      <c r="L5" s="5">
        <v>0</v>
      </c>
      <c r="M5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93</v>
      </c>
    </row>
    <row r="6" spans="1:13" x14ac:dyDescent="0.25">
      <c r="A6" s="5" t="s">
        <v>108</v>
      </c>
      <c r="B6" s="5">
        <v>14</v>
      </c>
      <c r="C6" s="5">
        <v>14</v>
      </c>
      <c r="D6" s="5">
        <v>49.2</v>
      </c>
      <c r="E6" s="5">
        <v>1</v>
      </c>
      <c r="F6" s="5">
        <v>386</v>
      </c>
      <c r="G6" s="5">
        <v>18</v>
      </c>
      <c r="H6" s="5">
        <v>21.44</v>
      </c>
      <c r="I6" s="5">
        <v>7.82</v>
      </c>
      <c r="J6" s="5">
        <v>16.399999999999999</v>
      </c>
      <c r="K6" s="5">
        <v>1</v>
      </c>
      <c r="L6" s="5">
        <v>0</v>
      </c>
      <c r="M6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81</v>
      </c>
    </row>
    <row r="7" spans="1:13" x14ac:dyDescent="0.25">
      <c r="A7" s="5" t="s">
        <v>124</v>
      </c>
      <c r="B7" s="5">
        <v>14</v>
      </c>
      <c r="C7" s="5">
        <v>14</v>
      </c>
      <c r="D7" s="5">
        <v>48</v>
      </c>
      <c r="E7" s="5">
        <v>1</v>
      </c>
      <c r="F7" s="5">
        <v>347</v>
      </c>
      <c r="G7" s="5">
        <v>20</v>
      </c>
      <c r="H7" s="5">
        <v>17.350000000000001</v>
      </c>
      <c r="I7" s="5">
        <v>7.22</v>
      </c>
      <c r="J7" s="5">
        <v>14.4</v>
      </c>
      <c r="K7" s="5">
        <v>0</v>
      </c>
      <c r="L7" s="5">
        <v>0</v>
      </c>
      <c r="M7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78</v>
      </c>
    </row>
    <row r="8" spans="1:13" x14ac:dyDescent="0.25">
      <c r="A8" s="5" t="s">
        <v>159</v>
      </c>
      <c r="B8" s="5">
        <v>12</v>
      </c>
      <c r="C8" s="5">
        <v>12</v>
      </c>
      <c r="D8" s="5">
        <v>44.5</v>
      </c>
      <c r="E8" s="5">
        <v>0</v>
      </c>
      <c r="F8" s="5">
        <v>438</v>
      </c>
      <c r="G8" s="5">
        <v>16</v>
      </c>
      <c r="H8" s="5">
        <v>27.37</v>
      </c>
      <c r="I8" s="5">
        <v>9.76</v>
      </c>
      <c r="J8" s="5">
        <v>16.8</v>
      </c>
      <c r="K8" s="5">
        <v>2</v>
      </c>
      <c r="L8" s="5">
        <v>0</v>
      </c>
      <c r="M8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68</v>
      </c>
    </row>
    <row r="9" spans="1:13" x14ac:dyDescent="0.25">
      <c r="A9" s="5" t="s">
        <v>44</v>
      </c>
      <c r="B9" s="5">
        <v>11</v>
      </c>
      <c r="C9" s="5">
        <v>11</v>
      </c>
      <c r="D9" s="5">
        <v>44</v>
      </c>
      <c r="E9" s="5">
        <v>1</v>
      </c>
      <c r="F9" s="5">
        <v>312</v>
      </c>
      <c r="G9" s="5">
        <v>16</v>
      </c>
      <c r="H9" s="5">
        <v>19.5</v>
      </c>
      <c r="I9" s="5">
        <v>7.09</v>
      </c>
      <c r="J9" s="5">
        <v>16.5</v>
      </c>
      <c r="K9" s="5">
        <v>0</v>
      </c>
      <c r="L9" s="5">
        <v>0</v>
      </c>
      <c r="M9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64</v>
      </c>
    </row>
    <row r="10" spans="1:13" x14ac:dyDescent="0.25">
      <c r="A10" s="5" t="s">
        <v>110</v>
      </c>
      <c r="B10" s="5">
        <v>14</v>
      </c>
      <c r="C10" s="5">
        <v>14</v>
      </c>
      <c r="D10" s="5">
        <v>54</v>
      </c>
      <c r="E10" s="5">
        <v>0</v>
      </c>
      <c r="F10" s="5">
        <v>469</v>
      </c>
      <c r="G10" s="5">
        <v>19</v>
      </c>
      <c r="H10" s="5">
        <v>24.68</v>
      </c>
      <c r="I10" s="5">
        <v>8.68</v>
      </c>
      <c r="J10" s="5">
        <v>17</v>
      </c>
      <c r="K10" s="5">
        <v>0</v>
      </c>
      <c r="L10" s="5">
        <v>0</v>
      </c>
      <c r="M10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57</v>
      </c>
    </row>
    <row r="11" spans="1:13" x14ac:dyDescent="0.25">
      <c r="A11" s="5" t="s">
        <v>130</v>
      </c>
      <c r="B11" s="5">
        <v>9</v>
      </c>
      <c r="C11" s="5">
        <v>9</v>
      </c>
      <c r="D11" s="5">
        <v>34.5</v>
      </c>
      <c r="E11" s="5">
        <v>0</v>
      </c>
      <c r="F11" s="5">
        <v>287</v>
      </c>
      <c r="G11" s="5">
        <v>19</v>
      </c>
      <c r="H11" s="5">
        <v>15.1</v>
      </c>
      <c r="I11" s="5">
        <v>8.23</v>
      </c>
      <c r="J11" s="5">
        <v>11</v>
      </c>
      <c r="K11" s="5">
        <v>0</v>
      </c>
      <c r="L11" s="5">
        <v>0</v>
      </c>
      <c r="M11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57</v>
      </c>
    </row>
    <row r="12" spans="1:13" x14ac:dyDescent="0.25">
      <c r="A12" s="5" t="s">
        <v>41</v>
      </c>
      <c r="B12" s="5">
        <v>15</v>
      </c>
      <c r="C12" s="5">
        <v>15</v>
      </c>
      <c r="D12" s="5">
        <v>60</v>
      </c>
      <c r="E12" s="5">
        <v>1</v>
      </c>
      <c r="F12" s="5">
        <v>377</v>
      </c>
      <c r="G12" s="5">
        <v>17</v>
      </c>
      <c r="H12" s="5">
        <v>22.17</v>
      </c>
      <c r="I12" s="5">
        <v>6.28</v>
      </c>
      <c r="J12" s="5">
        <v>21.1</v>
      </c>
      <c r="K12" s="5">
        <v>0</v>
      </c>
      <c r="L12" s="5">
        <v>0</v>
      </c>
      <c r="M12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50.5</v>
      </c>
    </row>
    <row r="13" spans="1:13" x14ac:dyDescent="0.25">
      <c r="A13" s="5" t="s">
        <v>85</v>
      </c>
      <c r="B13" s="5">
        <v>16</v>
      </c>
      <c r="C13" s="5">
        <v>16</v>
      </c>
      <c r="D13" s="5">
        <v>54</v>
      </c>
      <c r="E13" s="5">
        <v>1</v>
      </c>
      <c r="F13" s="5">
        <v>343</v>
      </c>
      <c r="G13" s="5">
        <v>15</v>
      </c>
      <c r="H13" s="5">
        <v>22.86</v>
      </c>
      <c r="I13" s="5">
        <v>6.35</v>
      </c>
      <c r="J13" s="5">
        <v>21.6</v>
      </c>
      <c r="K13" s="5">
        <v>0</v>
      </c>
      <c r="L13" s="5">
        <v>0</v>
      </c>
      <c r="M13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45.5</v>
      </c>
    </row>
    <row r="14" spans="1:13" x14ac:dyDescent="0.25">
      <c r="A14" s="5" t="s">
        <v>109</v>
      </c>
      <c r="B14" s="5">
        <v>11</v>
      </c>
      <c r="C14" s="5">
        <v>11</v>
      </c>
      <c r="D14" s="5">
        <v>43</v>
      </c>
      <c r="E14" s="5">
        <v>2</v>
      </c>
      <c r="F14" s="5">
        <v>291</v>
      </c>
      <c r="G14" s="5">
        <v>11</v>
      </c>
      <c r="H14" s="5">
        <v>26.45</v>
      </c>
      <c r="I14" s="5">
        <v>6.76</v>
      </c>
      <c r="J14" s="5">
        <v>23.4</v>
      </c>
      <c r="K14" s="5">
        <v>0</v>
      </c>
      <c r="L14" s="5">
        <v>0</v>
      </c>
      <c r="M14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43.5</v>
      </c>
    </row>
    <row r="15" spans="1:13" x14ac:dyDescent="0.25">
      <c r="A15" s="5" t="s">
        <v>80</v>
      </c>
      <c r="B15" s="5">
        <v>16</v>
      </c>
      <c r="C15" s="5">
        <v>16</v>
      </c>
      <c r="D15" s="5">
        <v>42.3</v>
      </c>
      <c r="E15" s="5">
        <v>0</v>
      </c>
      <c r="F15" s="5">
        <v>390</v>
      </c>
      <c r="G15" s="5">
        <v>14</v>
      </c>
      <c r="H15" s="5">
        <v>27.85</v>
      </c>
      <c r="I15" s="5">
        <v>9.17</v>
      </c>
      <c r="J15" s="5">
        <v>18.2</v>
      </c>
      <c r="K15" s="5">
        <v>0</v>
      </c>
      <c r="L15" s="5">
        <v>0</v>
      </c>
      <c r="M15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42</v>
      </c>
    </row>
    <row r="16" spans="1:13" x14ac:dyDescent="0.25">
      <c r="A16" s="5" t="s">
        <v>160</v>
      </c>
      <c r="B16" s="5">
        <v>13</v>
      </c>
      <c r="C16" s="5">
        <v>13</v>
      </c>
      <c r="D16" s="5">
        <v>46</v>
      </c>
      <c r="E16" s="5">
        <v>1</v>
      </c>
      <c r="F16" s="5">
        <v>349</v>
      </c>
      <c r="G16" s="5">
        <v>13</v>
      </c>
      <c r="H16" s="5">
        <v>26.84</v>
      </c>
      <c r="I16" s="5">
        <v>7.58</v>
      </c>
      <c r="J16" s="5">
        <v>21.2</v>
      </c>
      <c r="K16" s="5">
        <v>0</v>
      </c>
      <c r="L16" s="5">
        <v>0</v>
      </c>
      <c r="M16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40.5</v>
      </c>
    </row>
    <row r="17" spans="1:13" x14ac:dyDescent="0.25">
      <c r="A17" s="5" t="s">
        <v>119</v>
      </c>
      <c r="B17" s="5">
        <v>9</v>
      </c>
      <c r="C17" s="5">
        <v>9</v>
      </c>
      <c r="D17" s="5">
        <v>33</v>
      </c>
      <c r="E17" s="5">
        <v>0</v>
      </c>
      <c r="F17" s="5">
        <v>306</v>
      </c>
      <c r="G17" s="5">
        <v>13</v>
      </c>
      <c r="H17" s="5">
        <v>23.53</v>
      </c>
      <c r="I17" s="5">
        <v>9.27</v>
      </c>
      <c r="J17" s="5">
        <v>15.2</v>
      </c>
      <c r="K17" s="5">
        <v>0</v>
      </c>
      <c r="L17" s="5">
        <v>0</v>
      </c>
      <c r="M17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39</v>
      </c>
    </row>
    <row r="18" spans="1:13" x14ac:dyDescent="0.25">
      <c r="A18" s="5" t="s">
        <v>116</v>
      </c>
      <c r="B18" s="5">
        <v>14</v>
      </c>
      <c r="C18" s="5">
        <v>14</v>
      </c>
      <c r="D18" s="5">
        <v>55</v>
      </c>
      <c r="E18" s="5">
        <v>0</v>
      </c>
      <c r="F18" s="5">
        <v>400</v>
      </c>
      <c r="G18" s="5">
        <v>15</v>
      </c>
      <c r="H18" s="5">
        <v>26.66</v>
      </c>
      <c r="I18" s="5">
        <v>7.27</v>
      </c>
      <c r="J18" s="5">
        <v>22</v>
      </c>
      <c r="K18" s="5">
        <v>0</v>
      </c>
      <c r="L18" s="5">
        <v>0</v>
      </c>
      <c r="M18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37.5</v>
      </c>
    </row>
    <row r="19" spans="1:13" x14ac:dyDescent="0.25">
      <c r="A19" s="5" t="s">
        <v>105</v>
      </c>
      <c r="B19" s="5">
        <v>16</v>
      </c>
      <c r="C19" s="5">
        <v>16</v>
      </c>
      <c r="D19" s="5">
        <v>61.4</v>
      </c>
      <c r="E19" s="5">
        <v>1</v>
      </c>
      <c r="F19" s="5">
        <v>409</v>
      </c>
      <c r="G19" s="5">
        <v>19</v>
      </c>
      <c r="H19" s="5">
        <v>21.52</v>
      </c>
      <c r="I19" s="5">
        <v>6.63</v>
      </c>
      <c r="J19" s="5">
        <v>19.399999999999999</v>
      </c>
      <c r="K19" s="5">
        <v>0</v>
      </c>
      <c r="L19" s="5">
        <v>0</v>
      </c>
      <c r="M19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36.5</v>
      </c>
    </row>
    <row r="20" spans="1:13" x14ac:dyDescent="0.25">
      <c r="A20" s="5" t="s">
        <v>161</v>
      </c>
      <c r="B20" s="5">
        <v>15</v>
      </c>
      <c r="C20" s="5">
        <v>15</v>
      </c>
      <c r="D20" s="5">
        <v>59</v>
      </c>
      <c r="E20" s="5">
        <v>1</v>
      </c>
      <c r="F20" s="5">
        <v>461</v>
      </c>
      <c r="G20" s="5">
        <v>13</v>
      </c>
      <c r="H20" s="5">
        <v>35.46</v>
      </c>
      <c r="I20" s="5">
        <v>7.81</v>
      </c>
      <c r="J20" s="5">
        <v>27.2</v>
      </c>
      <c r="K20" s="5">
        <v>0</v>
      </c>
      <c r="L20" s="5">
        <v>0</v>
      </c>
      <c r="M20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34</v>
      </c>
    </row>
    <row r="21" spans="1:13" x14ac:dyDescent="0.25">
      <c r="A21" s="5" t="s">
        <v>100</v>
      </c>
      <c r="B21" s="5">
        <v>14</v>
      </c>
      <c r="C21" s="5">
        <v>12</v>
      </c>
      <c r="D21" s="5">
        <v>30.1</v>
      </c>
      <c r="E21" s="5">
        <v>0</v>
      </c>
      <c r="F21" s="5">
        <v>287</v>
      </c>
      <c r="G21" s="5">
        <v>11</v>
      </c>
      <c r="H21" s="5">
        <v>26.09</v>
      </c>
      <c r="I21" s="5">
        <v>9.51</v>
      </c>
      <c r="J21" s="5">
        <v>16.399999999999999</v>
      </c>
      <c r="K21" s="5">
        <v>0</v>
      </c>
      <c r="L21" s="5">
        <v>0</v>
      </c>
      <c r="M21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33</v>
      </c>
    </row>
    <row r="22" spans="1:13" x14ac:dyDescent="0.25">
      <c r="A22" s="5" t="s">
        <v>113</v>
      </c>
      <c r="B22" s="5">
        <v>13</v>
      </c>
      <c r="C22" s="5">
        <v>13</v>
      </c>
      <c r="D22" s="5">
        <v>47</v>
      </c>
      <c r="E22" s="5">
        <v>0</v>
      </c>
      <c r="F22" s="5">
        <v>308</v>
      </c>
      <c r="G22" s="5">
        <v>13</v>
      </c>
      <c r="H22" s="5">
        <v>23.69</v>
      </c>
      <c r="I22" s="5">
        <v>6.55</v>
      </c>
      <c r="J22" s="5">
        <v>21.6</v>
      </c>
      <c r="K22" s="5">
        <v>0</v>
      </c>
      <c r="L22" s="5">
        <v>0</v>
      </c>
      <c r="M22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32.5</v>
      </c>
    </row>
    <row r="23" spans="1:13" x14ac:dyDescent="0.25">
      <c r="A23" s="5" t="s">
        <v>42</v>
      </c>
      <c r="B23" s="5">
        <v>8</v>
      </c>
      <c r="C23" s="5">
        <v>8</v>
      </c>
      <c r="D23" s="5">
        <v>29.1</v>
      </c>
      <c r="E23" s="5">
        <v>0</v>
      </c>
      <c r="F23" s="5">
        <v>194</v>
      </c>
      <c r="G23" s="5">
        <v>8</v>
      </c>
      <c r="H23" s="5">
        <v>24.25</v>
      </c>
      <c r="I23" s="5">
        <v>6.65</v>
      </c>
      <c r="J23" s="5">
        <v>21.8</v>
      </c>
      <c r="K23" s="5">
        <v>1</v>
      </c>
      <c r="L23" s="5">
        <v>0</v>
      </c>
      <c r="M23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30</v>
      </c>
    </row>
    <row r="24" spans="1:13" x14ac:dyDescent="0.25">
      <c r="A24" s="5" t="s">
        <v>137</v>
      </c>
      <c r="B24" s="5">
        <v>16</v>
      </c>
      <c r="C24" s="5">
        <v>16</v>
      </c>
      <c r="D24" s="5">
        <v>46</v>
      </c>
      <c r="E24" s="5">
        <v>0</v>
      </c>
      <c r="F24" s="5">
        <v>335</v>
      </c>
      <c r="G24" s="5">
        <v>12</v>
      </c>
      <c r="H24" s="5">
        <v>27.91</v>
      </c>
      <c r="I24" s="5">
        <v>7.28</v>
      </c>
      <c r="J24" s="5">
        <v>23</v>
      </c>
      <c r="K24" s="5">
        <v>0</v>
      </c>
      <c r="L24" s="5">
        <v>0</v>
      </c>
      <c r="M24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30</v>
      </c>
    </row>
    <row r="25" spans="1:13" x14ac:dyDescent="0.25">
      <c r="A25" s="5" t="s">
        <v>98</v>
      </c>
      <c r="B25" s="5">
        <v>12</v>
      </c>
      <c r="C25" s="5">
        <v>12</v>
      </c>
      <c r="D25" s="5">
        <v>44.2</v>
      </c>
      <c r="E25" s="5">
        <v>1</v>
      </c>
      <c r="F25" s="5">
        <v>347</v>
      </c>
      <c r="G25" s="5">
        <v>10</v>
      </c>
      <c r="H25" s="5">
        <v>34.700000000000003</v>
      </c>
      <c r="I25" s="5">
        <v>7.82</v>
      </c>
      <c r="J25" s="5">
        <v>26.6</v>
      </c>
      <c r="K25" s="5">
        <v>0</v>
      </c>
      <c r="L25" s="5">
        <v>0</v>
      </c>
      <c r="M25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28</v>
      </c>
    </row>
    <row r="26" spans="1:13" x14ac:dyDescent="0.25">
      <c r="A26" s="5" t="s">
        <v>162</v>
      </c>
      <c r="B26" s="5">
        <v>11</v>
      </c>
      <c r="C26" s="5">
        <v>11</v>
      </c>
      <c r="D26" s="5">
        <v>40</v>
      </c>
      <c r="E26" s="5">
        <v>0</v>
      </c>
      <c r="F26" s="5">
        <v>270</v>
      </c>
      <c r="G26" s="5">
        <v>11</v>
      </c>
      <c r="H26" s="5">
        <v>24.54</v>
      </c>
      <c r="I26" s="5">
        <v>6.75</v>
      </c>
      <c r="J26" s="5">
        <v>21.8</v>
      </c>
      <c r="K26" s="5">
        <v>0</v>
      </c>
      <c r="L26" s="5">
        <v>0</v>
      </c>
      <c r="M26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27.5</v>
      </c>
    </row>
    <row r="27" spans="1:13" x14ac:dyDescent="0.25">
      <c r="A27" s="5" t="s">
        <v>164</v>
      </c>
      <c r="B27" s="5">
        <v>8</v>
      </c>
      <c r="C27" s="5">
        <v>8</v>
      </c>
      <c r="D27" s="5">
        <v>27.1</v>
      </c>
      <c r="E27" s="5">
        <v>0</v>
      </c>
      <c r="F27" s="5">
        <v>237</v>
      </c>
      <c r="G27" s="5">
        <v>9</v>
      </c>
      <c r="H27" s="5">
        <v>26.33</v>
      </c>
      <c r="I27" s="5">
        <v>8.7200000000000006</v>
      </c>
      <c r="J27" s="5">
        <v>18.100000000000001</v>
      </c>
      <c r="K27" s="5">
        <v>0</v>
      </c>
      <c r="L27" s="5">
        <v>0</v>
      </c>
      <c r="M27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27</v>
      </c>
    </row>
    <row r="28" spans="1:13" x14ac:dyDescent="0.25">
      <c r="A28" s="5" t="s">
        <v>115</v>
      </c>
      <c r="B28" s="5">
        <v>11</v>
      </c>
      <c r="C28" s="5">
        <v>11</v>
      </c>
      <c r="D28" s="5">
        <v>42.4</v>
      </c>
      <c r="E28" s="5">
        <v>0</v>
      </c>
      <c r="F28" s="5">
        <v>352</v>
      </c>
      <c r="G28" s="5">
        <v>12</v>
      </c>
      <c r="H28" s="5">
        <v>29.33</v>
      </c>
      <c r="I28" s="5">
        <v>8.25</v>
      </c>
      <c r="J28" s="5">
        <v>21.3</v>
      </c>
      <c r="K28" s="5">
        <v>0</v>
      </c>
      <c r="L28" s="5">
        <v>0</v>
      </c>
      <c r="M28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24</v>
      </c>
    </row>
    <row r="29" spans="1:13" x14ac:dyDescent="0.25">
      <c r="A29" s="5" t="s">
        <v>165</v>
      </c>
      <c r="B29" s="5">
        <v>6</v>
      </c>
      <c r="C29" s="5">
        <v>6</v>
      </c>
      <c r="D29" s="5">
        <v>23</v>
      </c>
      <c r="E29" s="5">
        <v>0</v>
      </c>
      <c r="F29" s="5">
        <v>210</v>
      </c>
      <c r="G29" s="5">
        <v>8</v>
      </c>
      <c r="H29" s="5">
        <v>26.25</v>
      </c>
      <c r="I29" s="5">
        <v>9.1300000000000008</v>
      </c>
      <c r="J29" s="5">
        <v>17.2</v>
      </c>
      <c r="K29" s="5">
        <v>0</v>
      </c>
      <c r="L29" s="5">
        <v>0</v>
      </c>
      <c r="M29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24</v>
      </c>
    </row>
    <row r="30" spans="1:13" x14ac:dyDescent="0.25">
      <c r="A30" s="5" t="s">
        <v>120</v>
      </c>
      <c r="B30" s="5">
        <v>9</v>
      </c>
      <c r="C30" s="5">
        <v>9</v>
      </c>
      <c r="D30" s="5">
        <v>28.1</v>
      </c>
      <c r="E30" s="5">
        <v>1</v>
      </c>
      <c r="F30" s="5">
        <v>269</v>
      </c>
      <c r="G30" s="5">
        <v>7</v>
      </c>
      <c r="H30" s="5">
        <v>38.42</v>
      </c>
      <c r="I30" s="5">
        <v>9.5500000000000007</v>
      </c>
      <c r="J30" s="5">
        <v>24.1</v>
      </c>
      <c r="K30" s="5">
        <v>0</v>
      </c>
      <c r="L30" s="5">
        <v>0</v>
      </c>
      <c r="M30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22</v>
      </c>
    </row>
    <row r="31" spans="1:13" x14ac:dyDescent="0.25">
      <c r="A31" s="5" t="s">
        <v>134</v>
      </c>
      <c r="B31" s="5">
        <v>12</v>
      </c>
      <c r="C31" s="5">
        <v>12</v>
      </c>
      <c r="D31" s="5">
        <v>41.1</v>
      </c>
      <c r="E31" s="5">
        <v>0</v>
      </c>
      <c r="F31" s="5">
        <v>330</v>
      </c>
      <c r="G31" s="5">
        <v>11</v>
      </c>
      <c r="H31" s="5">
        <v>30</v>
      </c>
      <c r="I31" s="5">
        <v>8.01</v>
      </c>
      <c r="J31" s="5">
        <v>22.4</v>
      </c>
      <c r="K31" s="5">
        <v>0</v>
      </c>
      <c r="L31" s="5">
        <v>0</v>
      </c>
      <c r="M31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22</v>
      </c>
    </row>
    <row r="32" spans="1:13" x14ac:dyDescent="0.25">
      <c r="A32" s="5" t="s">
        <v>92</v>
      </c>
      <c r="B32" s="5">
        <v>9</v>
      </c>
      <c r="C32" s="5">
        <v>9</v>
      </c>
      <c r="D32" s="5">
        <v>33</v>
      </c>
      <c r="E32" s="5">
        <v>0</v>
      </c>
      <c r="F32" s="5">
        <v>323</v>
      </c>
      <c r="G32" s="5">
        <v>10</v>
      </c>
      <c r="H32" s="5">
        <v>32.299999999999997</v>
      </c>
      <c r="I32" s="5">
        <v>9.7799999999999994</v>
      </c>
      <c r="J32" s="5">
        <v>19.8</v>
      </c>
      <c r="K32" s="5">
        <v>1</v>
      </c>
      <c r="L32" s="5">
        <v>0</v>
      </c>
      <c r="M32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20</v>
      </c>
    </row>
    <row r="33" spans="1:13" x14ac:dyDescent="0.25">
      <c r="A33" s="5" t="s">
        <v>163</v>
      </c>
      <c r="B33" s="5">
        <v>11</v>
      </c>
      <c r="C33" s="5">
        <v>11</v>
      </c>
      <c r="D33" s="5">
        <v>37.200000000000003</v>
      </c>
      <c r="E33" s="5">
        <v>0</v>
      </c>
      <c r="F33" s="5">
        <v>398</v>
      </c>
      <c r="G33" s="5">
        <v>10</v>
      </c>
      <c r="H33" s="5">
        <v>39.799999999999997</v>
      </c>
      <c r="I33" s="5">
        <v>10.66</v>
      </c>
      <c r="J33" s="5">
        <v>22.4</v>
      </c>
      <c r="K33" s="5">
        <v>0</v>
      </c>
      <c r="L33" s="5">
        <v>0</v>
      </c>
      <c r="M33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20</v>
      </c>
    </row>
    <row r="34" spans="1:13" x14ac:dyDescent="0.25">
      <c r="A34" s="5" t="s">
        <v>99</v>
      </c>
      <c r="B34" s="5">
        <v>14</v>
      </c>
      <c r="C34" s="5">
        <v>14</v>
      </c>
      <c r="D34" s="5">
        <v>51</v>
      </c>
      <c r="E34" s="5">
        <v>0</v>
      </c>
      <c r="F34" s="5">
        <v>364</v>
      </c>
      <c r="G34" s="5">
        <v>10</v>
      </c>
      <c r="H34" s="5">
        <v>36.4</v>
      </c>
      <c r="I34" s="5">
        <v>7.13</v>
      </c>
      <c r="J34" s="5">
        <v>30.6</v>
      </c>
      <c r="K34" s="5">
        <v>0</v>
      </c>
      <c r="L34" s="5">
        <v>0</v>
      </c>
      <c r="M34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20</v>
      </c>
    </row>
    <row r="35" spans="1:13" x14ac:dyDescent="0.25">
      <c r="A35" s="5" t="s">
        <v>79</v>
      </c>
      <c r="B35" s="5">
        <v>9</v>
      </c>
      <c r="C35" s="5">
        <v>6</v>
      </c>
      <c r="D35" s="5">
        <v>16.5</v>
      </c>
      <c r="E35" s="5">
        <v>0</v>
      </c>
      <c r="F35" s="5">
        <v>189</v>
      </c>
      <c r="G35" s="5">
        <v>6</v>
      </c>
      <c r="H35" s="5">
        <v>31.5</v>
      </c>
      <c r="I35" s="5">
        <v>11.22</v>
      </c>
      <c r="J35" s="5">
        <v>16.8</v>
      </c>
      <c r="K35" s="5">
        <v>0</v>
      </c>
      <c r="L35" s="5">
        <v>0</v>
      </c>
      <c r="M35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18</v>
      </c>
    </row>
    <row r="36" spans="1:13" x14ac:dyDescent="0.25">
      <c r="A36" s="5" t="s">
        <v>172</v>
      </c>
      <c r="B36" s="5">
        <v>4</v>
      </c>
      <c r="C36" s="5">
        <v>4</v>
      </c>
      <c r="D36" s="5">
        <v>10</v>
      </c>
      <c r="E36" s="5">
        <v>0</v>
      </c>
      <c r="F36" s="5">
        <v>79</v>
      </c>
      <c r="G36" s="5">
        <v>5</v>
      </c>
      <c r="H36" s="5">
        <v>15.8</v>
      </c>
      <c r="I36" s="5">
        <v>7.9</v>
      </c>
      <c r="J36" s="5">
        <v>12</v>
      </c>
      <c r="K36" s="5">
        <v>0</v>
      </c>
      <c r="L36" s="5">
        <v>0</v>
      </c>
      <c r="M36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17.5</v>
      </c>
    </row>
    <row r="37" spans="1:13" x14ac:dyDescent="0.25">
      <c r="A37" s="5" t="s">
        <v>171</v>
      </c>
      <c r="B37" s="5">
        <v>10</v>
      </c>
      <c r="C37" s="5">
        <v>10</v>
      </c>
      <c r="D37" s="5">
        <v>35</v>
      </c>
      <c r="E37" s="5">
        <v>1</v>
      </c>
      <c r="F37" s="5">
        <v>335</v>
      </c>
      <c r="G37" s="5">
        <v>6</v>
      </c>
      <c r="H37" s="5">
        <v>55.83</v>
      </c>
      <c r="I37" s="5">
        <v>9.57</v>
      </c>
      <c r="J37" s="5">
        <v>35</v>
      </c>
      <c r="K37" s="5">
        <v>0</v>
      </c>
      <c r="L37" s="5">
        <v>0</v>
      </c>
      <c r="M37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17</v>
      </c>
    </row>
    <row r="38" spans="1:13" x14ac:dyDescent="0.25">
      <c r="A38" s="5" t="s">
        <v>136</v>
      </c>
      <c r="B38" s="5">
        <v>13</v>
      </c>
      <c r="C38" s="5">
        <v>13</v>
      </c>
      <c r="D38" s="5">
        <v>48</v>
      </c>
      <c r="E38" s="5">
        <v>0</v>
      </c>
      <c r="F38" s="5">
        <v>397</v>
      </c>
      <c r="G38" s="5">
        <v>11</v>
      </c>
      <c r="H38" s="5">
        <v>36.090000000000003</v>
      </c>
      <c r="I38" s="5">
        <v>8.27</v>
      </c>
      <c r="J38" s="5">
        <v>26.1</v>
      </c>
      <c r="K38" s="5">
        <v>0</v>
      </c>
      <c r="L38" s="5">
        <v>0</v>
      </c>
      <c r="M38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16.5</v>
      </c>
    </row>
    <row r="39" spans="1:13" x14ac:dyDescent="0.25">
      <c r="A39" s="5" t="s">
        <v>123</v>
      </c>
      <c r="B39" s="5">
        <v>10</v>
      </c>
      <c r="C39" s="5">
        <v>9</v>
      </c>
      <c r="D39" s="5">
        <v>30</v>
      </c>
      <c r="E39" s="5">
        <v>0</v>
      </c>
      <c r="F39" s="5">
        <v>281</v>
      </c>
      <c r="G39" s="5">
        <v>8</v>
      </c>
      <c r="H39" s="5">
        <v>35.119999999999997</v>
      </c>
      <c r="I39" s="5">
        <v>9.36</v>
      </c>
      <c r="J39" s="5">
        <v>22.5</v>
      </c>
      <c r="K39" s="5">
        <v>0</v>
      </c>
      <c r="L39" s="5">
        <v>0</v>
      </c>
      <c r="M39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16</v>
      </c>
    </row>
    <row r="40" spans="1:13" x14ac:dyDescent="0.25">
      <c r="A40" s="5" t="s">
        <v>135</v>
      </c>
      <c r="B40" s="5">
        <v>13</v>
      </c>
      <c r="C40" s="5">
        <v>13</v>
      </c>
      <c r="D40" s="5">
        <v>44.3</v>
      </c>
      <c r="E40" s="5">
        <v>0</v>
      </c>
      <c r="F40" s="5">
        <v>399</v>
      </c>
      <c r="G40" s="5">
        <v>10</v>
      </c>
      <c r="H40" s="5">
        <v>39.9</v>
      </c>
      <c r="I40" s="5">
        <v>8.9600000000000009</v>
      </c>
      <c r="J40" s="5">
        <v>26.7</v>
      </c>
      <c r="K40" s="5">
        <v>0</v>
      </c>
      <c r="L40" s="5">
        <v>0</v>
      </c>
      <c r="M40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15</v>
      </c>
    </row>
    <row r="41" spans="1:13" x14ac:dyDescent="0.25">
      <c r="A41" s="5" t="s">
        <v>152</v>
      </c>
      <c r="B41" s="5">
        <v>11</v>
      </c>
      <c r="C41" s="5">
        <v>9</v>
      </c>
      <c r="D41" s="5">
        <v>25</v>
      </c>
      <c r="E41" s="5">
        <v>0</v>
      </c>
      <c r="F41" s="5">
        <v>169</v>
      </c>
      <c r="G41" s="5">
        <v>6</v>
      </c>
      <c r="H41" s="5">
        <v>28.16</v>
      </c>
      <c r="I41" s="5">
        <v>6.76</v>
      </c>
      <c r="J41" s="5">
        <v>25</v>
      </c>
      <c r="K41" s="5">
        <v>0</v>
      </c>
      <c r="L41" s="5">
        <v>0</v>
      </c>
      <c r="M41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15</v>
      </c>
    </row>
    <row r="42" spans="1:13" x14ac:dyDescent="0.25">
      <c r="A42" s="5" t="s">
        <v>168</v>
      </c>
      <c r="B42" s="5">
        <v>8</v>
      </c>
      <c r="C42" s="5">
        <v>8</v>
      </c>
      <c r="D42" s="5">
        <v>27</v>
      </c>
      <c r="E42" s="5">
        <v>0</v>
      </c>
      <c r="F42" s="5">
        <v>238</v>
      </c>
      <c r="G42" s="5">
        <v>7</v>
      </c>
      <c r="H42" s="5">
        <v>34</v>
      </c>
      <c r="I42" s="5">
        <v>8.81</v>
      </c>
      <c r="J42" s="5">
        <v>23.1</v>
      </c>
      <c r="K42" s="5">
        <v>0</v>
      </c>
      <c r="L42" s="5">
        <v>0</v>
      </c>
      <c r="M42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14</v>
      </c>
    </row>
    <row r="43" spans="1:13" x14ac:dyDescent="0.25">
      <c r="A43" s="5" t="s">
        <v>169</v>
      </c>
      <c r="B43" s="5">
        <v>3</v>
      </c>
      <c r="C43" s="5">
        <v>3</v>
      </c>
      <c r="D43" s="5">
        <v>8.4</v>
      </c>
      <c r="E43" s="5">
        <v>1</v>
      </c>
      <c r="F43" s="5">
        <v>87</v>
      </c>
      <c r="G43" s="5">
        <v>6</v>
      </c>
      <c r="H43" s="5">
        <v>14.5</v>
      </c>
      <c r="I43" s="5">
        <v>10.029999999999999</v>
      </c>
      <c r="J43" s="5">
        <v>8.6</v>
      </c>
      <c r="K43" s="5">
        <v>0</v>
      </c>
      <c r="L43" s="5">
        <v>1</v>
      </c>
      <c r="M43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14</v>
      </c>
    </row>
    <row r="44" spans="1:13" x14ac:dyDescent="0.25">
      <c r="A44" s="5" t="s">
        <v>166</v>
      </c>
      <c r="B44" s="5">
        <v>11</v>
      </c>
      <c r="C44" s="5">
        <v>11</v>
      </c>
      <c r="D44" s="5">
        <v>37.5</v>
      </c>
      <c r="E44" s="5">
        <v>0</v>
      </c>
      <c r="F44" s="5">
        <v>371</v>
      </c>
      <c r="G44" s="5">
        <v>8</v>
      </c>
      <c r="H44" s="5">
        <v>46.37</v>
      </c>
      <c r="I44" s="5">
        <v>9.8000000000000007</v>
      </c>
      <c r="J44" s="5">
        <v>28.3</v>
      </c>
      <c r="K44" s="5">
        <v>0</v>
      </c>
      <c r="L44" s="5">
        <v>0</v>
      </c>
      <c r="M44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12</v>
      </c>
    </row>
    <row r="45" spans="1:13" x14ac:dyDescent="0.25">
      <c r="A45" s="5" t="s">
        <v>106</v>
      </c>
      <c r="B45" s="5">
        <v>5</v>
      </c>
      <c r="C45" s="5">
        <v>5</v>
      </c>
      <c r="D45" s="5">
        <v>19</v>
      </c>
      <c r="E45" s="5">
        <v>0</v>
      </c>
      <c r="F45" s="5">
        <v>163</v>
      </c>
      <c r="G45" s="5">
        <v>5</v>
      </c>
      <c r="H45" s="5">
        <v>32.6</v>
      </c>
      <c r="I45" s="5">
        <v>8.57</v>
      </c>
      <c r="J45" s="5">
        <v>22.8</v>
      </c>
      <c r="K45" s="5">
        <v>0</v>
      </c>
      <c r="L45" s="5">
        <v>0</v>
      </c>
      <c r="M45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10</v>
      </c>
    </row>
    <row r="46" spans="1:13" x14ac:dyDescent="0.25">
      <c r="A46" s="5" t="s">
        <v>122</v>
      </c>
      <c r="B46" s="5">
        <v>10</v>
      </c>
      <c r="C46" s="5">
        <v>10</v>
      </c>
      <c r="D46" s="5">
        <v>34</v>
      </c>
      <c r="E46" s="5">
        <v>0</v>
      </c>
      <c r="F46" s="5">
        <v>255</v>
      </c>
      <c r="G46" s="5">
        <v>5</v>
      </c>
      <c r="H46" s="5">
        <v>51</v>
      </c>
      <c r="I46" s="5">
        <v>7.5</v>
      </c>
      <c r="J46" s="5">
        <v>40.799999999999997</v>
      </c>
      <c r="K46" s="5">
        <v>0</v>
      </c>
      <c r="L46" s="5">
        <v>0</v>
      </c>
      <c r="M46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10</v>
      </c>
    </row>
    <row r="47" spans="1:13" x14ac:dyDescent="0.25">
      <c r="A47" s="5" t="s">
        <v>173</v>
      </c>
      <c r="B47" s="5">
        <v>5</v>
      </c>
      <c r="C47" s="5">
        <v>5</v>
      </c>
      <c r="D47" s="5">
        <v>19</v>
      </c>
      <c r="E47" s="5">
        <v>0</v>
      </c>
      <c r="F47" s="5">
        <v>165</v>
      </c>
      <c r="G47" s="5">
        <v>5</v>
      </c>
      <c r="H47" s="5">
        <v>33</v>
      </c>
      <c r="I47" s="5">
        <v>8.68</v>
      </c>
      <c r="J47" s="5">
        <v>22.8</v>
      </c>
      <c r="K47" s="5">
        <v>0</v>
      </c>
      <c r="L47" s="5">
        <v>0</v>
      </c>
      <c r="M47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10</v>
      </c>
    </row>
    <row r="48" spans="1:13" x14ac:dyDescent="0.25">
      <c r="A48" s="5" t="s">
        <v>170</v>
      </c>
      <c r="B48" s="5">
        <v>7</v>
      </c>
      <c r="C48" s="5">
        <v>7</v>
      </c>
      <c r="D48" s="5">
        <v>27</v>
      </c>
      <c r="E48" s="5">
        <v>0</v>
      </c>
      <c r="F48" s="5">
        <v>242</v>
      </c>
      <c r="G48" s="5">
        <v>6</v>
      </c>
      <c r="H48" s="5">
        <v>40.33</v>
      </c>
      <c r="I48" s="5">
        <v>8.9600000000000009</v>
      </c>
      <c r="J48" s="5">
        <v>27</v>
      </c>
      <c r="K48" s="5">
        <v>0</v>
      </c>
      <c r="L48" s="5">
        <v>0</v>
      </c>
      <c r="M48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9</v>
      </c>
    </row>
    <row r="49" spans="1:13" x14ac:dyDescent="0.25">
      <c r="A49" s="5" t="s">
        <v>167</v>
      </c>
      <c r="B49" s="5">
        <v>6</v>
      </c>
      <c r="C49" s="5">
        <v>6</v>
      </c>
      <c r="D49" s="5">
        <v>23</v>
      </c>
      <c r="E49" s="5">
        <v>0</v>
      </c>
      <c r="F49" s="5">
        <v>222</v>
      </c>
      <c r="G49" s="5">
        <v>7</v>
      </c>
      <c r="H49" s="5">
        <v>31.71</v>
      </c>
      <c r="I49" s="5">
        <v>9.65</v>
      </c>
      <c r="J49" s="5">
        <v>19.7</v>
      </c>
      <c r="K49" s="5">
        <v>0</v>
      </c>
      <c r="L49" s="5">
        <v>0</v>
      </c>
      <c r="M49" s="5">
        <f>(IF(Table4[[#This Row],[Econ]]&gt;=1,IF(Table4[[#This Row],[Econ]]&lt;=5,Table4[[#This Row],[Wkts]]*2,IF(Table4[[#This Row],[Econ]]&gt;=6,IF(Table4[[#This Row],[Econ]]&lt;=8,Table4[[#This Row],[Wkts]]*1.5,IF(Table4[[#This Row],[Econ]]&gt;8,Table4[[#This Row],[Wkts]]*1))))))+Table4[[#This Row],[4]]*10+Table4[[#This Row],[Mdns]]*8+IF(Table4[[#This Row],[SR]]&gt;=10,IF(Table4[[#This Row],[SR]]&lt;=19,Table4[[#This Row],[Wkts]]*2,IF(Table4[[#This Row],[SR]]&gt;=20,IF(Table4[[#This Row],[SR]]&lt;=25,Table4[[#This Row],[Wkts]]*1,IF(Table4[[#This Row],[SR]]&gt;25,Table4[[#This Row],[Wkts]]*0.5)))))</f>
        <v>7</v>
      </c>
    </row>
    <row r="326" spans="1:1" x14ac:dyDescent="0.25">
      <c r="A326" s="5" t="s">
        <v>101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workbookViewId="0">
      <selection activeCell="B23" sqref="B23:C29"/>
    </sheetView>
  </sheetViews>
  <sheetFormatPr defaultRowHeight="15" x14ac:dyDescent="0.25"/>
  <cols>
    <col min="1" max="1" width="5.7109375" customWidth="1"/>
    <col min="2" max="2" width="18" customWidth="1"/>
    <col min="16" max="16" width="11" customWidth="1"/>
  </cols>
  <sheetData>
    <row r="1" spans="2:19" x14ac:dyDescent="0.25">
      <c r="B1" s="23" t="s">
        <v>0</v>
      </c>
      <c r="C1" s="24" t="s">
        <v>37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46</v>
      </c>
      <c r="I1" s="24" t="s">
        <v>47</v>
      </c>
      <c r="J1" s="24" t="s">
        <v>48</v>
      </c>
      <c r="K1" s="24" t="s">
        <v>174</v>
      </c>
      <c r="L1" s="24" t="s">
        <v>175</v>
      </c>
      <c r="M1" s="24" t="s">
        <v>176</v>
      </c>
      <c r="N1" s="24" t="s">
        <v>6</v>
      </c>
      <c r="O1" s="24" t="s">
        <v>7</v>
      </c>
      <c r="P1" s="24" t="s">
        <v>183</v>
      </c>
    </row>
    <row r="2" spans="2:19" x14ac:dyDescent="0.25">
      <c r="B2" s="25" t="s">
        <v>100</v>
      </c>
      <c r="C2" s="26">
        <v>14</v>
      </c>
      <c r="D2" s="26">
        <v>13</v>
      </c>
      <c r="E2" s="26">
        <v>4</v>
      </c>
      <c r="F2" s="26">
        <v>510</v>
      </c>
      <c r="G2" s="26" t="s">
        <v>144</v>
      </c>
      <c r="H2" s="26">
        <v>56.66</v>
      </c>
      <c r="I2" s="26">
        <v>249</v>
      </c>
      <c r="J2" s="26">
        <v>204.81</v>
      </c>
      <c r="K2" s="26">
        <v>0</v>
      </c>
      <c r="L2" s="26">
        <v>4</v>
      </c>
      <c r="M2" s="26">
        <v>1</v>
      </c>
      <c r="N2" s="26">
        <v>31</v>
      </c>
      <c r="O2" s="26">
        <v>52</v>
      </c>
      <c r="P2" s="26">
        <v>1349</v>
      </c>
      <c r="Q2" s="170" t="s">
        <v>203</v>
      </c>
      <c r="R2" s="170"/>
      <c r="S2" s="170"/>
    </row>
    <row r="3" spans="2:19" x14ac:dyDescent="0.25">
      <c r="B3" s="27" t="s">
        <v>80</v>
      </c>
      <c r="C3" s="28">
        <v>16</v>
      </c>
      <c r="D3" s="28">
        <v>15</v>
      </c>
      <c r="E3" s="28">
        <v>6</v>
      </c>
      <c r="F3" s="28">
        <v>402</v>
      </c>
      <c r="G3" s="28">
        <v>91</v>
      </c>
      <c r="H3" s="28">
        <v>44.66</v>
      </c>
      <c r="I3" s="28">
        <v>210</v>
      </c>
      <c r="J3" s="28">
        <v>191.42</v>
      </c>
      <c r="K3" s="28">
        <v>0</v>
      </c>
      <c r="L3" s="28">
        <v>1</v>
      </c>
      <c r="M3" s="28">
        <v>1</v>
      </c>
      <c r="N3" s="28">
        <v>28</v>
      </c>
      <c r="O3" s="28">
        <v>29</v>
      </c>
      <c r="P3" s="28">
        <v>606</v>
      </c>
      <c r="Q3" s="170"/>
      <c r="R3" s="170"/>
      <c r="S3" s="170"/>
    </row>
    <row r="4" spans="2:19" x14ac:dyDescent="0.25">
      <c r="B4" s="25" t="s">
        <v>152</v>
      </c>
      <c r="C4" s="26">
        <v>11</v>
      </c>
      <c r="D4" s="26">
        <v>10</v>
      </c>
      <c r="E4" s="26">
        <v>2</v>
      </c>
      <c r="F4" s="26">
        <v>220</v>
      </c>
      <c r="G4" s="26">
        <v>66</v>
      </c>
      <c r="H4" s="26">
        <v>27.5</v>
      </c>
      <c r="I4" s="26">
        <v>133</v>
      </c>
      <c r="J4" s="26">
        <v>165.41</v>
      </c>
      <c r="K4" s="26">
        <v>0</v>
      </c>
      <c r="L4" s="26">
        <v>2</v>
      </c>
      <c r="M4" s="26">
        <v>0</v>
      </c>
      <c r="N4" s="26">
        <v>16</v>
      </c>
      <c r="O4" s="26">
        <v>17</v>
      </c>
      <c r="P4" s="26">
        <v>352</v>
      </c>
      <c r="Q4" s="170"/>
      <c r="R4" s="170"/>
      <c r="S4" s="170"/>
    </row>
    <row r="5" spans="2:19" x14ac:dyDescent="0.25">
      <c r="B5" s="25" t="s">
        <v>137</v>
      </c>
      <c r="C5" s="26">
        <v>16</v>
      </c>
      <c r="D5" s="26">
        <v>15</v>
      </c>
      <c r="E5" s="26">
        <v>4</v>
      </c>
      <c r="F5" s="26">
        <v>183</v>
      </c>
      <c r="G5" s="26">
        <v>42</v>
      </c>
      <c r="H5" s="26">
        <v>16.63</v>
      </c>
      <c r="I5" s="26">
        <v>150</v>
      </c>
      <c r="J5" s="26">
        <v>122</v>
      </c>
      <c r="K5" s="26">
        <v>0</v>
      </c>
      <c r="L5" s="26">
        <v>0</v>
      </c>
      <c r="M5" s="26">
        <v>1</v>
      </c>
      <c r="N5" s="26">
        <v>18</v>
      </c>
      <c r="O5" s="26">
        <v>5</v>
      </c>
      <c r="P5" s="26">
        <v>253</v>
      </c>
      <c r="Q5" s="170"/>
      <c r="R5" s="170"/>
      <c r="S5" s="170"/>
    </row>
    <row r="6" spans="2:19" x14ac:dyDescent="0.25">
      <c r="B6" s="27" t="s">
        <v>98</v>
      </c>
      <c r="C6" s="28">
        <v>12</v>
      </c>
      <c r="D6" s="28">
        <v>9</v>
      </c>
      <c r="E6" s="28">
        <v>1</v>
      </c>
      <c r="F6" s="28">
        <v>143</v>
      </c>
      <c r="G6" s="28">
        <v>47</v>
      </c>
      <c r="H6" s="28">
        <v>17.87</v>
      </c>
      <c r="I6" s="28">
        <v>86</v>
      </c>
      <c r="J6" s="28">
        <v>166.27</v>
      </c>
      <c r="K6" s="28">
        <v>0</v>
      </c>
      <c r="L6" s="28">
        <v>0</v>
      </c>
      <c r="M6" s="28">
        <v>0</v>
      </c>
      <c r="N6" s="28">
        <v>17</v>
      </c>
      <c r="O6" s="28">
        <v>9</v>
      </c>
      <c r="P6" s="28">
        <v>230</v>
      </c>
    </row>
    <row r="7" spans="2:19" x14ac:dyDescent="0.25">
      <c r="B7" s="27" t="s">
        <v>42</v>
      </c>
      <c r="C7" s="28">
        <v>8</v>
      </c>
      <c r="D7" s="28">
        <v>7</v>
      </c>
      <c r="E7" s="28">
        <v>1</v>
      </c>
      <c r="F7" s="28">
        <v>115</v>
      </c>
      <c r="G7" s="28">
        <v>31</v>
      </c>
      <c r="H7" s="28">
        <v>19.16</v>
      </c>
      <c r="I7" s="28">
        <v>76</v>
      </c>
      <c r="J7" s="28">
        <v>151.31</v>
      </c>
      <c r="K7" s="28">
        <v>0</v>
      </c>
      <c r="L7" s="28">
        <v>0</v>
      </c>
      <c r="M7" s="28">
        <v>0</v>
      </c>
      <c r="N7" s="28">
        <v>8</v>
      </c>
      <c r="O7" s="28">
        <v>7</v>
      </c>
      <c r="P7" s="28">
        <v>167</v>
      </c>
    </row>
    <row r="8" spans="2:19" x14ac:dyDescent="0.25">
      <c r="B8" s="25" t="s">
        <v>79</v>
      </c>
      <c r="C8" s="26">
        <v>9</v>
      </c>
      <c r="D8" s="26">
        <v>9</v>
      </c>
      <c r="E8" s="26">
        <v>3</v>
      </c>
      <c r="F8" s="26">
        <v>123</v>
      </c>
      <c r="G8" s="26">
        <v>46</v>
      </c>
      <c r="H8" s="26">
        <v>20.5</v>
      </c>
      <c r="I8" s="26">
        <v>99</v>
      </c>
      <c r="J8" s="26">
        <v>124.24</v>
      </c>
      <c r="K8" s="26">
        <v>0</v>
      </c>
      <c r="L8" s="26">
        <v>0</v>
      </c>
      <c r="M8" s="26">
        <v>1</v>
      </c>
      <c r="N8" s="26">
        <v>8</v>
      </c>
      <c r="O8" s="26">
        <v>4</v>
      </c>
      <c r="P8" s="26">
        <v>159</v>
      </c>
    </row>
    <row r="9" spans="2:19" x14ac:dyDescent="0.25">
      <c r="B9" s="27" t="s">
        <v>99</v>
      </c>
      <c r="C9" s="28">
        <v>14</v>
      </c>
      <c r="D9" s="28">
        <v>12</v>
      </c>
      <c r="E9" s="28">
        <v>6</v>
      </c>
      <c r="F9" s="28">
        <v>110</v>
      </c>
      <c r="G9" s="28">
        <v>26</v>
      </c>
      <c r="H9" s="28">
        <v>18.329999999999998</v>
      </c>
      <c r="I9" s="28">
        <v>88</v>
      </c>
      <c r="J9" s="28">
        <v>125</v>
      </c>
      <c r="K9" s="28">
        <v>0</v>
      </c>
      <c r="L9" s="28">
        <v>0</v>
      </c>
      <c r="M9" s="28">
        <v>1</v>
      </c>
      <c r="N9" s="28">
        <v>10</v>
      </c>
      <c r="O9" s="28">
        <v>3</v>
      </c>
      <c r="P9" s="28">
        <v>148</v>
      </c>
    </row>
    <row r="12" spans="2:19" x14ac:dyDescent="0.25">
      <c r="B12" s="61" t="s">
        <v>0</v>
      </c>
      <c r="C12" s="62" t="s">
        <v>37</v>
      </c>
      <c r="D12" s="62" t="s">
        <v>1</v>
      </c>
      <c r="E12" s="62" t="s">
        <v>38</v>
      </c>
      <c r="F12" s="62" t="s">
        <v>39</v>
      </c>
      <c r="G12" s="62" t="s">
        <v>3</v>
      </c>
      <c r="H12" s="62" t="s">
        <v>40</v>
      </c>
      <c r="I12" s="62" t="s">
        <v>46</v>
      </c>
      <c r="J12" s="62" t="s">
        <v>103</v>
      </c>
      <c r="K12" s="62" t="s">
        <v>48</v>
      </c>
      <c r="L12" s="62" t="s">
        <v>142</v>
      </c>
      <c r="M12" s="62" t="s">
        <v>143</v>
      </c>
      <c r="N12" s="63" t="s">
        <v>183</v>
      </c>
    </row>
    <row r="13" spans="2:19" x14ac:dyDescent="0.25">
      <c r="B13" s="25" t="s">
        <v>100</v>
      </c>
      <c r="C13" s="65">
        <v>14</v>
      </c>
      <c r="D13" s="65">
        <v>12</v>
      </c>
      <c r="E13" s="65">
        <v>30.1</v>
      </c>
      <c r="F13" s="65">
        <v>0</v>
      </c>
      <c r="G13" s="65">
        <v>287</v>
      </c>
      <c r="H13" s="65">
        <v>11</v>
      </c>
      <c r="I13" s="65">
        <v>26.09</v>
      </c>
      <c r="J13" s="65">
        <v>9.51</v>
      </c>
      <c r="K13" s="65">
        <v>16.399999999999999</v>
      </c>
      <c r="L13" s="65">
        <v>0</v>
      </c>
      <c r="M13" s="65">
        <v>0</v>
      </c>
      <c r="N13">
        <f>IF(J13&gt;=1,IF(J13&lt;=5,H13*2,IF(J13&gt;=6,IF(J13&lt;=8,H13*1.5,IF(J13&gt;8,H13*1)))))+L13*10+F13*8+IF(K13&gt;=10,IF(K13&lt;=19,H13*2,IF(K13&gt;=20,IF(K13&lt;=25,H13*1,IF(K13&gt;25,H13*0.5)))))</f>
        <v>33</v>
      </c>
    </row>
    <row r="14" spans="2:19" x14ac:dyDescent="0.25">
      <c r="B14" s="27" t="s">
        <v>80</v>
      </c>
      <c r="C14" s="64">
        <v>16</v>
      </c>
      <c r="D14" s="64">
        <v>16</v>
      </c>
      <c r="E14" s="64">
        <v>42.3</v>
      </c>
      <c r="F14" s="64">
        <v>0</v>
      </c>
      <c r="G14" s="64">
        <v>390</v>
      </c>
      <c r="H14" s="64">
        <v>14</v>
      </c>
      <c r="I14" s="64">
        <v>27.85</v>
      </c>
      <c r="J14" s="64">
        <v>9.17</v>
      </c>
      <c r="K14" s="64">
        <v>18.2</v>
      </c>
      <c r="L14" s="64">
        <v>0</v>
      </c>
      <c r="M14" s="64">
        <v>0</v>
      </c>
      <c r="N14">
        <f t="shared" ref="N14:N20" si="0">IF(J14&gt;=1,IF(J14&lt;=5,H14*2,IF(J14&gt;=6,IF(J14&lt;=8,H14*1.5,IF(J14&gt;8,H14*1)))))+L14*10+F14*8+IF(K14&gt;=10,IF(K14&lt;=19,H14*2,IF(K14&gt;=20,IF(K14&lt;=25,H14*1,IF(K14&gt;25,H14*0.5)))))</f>
        <v>42</v>
      </c>
      <c r="O14" s="170" t="s">
        <v>206</v>
      </c>
      <c r="P14" s="170"/>
      <c r="Q14" s="170"/>
    </row>
    <row r="15" spans="2:19" x14ac:dyDescent="0.25">
      <c r="B15" s="25" t="s">
        <v>152</v>
      </c>
      <c r="C15" s="64">
        <v>11</v>
      </c>
      <c r="D15" s="64">
        <v>9</v>
      </c>
      <c r="E15" s="64">
        <v>25</v>
      </c>
      <c r="F15" s="64">
        <v>0</v>
      </c>
      <c r="G15" s="64">
        <v>169</v>
      </c>
      <c r="H15" s="64">
        <v>6</v>
      </c>
      <c r="I15" s="64">
        <v>28.16</v>
      </c>
      <c r="J15" s="64">
        <v>6.76</v>
      </c>
      <c r="K15" s="64">
        <v>25</v>
      </c>
      <c r="L15" s="64">
        <v>0</v>
      </c>
      <c r="M15" s="64">
        <v>0</v>
      </c>
      <c r="N15">
        <f t="shared" si="0"/>
        <v>15</v>
      </c>
      <c r="O15" s="170"/>
      <c r="P15" s="170"/>
      <c r="Q15" s="170"/>
    </row>
    <row r="16" spans="2:19" x14ac:dyDescent="0.25">
      <c r="B16" s="25" t="s">
        <v>137</v>
      </c>
      <c r="C16" s="65">
        <v>16</v>
      </c>
      <c r="D16" s="65">
        <v>16</v>
      </c>
      <c r="E16" s="65">
        <v>46</v>
      </c>
      <c r="F16" s="65">
        <v>0</v>
      </c>
      <c r="G16" s="65">
        <v>335</v>
      </c>
      <c r="H16" s="65">
        <v>12</v>
      </c>
      <c r="I16" s="65">
        <v>27.91</v>
      </c>
      <c r="J16" s="65">
        <v>7.28</v>
      </c>
      <c r="K16" s="65">
        <v>23</v>
      </c>
      <c r="L16" s="65">
        <v>0</v>
      </c>
      <c r="M16" s="65">
        <v>0</v>
      </c>
      <c r="N16">
        <f t="shared" si="0"/>
        <v>30</v>
      </c>
      <c r="O16" s="170"/>
      <c r="P16" s="170"/>
      <c r="Q16" s="170"/>
    </row>
    <row r="17" spans="2:17" x14ac:dyDescent="0.25">
      <c r="B17" s="27" t="s">
        <v>98</v>
      </c>
      <c r="C17" s="64">
        <v>12</v>
      </c>
      <c r="D17" s="64">
        <v>12</v>
      </c>
      <c r="E17" s="64">
        <v>44.2</v>
      </c>
      <c r="F17" s="64">
        <v>1</v>
      </c>
      <c r="G17" s="64">
        <v>347</v>
      </c>
      <c r="H17" s="64">
        <v>10</v>
      </c>
      <c r="I17" s="64">
        <v>34.700000000000003</v>
      </c>
      <c r="J17" s="64">
        <v>7.82</v>
      </c>
      <c r="K17" s="64">
        <v>26.6</v>
      </c>
      <c r="L17" s="64">
        <v>0</v>
      </c>
      <c r="M17" s="64">
        <v>0</v>
      </c>
      <c r="N17">
        <f t="shared" si="0"/>
        <v>28</v>
      </c>
      <c r="O17" s="170"/>
      <c r="P17" s="170"/>
      <c r="Q17" s="170"/>
    </row>
    <row r="18" spans="2:17" x14ac:dyDescent="0.25">
      <c r="B18" s="27" t="s">
        <v>42</v>
      </c>
      <c r="C18" s="65">
        <v>8</v>
      </c>
      <c r="D18" s="65">
        <v>8</v>
      </c>
      <c r="E18" s="65">
        <v>29.1</v>
      </c>
      <c r="F18" s="65">
        <v>0</v>
      </c>
      <c r="G18" s="65">
        <v>194</v>
      </c>
      <c r="H18" s="65">
        <v>8</v>
      </c>
      <c r="I18" s="65">
        <v>24.25</v>
      </c>
      <c r="J18" s="65">
        <v>6.65</v>
      </c>
      <c r="K18" s="65">
        <v>21.8</v>
      </c>
      <c r="L18" s="65">
        <v>1</v>
      </c>
      <c r="M18" s="65">
        <v>0</v>
      </c>
      <c r="N18">
        <f t="shared" si="0"/>
        <v>30</v>
      </c>
    </row>
    <row r="19" spans="2:17" x14ac:dyDescent="0.25">
      <c r="B19" s="25" t="s">
        <v>79</v>
      </c>
      <c r="C19" s="65">
        <v>9</v>
      </c>
      <c r="D19" s="65">
        <v>6</v>
      </c>
      <c r="E19" s="65">
        <v>16.5</v>
      </c>
      <c r="F19" s="65">
        <v>0</v>
      </c>
      <c r="G19" s="65">
        <v>189</v>
      </c>
      <c r="H19" s="65">
        <v>6</v>
      </c>
      <c r="I19" s="65">
        <v>31.5</v>
      </c>
      <c r="J19" s="65">
        <v>11.22</v>
      </c>
      <c r="K19" s="65">
        <v>16.8</v>
      </c>
      <c r="L19" s="65">
        <v>0</v>
      </c>
      <c r="M19" s="65">
        <v>0</v>
      </c>
      <c r="N19">
        <f t="shared" si="0"/>
        <v>18</v>
      </c>
    </row>
    <row r="20" spans="2:17" x14ac:dyDescent="0.25">
      <c r="B20" s="27" t="s">
        <v>99</v>
      </c>
      <c r="C20" s="64">
        <v>14</v>
      </c>
      <c r="D20" s="64">
        <v>14</v>
      </c>
      <c r="E20" s="64">
        <v>51</v>
      </c>
      <c r="F20" s="64">
        <v>0</v>
      </c>
      <c r="G20" s="64">
        <v>364</v>
      </c>
      <c r="H20" s="64">
        <v>10</v>
      </c>
      <c r="I20" s="64">
        <v>36.4</v>
      </c>
      <c r="J20" s="64">
        <v>7.13</v>
      </c>
      <c r="K20" s="64">
        <v>30.6</v>
      </c>
      <c r="L20" s="64">
        <v>0</v>
      </c>
      <c r="M20" s="64">
        <v>0</v>
      </c>
      <c r="N20">
        <f t="shared" si="0"/>
        <v>20</v>
      </c>
    </row>
    <row r="22" spans="2:17" ht="15.75" x14ac:dyDescent="0.25">
      <c r="B22" s="66" t="s">
        <v>205</v>
      </c>
      <c r="C22" s="67" t="s">
        <v>183</v>
      </c>
    </row>
    <row r="23" spans="2:17" x14ac:dyDescent="0.25">
      <c r="B23" s="25" t="s">
        <v>100</v>
      </c>
      <c r="C23">
        <f>P2+N13</f>
        <v>1382</v>
      </c>
    </row>
    <row r="24" spans="2:17" x14ac:dyDescent="0.25">
      <c r="B24" s="27" t="s">
        <v>80</v>
      </c>
      <c r="C24">
        <f>P3+N14</f>
        <v>648</v>
      </c>
    </row>
    <row r="25" spans="2:17" x14ac:dyDescent="0.25">
      <c r="B25" s="25" t="s">
        <v>152</v>
      </c>
      <c r="C25">
        <f>P4+N15</f>
        <v>367</v>
      </c>
    </row>
    <row r="26" spans="2:17" x14ac:dyDescent="0.25">
      <c r="B26" s="25" t="s">
        <v>137</v>
      </c>
      <c r="C26">
        <f>P5+N16</f>
        <v>283</v>
      </c>
    </row>
    <row r="27" spans="2:17" x14ac:dyDescent="0.25">
      <c r="B27" s="27" t="s">
        <v>98</v>
      </c>
      <c r="C27">
        <f>N17+P6</f>
        <v>258</v>
      </c>
    </row>
    <row r="28" spans="2:17" x14ac:dyDescent="0.25">
      <c r="B28" s="27" t="s">
        <v>42</v>
      </c>
      <c r="C28">
        <f>N18+P7</f>
        <v>197</v>
      </c>
    </row>
    <row r="29" spans="2:17" x14ac:dyDescent="0.25">
      <c r="B29" s="25" t="s">
        <v>79</v>
      </c>
      <c r="C29">
        <f>P8+N19</f>
        <v>177</v>
      </c>
    </row>
    <row r="30" spans="2:17" x14ac:dyDescent="0.25">
      <c r="B30" s="27" t="s">
        <v>99</v>
      </c>
      <c r="C30">
        <f>N20+P9</f>
        <v>168</v>
      </c>
    </row>
  </sheetData>
  <mergeCells count="2">
    <mergeCell ref="Q2:S5"/>
    <mergeCell ref="O14:Q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zoomScale="115" zoomScaleNormal="115" workbookViewId="0">
      <selection activeCell="A23" sqref="A23:O37"/>
    </sheetView>
  </sheetViews>
  <sheetFormatPr defaultRowHeight="15" x14ac:dyDescent="0.25"/>
  <cols>
    <col min="1" max="1" width="16.140625" customWidth="1"/>
    <col min="15" max="15" width="15.28515625" customWidth="1"/>
    <col min="16" max="16" width="12.85546875" customWidth="1"/>
    <col min="17" max="17" width="10.28515625" customWidth="1"/>
    <col min="18" max="18" width="11.5703125" customWidth="1"/>
    <col min="19" max="19" width="10.5703125" customWidth="1"/>
  </cols>
  <sheetData>
    <row r="2" spans="1:18" ht="21" x14ac:dyDescent="0.35">
      <c r="A2" s="97" t="s">
        <v>215</v>
      </c>
      <c r="B2" s="94"/>
    </row>
    <row r="3" spans="1:18" x14ac:dyDescent="0.25">
      <c r="A3" s="37" t="s">
        <v>0</v>
      </c>
      <c r="B3" s="38" t="s">
        <v>37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46</v>
      </c>
      <c r="H3" s="38" t="s">
        <v>47</v>
      </c>
      <c r="I3" s="38" t="s">
        <v>48</v>
      </c>
      <c r="J3" s="38" t="s">
        <v>174</v>
      </c>
      <c r="K3" s="38" t="s">
        <v>175</v>
      </c>
      <c r="L3" s="38" t="s">
        <v>176</v>
      </c>
      <c r="M3" s="38" t="s">
        <v>6</v>
      </c>
      <c r="N3" s="38" t="s">
        <v>7</v>
      </c>
      <c r="O3" s="38" t="s">
        <v>183</v>
      </c>
    </row>
    <row r="4" spans="1:18" ht="15.75" x14ac:dyDescent="0.25">
      <c r="A4" s="33" t="s">
        <v>50</v>
      </c>
      <c r="B4" s="34">
        <v>17</v>
      </c>
      <c r="C4" s="34">
        <v>17</v>
      </c>
      <c r="D4" s="34">
        <v>3</v>
      </c>
      <c r="E4" s="34">
        <v>618</v>
      </c>
      <c r="F4" s="34" t="s">
        <v>26</v>
      </c>
      <c r="G4" s="34">
        <v>44.14</v>
      </c>
      <c r="H4" s="34">
        <v>427</v>
      </c>
      <c r="I4" s="34">
        <v>210.69</v>
      </c>
      <c r="J4" s="34">
        <v>2</v>
      </c>
      <c r="K4" s="34">
        <v>4</v>
      </c>
      <c r="L4" s="34">
        <v>4</v>
      </c>
      <c r="M4" s="34">
        <v>67</v>
      </c>
      <c r="N4" s="34">
        <v>12</v>
      </c>
      <c r="O4" s="34">
        <v>1568</v>
      </c>
      <c r="P4" s="84" t="s">
        <v>193</v>
      </c>
      <c r="Q4" s="85" t="str">
        <f>INDEX(A4:A18,MATCH(MAX(O4:O18),O4:O18,0))</f>
        <v>S Dhawan</v>
      </c>
      <c r="R4" s="86">
        <f>MAX(O4:O18)*2</f>
        <v>3136</v>
      </c>
    </row>
    <row r="5" spans="1:18" ht="15.75" x14ac:dyDescent="0.25">
      <c r="A5" s="35" t="s">
        <v>58</v>
      </c>
      <c r="B5" s="36">
        <v>15</v>
      </c>
      <c r="C5" s="36">
        <v>15</v>
      </c>
      <c r="D5" s="36">
        <v>4</v>
      </c>
      <c r="E5" s="36">
        <v>466</v>
      </c>
      <c r="F5" s="36" t="s">
        <v>59</v>
      </c>
      <c r="G5" s="36">
        <v>42.36</v>
      </c>
      <c r="H5" s="36">
        <v>384</v>
      </c>
      <c r="I5" s="36">
        <v>223.63</v>
      </c>
      <c r="J5" s="36">
        <v>0</v>
      </c>
      <c r="K5" s="36">
        <v>3</v>
      </c>
      <c r="L5" s="36">
        <v>0</v>
      </c>
      <c r="M5" s="36">
        <v>23</v>
      </c>
      <c r="N5" s="36">
        <v>11</v>
      </c>
      <c r="O5" s="36">
        <v>1069</v>
      </c>
      <c r="P5" s="87" t="s">
        <v>195</v>
      </c>
      <c r="Q5" s="88" t="str">
        <f>INDEX(A4:A18,MATCH(LARGE(O4:O18,2),O4:O18,0))</f>
        <v>V Kohli</v>
      </c>
      <c r="R5" s="89">
        <f>LARGE(O4:O18,2)*1.5</f>
        <v>1603.5</v>
      </c>
    </row>
    <row r="6" spans="1:18" ht="15.75" x14ac:dyDescent="0.25">
      <c r="A6" s="33" t="s">
        <v>49</v>
      </c>
      <c r="B6" s="34">
        <v>14</v>
      </c>
      <c r="C6" s="34">
        <v>14</v>
      </c>
      <c r="D6" s="34">
        <v>2</v>
      </c>
      <c r="E6" s="34">
        <v>670</v>
      </c>
      <c r="F6" s="34" t="s">
        <v>19</v>
      </c>
      <c r="G6" s="34">
        <v>55.83</v>
      </c>
      <c r="H6" s="34">
        <v>518</v>
      </c>
      <c r="I6" s="34">
        <v>129.34</v>
      </c>
      <c r="J6" s="34">
        <v>1</v>
      </c>
      <c r="K6" s="34">
        <v>5</v>
      </c>
      <c r="L6" s="34">
        <v>0</v>
      </c>
      <c r="M6" s="34">
        <v>58</v>
      </c>
      <c r="N6" s="34">
        <v>23</v>
      </c>
      <c r="O6" s="34">
        <v>992</v>
      </c>
      <c r="P6" s="90" t="s">
        <v>216</v>
      </c>
      <c r="Q6" s="91"/>
      <c r="R6" s="95">
        <f>SUM(O6:O18,R4:R5)</f>
        <v>14443.5</v>
      </c>
    </row>
    <row r="7" spans="1:18" x14ac:dyDescent="0.25">
      <c r="A7" s="35" t="s">
        <v>51</v>
      </c>
      <c r="B7" s="36">
        <v>16</v>
      </c>
      <c r="C7" s="36">
        <v>16</v>
      </c>
      <c r="D7" s="36">
        <v>2</v>
      </c>
      <c r="E7" s="36">
        <v>548</v>
      </c>
      <c r="F7" s="36" t="s">
        <v>52</v>
      </c>
      <c r="G7" s="36">
        <v>39.14</v>
      </c>
      <c r="H7" s="36">
        <v>407</v>
      </c>
      <c r="I7" s="36">
        <v>134.63999999999999</v>
      </c>
      <c r="J7" s="36">
        <v>0</v>
      </c>
      <c r="K7" s="36">
        <v>4</v>
      </c>
      <c r="L7" s="36">
        <v>0</v>
      </c>
      <c r="M7" s="36">
        <v>52</v>
      </c>
      <c r="N7" s="36">
        <v>14</v>
      </c>
      <c r="O7" s="36">
        <v>876</v>
      </c>
    </row>
    <row r="8" spans="1:18" x14ac:dyDescent="0.25">
      <c r="A8" s="33" t="s">
        <v>54</v>
      </c>
      <c r="B8" s="34">
        <v>14</v>
      </c>
      <c r="C8" s="34">
        <v>13</v>
      </c>
      <c r="D8" s="34">
        <v>4</v>
      </c>
      <c r="E8" s="34">
        <v>516</v>
      </c>
      <c r="F8" s="34">
        <v>99</v>
      </c>
      <c r="G8" s="34">
        <v>57.33</v>
      </c>
      <c r="H8" s="34">
        <v>354</v>
      </c>
      <c r="I8" s="34">
        <v>145.76</v>
      </c>
      <c r="J8" s="34">
        <v>0</v>
      </c>
      <c r="K8" s="34">
        <v>4</v>
      </c>
      <c r="L8" s="34">
        <v>1</v>
      </c>
      <c r="M8" s="34">
        <v>36</v>
      </c>
      <c r="N8" s="34">
        <v>30</v>
      </c>
      <c r="O8" s="34">
        <v>772</v>
      </c>
    </row>
    <row r="9" spans="1:18" x14ac:dyDescent="0.25">
      <c r="A9" s="35" t="s">
        <v>55</v>
      </c>
      <c r="B9" s="36">
        <v>16</v>
      </c>
      <c r="C9" s="36">
        <v>16</v>
      </c>
      <c r="D9" s="36">
        <v>2</v>
      </c>
      <c r="E9" s="36">
        <v>503</v>
      </c>
      <c r="F9" s="36" t="s">
        <v>29</v>
      </c>
      <c r="G9" s="36">
        <v>35.92</v>
      </c>
      <c r="H9" s="36">
        <v>358</v>
      </c>
      <c r="I9" s="36">
        <v>140.5</v>
      </c>
      <c r="J9" s="36">
        <v>0</v>
      </c>
      <c r="K9" s="36">
        <v>4</v>
      </c>
      <c r="L9" s="36">
        <v>1</v>
      </c>
      <c r="M9" s="36">
        <v>46</v>
      </c>
      <c r="N9" s="36">
        <v>22</v>
      </c>
      <c r="O9" s="36">
        <v>757</v>
      </c>
    </row>
    <row r="10" spans="1:18" x14ac:dyDescent="0.25">
      <c r="A10" s="33" t="s">
        <v>56</v>
      </c>
      <c r="B10" s="34">
        <v>16</v>
      </c>
      <c r="C10" s="34">
        <v>15</v>
      </c>
      <c r="D10" s="34">
        <v>3</v>
      </c>
      <c r="E10" s="34">
        <v>480</v>
      </c>
      <c r="F10" s="34" t="s">
        <v>22</v>
      </c>
      <c r="G10" s="34">
        <v>40</v>
      </c>
      <c r="H10" s="34">
        <v>331</v>
      </c>
      <c r="I10" s="34">
        <v>145.01</v>
      </c>
      <c r="J10" s="34">
        <v>0</v>
      </c>
      <c r="K10" s="34">
        <v>4</v>
      </c>
      <c r="L10" s="34">
        <v>2</v>
      </c>
      <c r="M10" s="34">
        <v>61</v>
      </c>
      <c r="N10" s="34">
        <v>11</v>
      </c>
      <c r="O10" s="34">
        <v>787</v>
      </c>
    </row>
    <row r="11" spans="1:18" x14ac:dyDescent="0.25">
      <c r="A11" s="35" t="s">
        <v>53</v>
      </c>
      <c r="B11" s="36">
        <v>17</v>
      </c>
      <c r="C11" s="36">
        <v>17</v>
      </c>
      <c r="D11" s="36">
        <v>2</v>
      </c>
      <c r="E11" s="36">
        <v>519</v>
      </c>
      <c r="F11" s="36" t="s">
        <v>8</v>
      </c>
      <c r="G11" s="36">
        <v>34.6</v>
      </c>
      <c r="H11" s="36">
        <v>421</v>
      </c>
      <c r="I11" s="36">
        <v>123.27</v>
      </c>
      <c r="J11" s="36">
        <v>0</v>
      </c>
      <c r="K11" s="36">
        <v>3</v>
      </c>
      <c r="L11" s="36">
        <v>0</v>
      </c>
      <c r="M11" s="36">
        <v>40</v>
      </c>
      <c r="N11" s="36">
        <v>16</v>
      </c>
      <c r="O11" s="36">
        <v>727</v>
      </c>
    </row>
    <row r="12" spans="1:18" x14ac:dyDescent="0.25">
      <c r="A12" s="33" t="s">
        <v>57</v>
      </c>
      <c r="B12" s="34">
        <v>15</v>
      </c>
      <c r="C12" s="34">
        <v>15</v>
      </c>
      <c r="D12" s="34">
        <v>0</v>
      </c>
      <c r="E12" s="34">
        <v>473</v>
      </c>
      <c r="F12" s="34">
        <v>74</v>
      </c>
      <c r="G12" s="34">
        <v>31.53</v>
      </c>
      <c r="H12" s="34">
        <v>379</v>
      </c>
      <c r="I12" s="34">
        <v>124.8</v>
      </c>
      <c r="J12" s="34">
        <v>0</v>
      </c>
      <c r="K12" s="34">
        <v>5</v>
      </c>
      <c r="L12" s="34">
        <v>0</v>
      </c>
      <c r="M12" s="34">
        <v>51</v>
      </c>
      <c r="N12" s="34">
        <v>8</v>
      </c>
      <c r="O12" s="34">
        <v>754</v>
      </c>
    </row>
    <row r="13" spans="1:18" x14ac:dyDescent="0.25">
      <c r="A13" s="35" t="s">
        <v>60</v>
      </c>
      <c r="B13" s="36">
        <v>15</v>
      </c>
      <c r="C13" s="36">
        <v>14</v>
      </c>
      <c r="D13" s="36">
        <v>4</v>
      </c>
      <c r="E13" s="36">
        <v>454</v>
      </c>
      <c r="F13" s="36" t="s">
        <v>15</v>
      </c>
      <c r="G13" s="36">
        <v>45.4</v>
      </c>
      <c r="H13" s="36">
        <v>286</v>
      </c>
      <c r="I13" s="36">
        <v>158.74</v>
      </c>
      <c r="J13" s="36">
        <v>0</v>
      </c>
      <c r="K13" s="36">
        <v>5</v>
      </c>
      <c r="L13" s="36">
        <v>1</v>
      </c>
      <c r="M13" s="36">
        <v>33</v>
      </c>
      <c r="N13" s="36">
        <v>23</v>
      </c>
      <c r="O13" s="36">
        <v>681</v>
      </c>
    </row>
    <row r="14" spans="1:18" x14ac:dyDescent="0.25">
      <c r="A14" s="33" t="s">
        <v>61</v>
      </c>
      <c r="B14" s="34">
        <v>13</v>
      </c>
      <c r="C14" s="34">
        <v>13</v>
      </c>
      <c r="D14" s="34">
        <v>2</v>
      </c>
      <c r="E14" s="34">
        <v>449</v>
      </c>
      <c r="F14" s="34" t="s">
        <v>20</v>
      </c>
      <c r="G14" s="34">
        <v>40.81</v>
      </c>
      <c r="H14" s="34">
        <v>319</v>
      </c>
      <c r="I14" s="34">
        <v>140.75</v>
      </c>
      <c r="J14" s="34">
        <v>0</v>
      </c>
      <c r="K14" s="34">
        <v>4</v>
      </c>
      <c r="L14" s="34">
        <v>1</v>
      </c>
      <c r="M14" s="34">
        <v>42</v>
      </c>
      <c r="N14" s="34">
        <v>14</v>
      </c>
      <c r="O14" s="34">
        <v>743</v>
      </c>
    </row>
    <row r="15" spans="1:18" x14ac:dyDescent="0.25">
      <c r="A15" s="35" t="s">
        <v>64</v>
      </c>
      <c r="B15" s="36">
        <v>11</v>
      </c>
      <c r="C15" s="36">
        <v>11</v>
      </c>
      <c r="D15" s="36">
        <v>0</v>
      </c>
      <c r="E15" s="36">
        <v>424</v>
      </c>
      <c r="F15" s="36">
        <v>106</v>
      </c>
      <c r="G15" s="36">
        <v>38.54</v>
      </c>
      <c r="H15" s="36">
        <v>271</v>
      </c>
      <c r="I15" s="36">
        <v>156.44999999999999</v>
      </c>
      <c r="J15" s="36">
        <v>1</v>
      </c>
      <c r="K15" s="36">
        <v>2</v>
      </c>
      <c r="L15" s="36">
        <v>0</v>
      </c>
      <c r="M15" s="36">
        <v>44</v>
      </c>
      <c r="N15" s="36">
        <v>15</v>
      </c>
      <c r="O15" s="36">
        <v>690</v>
      </c>
    </row>
    <row r="16" spans="1:18" x14ac:dyDescent="0.25">
      <c r="A16" s="33" t="s">
        <v>62</v>
      </c>
      <c r="B16" s="34">
        <v>14</v>
      </c>
      <c r="C16" s="34">
        <v>14</v>
      </c>
      <c r="D16" s="34">
        <v>1</v>
      </c>
      <c r="E16" s="34">
        <v>440</v>
      </c>
      <c r="F16" s="34" t="s">
        <v>16</v>
      </c>
      <c r="G16" s="34">
        <v>33.840000000000003</v>
      </c>
      <c r="H16" s="34">
        <v>373</v>
      </c>
      <c r="I16" s="34">
        <v>117.96</v>
      </c>
      <c r="J16" s="34">
        <v>0</v>
      </c>
      <c r="K16" s="34">
        <v>3</v>
      </c>
      <c r="L16" s="34">
        <v>0</v>
      </c>
      <c r="M16" s="34">
        <v>44</v>
      </c>
      <c r="N16" s="34">
        <v>9</v>
      </c>
      <c r="O16" s="34">
        <v>632</v>
      </c>
    </row>
    <row r="17" spans="1:19" x14ac:dyDescent="0.25">
      <c r="A17" s="35" t="s">
        <v>63</v>
      </c>
      <c r="B17" s="36">
        <v>16</v>
      </c>
      <c r="C17" s="36">
        <v>15</v>
      </c>
      <c r="D17" s="36">
        <v>2</v>
      </c>
      <c r="E17" s="36">
        <v>425</v>
      </c>
      <c r="F17" s="36" t="s">
        <v>25</v>
      </c>
      <c r="G17" s="36">
        <v>32.69</v>
      </c>
      <c r="H17" s="36">
        <v>333</v>
      </c>
      <c r="I17" s="36">
        <v>127.62</v>
      </c>
      <c r="J17" s="36">
        <v>0</v>
      </c>
      <c r="K17" s="36">
        <v>3</v>
      </c>
      <c r="L17" s="36">
        <v>0</v>
      </c>
      <c r="M17" s="36">
        <v>35</v>
      </c>
      <c r="N17" s="36">
        <v>18</v>
      </c>
      <c r="O17" s="36">
        <v>675</v>
      </c>
    </row>
    <row r="18" spans="1:19" x14ac:dyDescent="0.25">
      <c r="A18" s="33" t="s">
        <v>65</v>
      </c>
      <c r="B18" s="34">
        <v>14</v>
      </c>
      <c r="C18" s="34">
        <v>14</v>
      </c>
      <c r="D18" s="34">
        <v>4</v>
      </c>
      <c r="E18" s="34">
        <v>418</v>
      </c>
      <c r="F18" s="34" t="s">
        <v>28</v>
      </c>
      <c r="G18" s="34">
        <v>41.8</v>
      </c>
      <c r="H18" s="34">
        <v>302</v>
      </c>
      <c r="I18" s="34">
        <v>138.41</v>
      </c>
      <c r="J18" s="34">
        <v>0</v>
      </c>
      <c r="K18" s="34">
        <v>1</v>
      </c>
      <c r="L18" s="34">
        <v>0</v>
      </c>
      <c r="M18" s="34">
        <v>32</v>
      </c>
      <c r="N18" s="34">
        <v>24</v>
      </c>
      <c r="O18" s="34">
        <v>618</v>
      </c>
    </row>
    <row r="21" spans="1:19" ht="21" x14ac:dyDescent="0.35">
      <c r="A21" s="97" t="s">
        <v>249</v>
      </c>
      <c r="B21" s="94"/>
    </row>
    <row r="22" spans="1:19" x14ac:dyDescent="0.25">
      <c r="A22" s="93" t="s">
        <v>0</v>
      </c>
      <c r="B22" s="93" t="s">
        <v>37</v>
      </c>
      <c r="C22" s="93" t="s">
        <v>1</v>
      </c>
      <c r="D22" s="93" t="s">
        <v>2</v>
      </c>
      <c r="E22" s="93" t="s">
        <v>3</v>
      </c>
      <c r="F22" s="93" t="s">
        <v>4</v>
      </c>
      <c r="G22" s="93" t="s">
        <v>46</v>
      </c>
      <c r="H22" s="93" t="s">
        <v>47</v>
      </c>
      <c r="I22" s="93" t="s">
        <v>48</v>
      </c>
      <c r="J22" s="93" t="s">
        <v>174</v>
      </c>
      <c r="K22" s="93" t="s">
        <v>175</v>
      </c>
      <c r="L22" s="93" t="s">
        <v>176</v>
      </c>
      <c r="M22" s="93" t="s">
        <v>6</v>
      </c>
      <c r="N22" s="93" t="s">
        <v>7</v>
      </c>
      <c r="O22" s="93" t="s">
        <v>183</v>
      </c>
    </row>
    <row r="23" spans="1:19" x14ac:dyDescent="0.25">
      <c r="A23" s="93" t="s">
        <v>100</v>
      </c>
      <c r="B23" s="93">
        <v>14</v>
      </c>
      <c r="C23" s="93">
        <v>13</v>
      </c>
      <c r="D23" s="93">
        <v>4</v>
      </c>
      <c r="E23" s="93">
        <v>510</v>
      </c>
      <c r="F23" s="93" t="s">
        <v>144</v>
      </c>
      <c r="G23" s="93">
        <v>56.66</v>
      </c>
      <c r="H23" s="93">
        <v>249</v>
      </c>
      <c r="I23" s="93">
        <v>204.81</v>
      </c>
      <c r="J23" s="93">
        <v>0</v>
      </c>
      <c r="K23" s="93">
        <v>4</v>
      </c>
      <c r="L23" s="93">
        <v>1</v>
      </c>
      <c r="M23" s="93">
        <v>31</v>
      </c>
      <c r="N23" s="93">
        <v>52</v>
      </c>
      <c r="O23" s="93">
        <v>1349</v>
      </c>
    </row>
    <row r="24" spans="1:19" x14ac:dyDescent="0.25">
      <c r="A24" s="93" t="s">
        <v>51</v>
      </c>
      <c r="B24" s="93">
        <v>12</v>
      </c>
      <c r="C24" s="93">
        <v>12</v>
      </c>
      <c r="D24" s="93">
        <v>2</v>
      </c>
      <c r="E24" s="93">
        <v>692</v>
      </c>
      <c r="F24" s="93" t="s">
        <v>17</v>
      </c>
      <c r="G24" s="93">
        <v>69.2</v>
      </c>
      <c r="H24" s="93">
        <v>481</v>
      </c>
      <c r="I24" s="93">
        <v>143.86000000000001</v>
      </c>
      <c r="J24" s="93">
        <v>1</v>
      </c>
      <c r="K24" s="93">
        <v>8</v>
      </c>
      <c r="L24" s="93">
        <v>0</v>
      </c>
      <c r="M24" s="93">
        <v>57</v>
      </c>
      <c r="N24" s="93">
        <v>21</v>
      </c>
      <c r="O24" s="93">
        <v>1111</v>
      </c>
    </row>
    <row r="25" spans="1:19" x14ac:dyDescent="0.25">
      <c r="A25" s="93" t="s">
        <v>49</v>
      </c>
      <c r="B25" s="93">
        <v>14</v>
      </c>
      <c r="C25" s="93">
        <v>14</v>
      </c>
      <c r="D25" s="93">
        <v>3</v>
      </c>
      <c r="E25" s="93">
        <v>593</v>
      </c>
      <c r="F25" s="93" t="s">
        <v>17</v>
      </c>
      <c r="G25" s="93">
        <v>53.9</v>
      </c>
      <c r="H25" s="93">
        <v>438</v>
      </c>
      <c r="I25" s="93">
        <v>135.38</v>
      </c>
      <c r="J25" s="93">
        <v>1</v>
      </c>
      <c r="K25" s="93">
        <v>6</v>
      </c>
      <c r="L25" s="93">
        <v>0</v>
      </c>
      <c r="M25" s="93">
        <v>49</v>
      </c>
      <c r="N25" s="93">
        <v>25</v>
      </c>
      <c r="O25" s="93">
        <v>904</v>
      </c>
    </row>
    <row r="26" spans="1:19" x14ac:dyDescent="0.25">
      <c r="A26" s="93" t="s">
        <v>50</v>
      </c>
      <c r="B26" s="93">
        <v>16</v>
      </c>
      <c r="C26" s="93">
        <v>16</v>
      </c>
      <c r="D26" s="93">
        <v>1</v>
      </c>
      <c r="E26" s="93">
        <v>521</v>
      </c>
      <c r="F26" s="93" t="s">
        <v>24</v>
      </c>
      <c r="G26" s="93">
        <v>34.729999999999997</v>
      </c>
      <c r="H26" s="93">
        <v>384</v>
      </c>
      <c r="I26" s="93">
        <v>135.66999999999999</v>
      </c>
      <c r="J26" s="93">
        <v>0</v>
      </c>
      <c r="K26" s="93">
        <v>5</v>
      </c>
      <c r="L26" s="93">
        <v>1</v>
      </c>
      <c r="M26" s="93">
        <v>64</v>
      </c>
      <c r="N26" s="93">
        <v>11</v>
      </c>
      <c r="O26" s="93">
        <v>828</v>
      </c>
    </row>
    <row r="27" spans="1:19" ht="15.75" x14ac:dyDescent="0.25">
      <c r="A27" s="93" t="s">
        <v>78</v>
      </c>
      <c r="B27" s="93">
        <v>13</v>
      </c>
      <c r="C27" s="93">
        <v>13</v>
      </c>
      <c r="D27" s="93">
        <v>1</v>
      </c>
      <c r="E27" s="93">
        <v>490</v>
      </c>
      <c r="F27" s="93" t="s">
        <v>145</v>
      </c>
      <c r="G27" s="93">
        <v>40.83</v>
      </c>
      <c r="H27" s="93">
        <v>319</v>
      </c>
      <c r="I27" s="93">
        <v>153.6</v>
      </c>
      <c r="J27" s="93">
        <v>0</v>
      </c>
      <c r="K27" s="93">
        <v>4</v>
      </c>
      <c r="L27" s="93">
        <v>0</v>
      </c>
      <c r="M27" s="93">
        <v>45</v>
      </c>
      <c r="N27" s="93">
        <v>34</v>
      </c>
      <c r="O27" s="93">
        <v>793</v>
      </c>
      <c r="Q27" s="84" t="s">
        <v>193</v>
      </c>
      <c r="R27" s="85" t="str">
        <f>INDEX(Table7[Player],MATCH(MAX(Table7[Points]),Table7[Points],0))</f>
        <v>AD Russell</v>
      </c>
      <c r="S27" s="86">
        <f>MAX(Table7[Points])*2</f>
        <v>2698</v>
      </c>
    </row>
    <row r="28" spans="1:19" ht="15.75" x14ac:dyDescent="0.25">
      <c r="A28" s="93" t="s">
        <v>55</v>
      </c>
      <c r="B28" s="93">
        <v>16</v>
      </c>
      <c r="C28" s="93">
        <v>16</v>
      </c>
      <c r="D28" s="93">
        <v>1</v>
      </c>
      <c r="E28" s="93">
        <v>529</v>
      </c>
      <c r="F28" s="93">
        <v>81</v>
      </c>
      <c r="G28" s="93">
        <v>35.26</v>
      </c>
      <c r="H28" s="93">
        <v>398</v>
      </c>
      <c r="I28" s="93">
        <v>132.91</v>
      </c>
      <c r="J28" s="93">
        <v>0</v>
      </c>
      <c r="K28" s="93">
        <v>4</v>
      </c>
      <c r="L28" s="93">
        <v>1</v>
      </c>
      <c r="M28" s="93">
        <v>45</v>
      </c>
      <c r="N28" s="93">
        <v>25</v>
      </c>
      <c r="O28" s="93">
        <v>792</v>
      </c>
      <c r="Q28" s="87" t="s">
        <v>195</v>
      </c>
      <c r="R28" s="88" t="str">
        <f>INDEX(Table7[Player],MATCH(LARGE(Table7[Points],2),Table7[Points],0))</f>
        <v>DA Warner</v>
      </c>
      <c r="S28" s="89">
        <f>LARGE(Table7[Points],2)*1.5</f>
        <v>1666.5</v>
      </c>
    </row>
    <row r="29" spans="1:19" ht="15.75" x14ac:dyDescent="0.25">
      <c r="A29" s="93" t="s">
        <v>72</v>
      </c>
      <c r="B29" s="93">
        <v>16</v>
      </c>
      <c r="C29" s="93">
        <v>16</v>
      </c>
      <c r="D29" s="93">
        <v>3</v>
      </c>
      <c r="E29" s="93">
        <v>488</v>
      </c>
      <c r="F29" s="93" t="s">
        <v>29</v>
      </c>
      <c r="G29" s="93">
        <v>37.53</v>
      </c>
      <c r="H29" s="93">
        <v>300</v>
      </c>
      <c r="I29" s="93">
        <v>162.66</v>
      </c>
      <c r="J29" s="93">
        <v>0</v>
      </c>
      <c r="K29" s="93">
        <v>3</v>
      </c>
      <c r="L29" s="93">
        <v>0</v>
      </c>
      <c r="M29" s="93">
        <v>37</v>
      </c>
      <c r="N29" s="93">
        <v>27</v>
      </c>
      <c r="O29" s="93">
        <v>731</v>
      </c>
      <c r="Q29" s="90" t="s">
        <v>216</v>
      </c>
      <c r="R29" s="91"/>
      <c r="S29" s="92">
        <f>SUM(O25:O37,S27:S28)</f>
        <v>13718.5</v>
      </c>
    </row>
    <row r="30" spans="1:19" x14ac:dyDescent="0.25">
      <c r="A30" s="93" t="s">
        <v>71</v>
      </c>
      <c r="B30" s="93">
        <v>10</v>
      </c>
      <c r="C30" s="93">
        <v>10</v>
      </c>
      <c r="D30" s="93">
        <v>2</v>
      </c>
      <c r="E30" s="93">
        <v>445</v>
      </c>
      <c r="F30" s="93">
        <v>114</v>
      </c>
      <c r="G30" s="93">
        <v>55.62</v>
      </c>
      <c r="H30" s="93">
        <v>283</v>
      </c>
      <c r="I30" s="93">
        <v>157.24</v>
      </c>
      <c r="J30" s="93">
        <v>1</v>
      </c>
      <c r="K30" s="93">
        <v>2</v>
      </c>
      <c r="L30" s="93">
        <v>1</v>
      </c>
      <c r="M30" s="93">
        <v>48</v>
      </c>
      <c r="N30" s="93">
        <v>18</v>
      </c>
      <c r="O30" s="93">
        <v>689</v>
      </c>
    </row>
    <row r="31" spans="1:19" x14ac:dyDescent="0.25">
      <c r="A31" s="93" t="s">
        <v>58</v>
      </c>
      <c r="B31" s="93">
        <v>14</v>
      </c>
      <c r="C31" s="93">
        <v>14</v>
      </c>
      <c r="D31" s="93">
        <v>0</v>
      </c>
      <c r="E31" s="93">
        <v>464</v>
      </c>
      <c r="F31" s="93">
        <v>100</v>
      </c>
      <c r="G31" s="93">
        <v>33.14</v>
      </c>
      <c r="H31" s="93">
        <v>328</v>
      </c>
      <c r="I31" s="93">
        <v>141.46</v>
      </c>
      <c r="J31" s="93">
        <v>1</v>
      </c>
      <c r="K31" s="93">
        <v>2</v>
      </c>
      <c r="L31" s="93">
        <v>0</v>
      </c>
      <c r="M31" s="93">
        <v>46</v>
      </c>
      <c r="N31" s="93">
        <v>13</v>
      </c>
      <c r="O31" s="93">
        <v>686</v>
      </c>
    </row>
    <row r="32" spans="1:19" x14ac:dyDescent="0.25">
      <c r="A32" s="93" t="s">
        <v>60</v>
      </c>
      <c r="B32" s="93">
        <v>13</v>
      </c>
      <c r="C32" s="93">
        <v>13</v>
      </c>
      <c r="D32" s="93">
        <v>3</v>
      </c>
      <c r="E32" s="93">
        <v>442</v>
      </c>
      <c r="F32" s="93" t="s">
        <v>11</v>
      </c>
      <c r="G32" s="93">
        <v>44.2</v>
      </c>
      <c r="H32" s="93">
        <v>287</v>
      </c>
      <c r="I32" s="93">
        <v>154</v>
      </c>
      <c r="J32" s="93">
        <v>0</v>
      </c>
      <c r="K32" s="93">
        <v>5</v>
      </c>
      <c r="L32" s="93">
        <v>0</v>
      </c>
      <c r="M32" s="93">
        <v>31</v>
      </c>
      <c r="N32" s="93">
        <v>26</v>
      </c>
      <c r="O32" s="93">
        <v>679</v>
      </c>
    </row>
    <row r="33" spans="1:15" x14ac:dyDescent="0.25">
      <c r="A33" s="93" t="s">
        <v>53</v>
      </c>
      <c r="B33" s="93">
        <v>16</v>
      </c>
      <c r="C33" s="93">
        <v>16</v>
      </c>
      <c r="D33" s="93">
        <v>1</v>
      </c>
      <c r="E33" s="93">
        <v>463</v>
      </c>
      <c r="F33" s="93">
        <v>67</v>
      </c>
      <c r="G33" s="93">
        <v>30.86</v>
      </c>
      <c r="H33" s="93">
        <v>386</v>
      </c>
      <c r="I33" s="93">
        <v>119.94</v>
      </c>
      <c r="J33" s="93">
        <v>0</v>
      </c>
      <c r="K33" s="93">
        <v>3</v>
      </c>
      <c r="L33" s="93">
        <v>0</v>
      </c>
      <c r="M33" s="93">
        <v>41</v>
      </c>
      <c r="N33" s="93">
        <v>14</v>
      </c>
      <c r="O33" s="93">
        <v>666</v>
      </c>
    </row>
    <row r="34" spans="1:15" x14ac:dyDescent="0.25">
      <c r="A34" s="93" t="s">
        <v>146</v>
      </c>
      <c r="B34" s="93">
        <v>13</v>
      </c>
      <c r="C34" s="93">
        <v>13</v>
      </c>
      <c r="D34" s="93">
        <v>0</v>
      </c>
      <c r="E34" s="93">
        <v>405</v>
      </c>
      <c r="F34" s="93">
        <v>82</v>
      </c>
      <c r="G34" s="93">
        <v>31.15</v>
      </c>
      <c r="H34" s="93">
        <v>290</v>
      </c>
      <c r="I34" s="93">
        <v>139.65</v>
      </c>
      <c r="J34" s="93">
        <v>0</v>
      </c>
      <c r="K34" s="93">
        <v>4</v>
      </c>
      <c r="L34" s="93">
        <v>2</v>
      </c>
      <c r="M34" s="93">
        <v>41</v>
      </c>
      <c r="N34" s="93">
        <v>22</v>
      </c>
      <c r="O34" s="93">
        <v>640</v>
      </c>
    </row>
    <row r="35" spans="1:15" x14ac:dyDescent="0.25">
      <c r="A35" s="93" t="s">
        <v>73</v>
      </c>
      <c r="B35" s="93">
        <v>15</v>
      </c>
      <c r="C35" s="93">
        <v>15</v>
      </c>
      <c r="D35" s="93">
        <v>1</v>
      </c>
      <c r="E35" s="93">
        <v>405</v>
      </c>
      <c r="F35" s="93">
        <v>67</v>
      </c>
      <c r="G35" s="93">
        <v>28.92</v>
      </c>
      <c r="H35" s="93">
        <v>315</v>
      </c>
      <c r="I35" s="93">
        <v>128.57</v>
      </c>
      <c r="J35" s="93">
        <v>0</v>
      </c>
      <c r="K35" s="93">
        <v>2</v>
      </c>
      <c r="L35" s="93">
        <v>0</v>
      </c>
      <c r="M35" s="93">
        <v>52</v>
      </c>
      <c r="N35" s="93">
        <v>10</v>
      </c>
      <c r="O35" s="93">
        <v>659</v>
      </c>
    </row>
    <row r="36" spans="1:15" x14ac:dyDescent="0.25">
      <c r="A36" s="93" t="s">
        <v>77</v>
      </c>
      <c r="B36" s="93">
        <v>17</v>
      </c>
      <c r="C36" s="93">
        <v>17</v>
      </c>
      <c r="D36" s="93">
        <v>0</v>
      </c>
      <c r="E36" s="93">
        <v>398</v>
      </c>
      <c r="F36" s="93">
        <v>96</v>
      </c>
      <c r="G36" s="93">
        <v>23.41</v>
      </c>
      <c r="H36" s="93">
        <v>312</v>
      </c>
      <c r="I36" s="93">
        <v>127.56</v>
      </c>
      <c r="J36" s="93">
        <v>0</v>
      </c>
      <c r="K36" s="93">
        <v>3</v>
      </c>
      <c r="L36" s="93">
        <v>3</v>
      </c>
      <c r="M36" s="93">
        <v>42</v>
      </c>
      <c r="N36" s="93">
        <v>20</v>
      </c>
      <c r="O36" s="93">
        <v>616</v>
      </c>
    </row>
    <row r="37" spans="1:15" x14ac:dyDescent="0.25">
      <c r="A37" s="93" t="s">
        <v>56</v>
      </c>
      <c r="B37" s="93">
        <v>16</v>
      </c>
      <c r="C37" s="93">
        <v>15</v>
      </c>
      <c r="D37" s="93">
        <v>2</v>
      </c>
      <c r="E37" s="93">
        <v>424</v>
      </c>
      <c r="F37" s="93" t="s">
        <v>32</v>
      </c>
      <c r="G37" s="93">
        <v>32.61</v>
      </c>
      <c r="H37" s="93">
        <v>324</v>
      </c>
      <c r="I37" s="93">
        <v>130.86000000000001</v>
      </c>
      <c r="J37" s="93">
        <v>0</v>
      </c>
      <c r="K37" s="93">
        <v>2</v>
      </c>
      <c r="L37" s="93">
        <v>0</v>
      </c>
      <c r="M37" s="93">
        <v>45</v>
      </c>
      <c r="N37" s="93">
        <v>10</v>
      </c>
      <c r="O37" s="93">
        <v>671</v>
      </c>
    </row>
  </sheetData>
  <pageMargins left="0.7" right="0.7" top="0.75" bottom="0.75" header="0.3" footer="0.3"/>
  <pageSetup orientation="portrait" verticalDpi="0" r:id="rId1"/>
  <ignoredErrors>
    <ignoredError sqref="S29 R6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Rules</vt:lpstr>
      <vt:lpstr>Assumptions</vt:lpstr>
      <vt:lpstr>2020 Batsman</vt:lpstr>
      <vt:lpstr>2020 Bowlers</vt:lpstr>
      <vt:lpstr>2020 All Rounders</vt:lpstr>
      <vt:lpstr>2019 Batsman</vt:lpstr>
      <vt:lpstr>2019 Bowlers</vt:lpstr>
      <vt:lpstr>2019 All Rounders</vt:lpstr>
      <vt:lpstr>Assumption 1</vt:lpstr>
      <vt:lpstr>Assumption 2</vt:lpstr>
      <vt:lpstr>Assumption 3</vt:lpstr>
      <vt:lpstr>Assumption 4</vt:lpstr>
      <vt:lpstr>Assumption 5</vt:lpstr>
      <vt:lpstr>Assumption 6</vt:lpstr>
      <vt:lpstr>Assumption 7</vt:lpstr>
      <vt:lpstr>Assumption 8</vt:lpstr>
      <vt:lpstr>Assumption Insights</vt:lpstr>
      <vt:lpstr>Predicted Team &amp; Combination</vt:lpstr>
      <vt:lpstr>workbook</vt:lpstr>
      <vt:lpstr>workbook!most_catches_career.html?id_13533_type_tournament_1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2022-02-09T04:54:58Z</dcterms:modified>
</cp:coreProperties>
</file>