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externalLinks/externalLink1.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dbsheet="http://web.wps.cn/et/2021/dbsheet">
  <fileVersion appName="xl" lastEdited="3" lowestEdited="5" rupBuild="9302"/>
  <workbookPr/>
  <bookViews>
    <workbookView windowWidth="19200" windowHeight="7210"/>
  </bookViews>
  <sheets>
    <sheet name="Sheet1" sheetId="1" r:id="rId1"/>
  </sheets>
  <externalReferences>
    <externalReference r:id="rId2"/>
  </externalReferences>
  <definedNames>
    <definedName name="\B">#REF!</definedName>
    <definedName name="\E">#REF!</definedName>
    <definedName name="\F">#REF!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<sst xmlns="http://schemas.openxmlformats.org/spreadsheetml/2006/main" count="77" uniqueCount="75">
  <si>
    <t>16. Revenue from Operations</t>
  </si>
  <si>
    <t>Sale of Services</t>
  </si>
  <si>
    <t>Domestic</t>
  </si>
  <si>
    <t>Exports</t>
  </si>
  <si>
    <t>17. Other income</t>
  </si>
  <si>
    <t>Interest income</t>
  </si>
  <si>
    <t>Foreign exchange gain (Net)</t>
  </si>
  <si>
    <t>18. Cost of materials consumed</t>
  </si>
  <si>
    <t>Opening stock</t>
  </si>
  <si>
    <t>Add: Purchases</t>
  </si>
  <si>
    <t>Less: Closing stock</t>
  </si>
  <si>
    <t>Cost of materials consumed</t>
  </si>
  <si>
    <t>19. Employee benefit expense</t>
  </si>
  <si>
    <t>Salaries, wages and bonus</t>
  </si>
  <si>
    <t>Contribution to PF &amp; ESI</t>
  </si>
  <si>
    <t>Staff welfare expenses</t>
  </si>
  <si>
    <t>20. Other expenses</t>
  </si>
  <si>
    <t>BA / BE NOC Charges</t>
  </si>
  <si>
    <t>BA Expenses</t>
  </si>
  <si>
    <t>Payments to Volunteers</t>
  </si>
  <si>
    <t>Other Operating Expenses</t>
  </si>
  <si>
    <t>Laboratory testing charges</t>
  </si>
  <si>
    <t>Rent</t>
  </si>
  <si>
    <t>Rates &amp; Taxes</t>
  </si>
  <si>
    <t>Fees &amp; licenses</t>
  </si>
  <si>
    <t>Insurance</t>
  </si>
  <si>
    <t>Membership &amp; Subscription Charges</t>
  </si>
  <si>
    <t>Postage &amp; Communication Cost</t>
  </si>
  <si>
    <t>Printing and stationery</t>
  </si>
  <si>
    <t>CSR Fund Expenses</t>
  </si>
  <si>
    <t>Telephone &amp; Internet</t>
  </si>
  <si>
    <t>Travelling and Conveyance</t>
  </si>
  <si>
    <t>Translation Charges</t>
  </si>
  <si>
    <t>Electricity Charges</t>
  </si>
  <si>
    <t>Security Charges</t>
  </si>
  <si>
    <t>Annual Maintenance Charges</t>
  </si>
  <si>
    <t>Repairs and maintenance</t>
  </si>
  <si>
    <t>- Electrical</t>
  </si>
  <si>
    <t>- Office</t>
  </si>
  <si>
    <t>- Machinery</t>
  </si>
  <si>
    <t>- Vehicles</t>
  </si>
  <si>
    <t>- Others</t>
  </si>
  <si>
    <t>Business Development Expenses</t>
  </si>
  <si>
    <t>Professional &amp; Consultancy Fees</t>
  </si>
  <si>
    <t>Payment to Auditors*</t>
  </si>
  <si>
    <t>Bad Debts Written Off</t>
  </si>
  <si>
    <t>Fire Extingushiers Refilling Charges</t>
  </si>
  <si>
    <t>Food Expenses for Guests</t>
  </si>
  <si>
    <t>Diesel Expenses</t>
  </si>
  <si>
    <t xml:space="preserve">Interest Under 234 C Fy 2021-22 </t>
  </si>
  <si>
    <t>Loan Processing Charges</t>
  </si>
  <si>
    <t>Sitting Fee of Directors</t>
  </si>
  <si>
    <t>Customs Duty Payment</t>
  </si>
  <si>
    <t>Transportation and Unloading Charges</t>
  </si>
  <si>
    <t>Software Equipment</t>
  </si>
  <si>
    <t>Miscellaneous expenses</t>
  </si>
  <si>
    <t xml:space="preserve">     * Fees is net of GST which is taken as input tax credit.</t>
  </si>
  <si>
    <t>21. Depreciation and amortisation expense</t>
  </si>
  <si>
    <t>Depreciation &amp; amortisation</t>
  </si>
  <si>
    <t>22. Loss on Sale of Assets &amp; Investments</t>
  </si>
  <si>
    <t>Short Term Loss on Sale of Investments (Non Derivative Loss)</t>
  </si>
  <si>
    <t>Long term loss on sale of investments</t>
  </si>
  <si>
    <t>Loss on Sale of Fixed Assets</t>
  </si>
  <si>
    <t>23. Finance costs</t>
  </si>
  <si>
    <t>Bank &amp; Finance Charges</t>
  </si>
  <si>
    <t>24. Payment to auditor</t>
  </si>
  <si>
    <t>- For Audit fee</t>
  </si>
  <si>
    <t>- For Tax Audit / Certification Fees</t>
  </si>
  <si>
    <t xml:space="preserve">25. Earnings in foreign currency:  </t>
  </si>
  <si>
    <t>Inflow :</t>
  </si>
  <si>
    <t>Income from export of services</t>
  </si>
  <si>
    <t>26. Particulars of un-hedged foreign currency exposure:</t>
  </si>
  <si>
    <t>(i) There is no derivate contract outstanding as at the Balance Sheet date.
(ii) Particulars of un-hedged foreign currency exposure as at the Balance Sheet date</t>
  </si>
  <si>
    <t>27. Relationship with Struck off Companies</t>
  </si>
  <si>
    <t>The Company did not have any transactions with Companies struck off under Section 248 of Companies Act, 2013 or Section 560 of Companies Act, 1956 considering the information available with the Company.</t>
  </si>
</sst>
</file>

<file path=xl/styles.xml><?xml version="1.0" encoding="utf-8"?>
<styleSheet xmlns="http://schemas.openxmlformats.org/spreadsheetml/2006/main" xmlns:mc="http://schemas.openxmlformats.org/markup-compatibility/2006" xmlns:xr9="http://schemas.microsoft.com/office/spreadsheetml/2016/revision9" mc:Ignorable="xr9">
  <numFmts count="8">
    <numFmt numFmtId="176" formatCode="_ * #,##0.00_ ;_ * \-#,##0.00_ ;_ * &quot;-&quot;??_ ;_ @_ "/>
    <numFmt numFmtId="177" formatCode="_ &quot;₹&quot;* #,##0.00_ ;_ &quot;₹&quot;* \-#,##0.00_ ;_ &quot;₹&quot;* &quot;-&quot;??_ ;_ @_ "/>
    <numFmt numFmtId="178" formatCode="_ * #,##0_ ;_ * \-#,##0_ ;_ * &quot;-&quot;_ ;_ @_ "/>
    <numFmt numFmtId="179" formatCode="_ &quot;₹&quot;* #,##0_ ;_ &quot;₹&quot;* \-#,##0_ ;_ &quot;₹&quot;* &quot;-&quot;_ ;_ @_ "/>
    <numFmt numFmtId="180" formatCode="_(* #,##0.00_);_(* \(#,##0.00\);_(* &quot;-&quot;??_);_(@_)"/>
    <numFmt numFmtId="181" formatCode="_(* #,##0_);_(* \(#,##0\);_(* &quot;-&quot;??_);_(@_)"/>
    <numFmt numFmtId="182" formatCode="[$-409]mmmm\ d\,\ yyyy;@"/>
    <numFmt numFmtId="183" formatCode="_(* #,##0_);_(* \(#,##0\);_(* &quot;-&quot;_);_(@_)"/>
  </numFmts>
  <fonts count="37">
    <font>
      <sz val="11"/>
      <color theme="1"/>
      <name val="Calibri"/>
      <charset val="134"/>
      <scheme val="minor"/>
    </font>
    <font>
      <b/>
      <sz val="14"/>
      <color indexed="8"/>
      <name val="Book Antiqua"/>
      <charset val="134"/>
    </font>
    <font>
      <sz val="10"/>
      <color indexed="8"/>
      <name val="Book Antiqua"/>
      <charset val="134"/>
    </font>
    <font>
      <b/>
      <sz val="11"/>
      <name val="Book Antiqua"/>
      <charset val="134"/>
    </font>
    <font>
      <sz val="10"/>
      <name val="Book Antiqua"/>
      <charset val="134"/>
    </font>
    <font>
      <b/>
      <i/>
      <sz val="10"/>
      <color indexed="8"/>
      <name val="Book Antiqua"/>
      <charset val="134"/>
    </font>
    <font>
      <b/>
      <sz val="11"/>
      <color rgb="FF000000"/>
      <name val="Book Antiqua"/>
      <charset val="134"/>
    </font>
    <font>
      <sz val="11"/>
      <name val="Book Antiqua"/>
      <charset val="134"/>
    </font>
    <font>
      <i/>
      <sz val="11"/>
      <name val="Book Antiqua"/>
      <charset val="134"/>
    </font>
    <font>
      <b/>
      <sz val="11"/>
      <color theme="1"/>
      <name val="Book Antiqua"/>
      <charset val="134"/>
    </font>
    <font>
      <sz val="11"/>
      <color rgb="FF000000"/>
      <name val="Book Antiqua"/>
      <charset val="134"/>
    </font>
    <font>
      <b/>
      <sz val="11"/>
      <color indexed="8"/>
      <name val="Book Antiqua"/>
      <charset val="134"/>
    </font>
    <font>
      <sz val="11"/>
      <color indexed="8"/>
      <name val="Book Antiqua"/>
      <charset val="134"/>
    </font>
    <font>
      <sz val="11"/>
      <color theme="1"/>
      <name val="Book Antiqua"/>
      <charset val="134"/>
    </font>
    <font>
      <i/>
      <sz val="11"/>
      <color indexed="8"/>
      <name val="Book Antiqua"/>
      <charset val="134"/>
    </font>
    <font>
      <b/>
      <sz val="10"/>
      <name val="Book Antiqua"/>
      <charset val="134"/>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
      <sz val="10"/>
      <name val="Arial"/>
      <charset val="134"/>
    </font>
    <font>
      <sz val="11"/>
      <color indexed="8"/>
      <name val="Calibri"/>
      <charset val="134"/>
    </font>
  </fonts>
  <fills count="34">
    <fill>
      <patternFill patternType="none"/>
    </fill>
    <fill>
      <patternFill patternType="gray125"/>
    </fill>
    <fill>
      <patternFill patternType="solid">
        <fgColor theme="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6">
    <border>
      <left/>
      <right/>
      <top/>
      <bottom/>
      <diagonal/>
    </border>
    <border>
      <left/>
      <right/>
      <top/>
      <bottom style="thin">
        <color auto="1"/>
      </bottom>
      <diagonal/>
    </border>
    <border>
      <left/>
      <right/>
      <top style="thin">
        <color auto="1"/>
      </top>
      <bottom style="thin">
        <color auto="1"/>
      </bottom>
      <diagonal/>
    </border>
    <border>
      <left style="thin">
        <color auto="1"/>
      </left>
      <right/>
      <top style="thin">
        <color auto="1"/>
      </top>
      <bottom style="thin">
        <color auto="1"/>
      </bottom>
      <diagonal/>
    </border>
    <border>
      <left style="thin">
        <color auto="1"/>
      </left>
      <right/>
      <top style="thin">
        <color auto="1"/>
      </top>
      <bottom/>
      <diagonal/>
    </border>
    <border>
      <left/>
      <right/>
      <top style="thin">
        <color auto="1"/>
      </top>
      <bottom/>
      <diagonal/>
    </border>
    <border>
      <left style="thin">
        <color auto="1"/>
      </left>
      <right/>
      <top/>
      <bottom style="thin">
        <color auto="1"/>
      </bottom>
      <diagonal/>
    </border>
    <border>
      <left/>
      <right style="thin">
        <color auto="1"/>
      </right>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3">
    <xf numFmtId="0" fontId="0" fillId="0" borderId="0">
      <alignment vertical="center"/>
    </xf>
    <xf numFmtId="176" fontId="0" fillId="0" borderId="0" applyFont="0" applyFill="0" applyBorder="0" applyAlignment="0" applyProtection="0">
      <alignment vertical="center"/>
    </xf>
    <xf numFmtId="177" fontId="0" fillId="0" borderId="0" applyFont="0" applyFill="0" applyBorder="0" applyAlignment="0" applyProtection="0">
      <alignment vertical="center"/>
    </xf>
    <xf numFmtId="9" fontId="0" fillId="0" borderId="0" applyFont="0" applyFill="0" applyBorder="0" applyAlignment="0" applyProtection="0">
      <alignment vertical="center"/>
    </xf>
    <xf numFmtId="178" fontId="0" fillId="0" borderId="0" applyFont="0" applyFill="0" applyBorder="0" applyAlignment="0" applyProtection="0">
      <alignment vertical="center"/>
    </xf>
    <xf numFmtId="179" fontId="0" fillId="0" borderId="0" applyFont="0" applyFill="0" applyBorder="0" applyAlignment="0" applyProtection="0">
      <alignment vertical="center"/>
    </xf>
    <xf numFmtId="0" fontId="16"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0" fillId="3" borderId="8" applyNumberFormat="0" applyFont="0" applyAlignment="0" applyProtection="0">
      <alignment vertical="center"/>
    </xf>
    <xf numFmtId="0" fontId="18"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1" fillId="0" borderId="9" applyNumberFormat="0" applyFill="0" applyAlignment="0" applyProtection="0">
      <alignment vertical="center"/>
    </xf>
    <xf numFmtId="0" fontId="22" fillId="0" borderId="9" applyNumberFormat="0" applyFill="0" applyAlignment="0" applyProtection="0">
      <alignment vertical="center"/>
    </xf>
    <xf numFmtId="0" fontId="23" fillId="0" borderId="10" applyNumberFormat="0" applyFill="0" applyAlignment="0" applyProtection="0">
      <alignment vertical="center"/>
    </xf>
    <xf numFmtId="0" fontId="23" fillId="0" borderId="0" applyNumberFormat="0" applyFill="0" applyBorder="0" applyAlignment="0" applyProtection="0">
      <alignment vertical="center"/>
    </xf>
    <xf numFmtId="0" fontId="24" fillId="4" borderId="11" applyNumberFormat="0" applyAlignment="0" applyProtection="0">
      <alignment vertical="center"/>
    </xf>
    <xf numFmtId="0" fontId="25" fillId="5" borderId="12" applyNumberFormat="0" applyAlignment="0" applyProtection="0">
      <alignment vertical="center"/>
    </xf>
    <xf numFmtId="0" fontId="26" fillId="5" borderId="11" applyNumberFormat="0" applyAlignment="0" applyProtection="0">
      <alignment vertical="center"/>
    </xf>
    <xf numFmtId="0" fontId="27" fillId="6" borderId="13" applyNumberFormat="0" applyAlignment="0" applyProtection="0">
      <alignment vertical="center"/>
    </xf>
    <xf numFmtId="0" fontId="28" fillId="0" borderId="14" applyNumberFormat="0" applyFill="0" applyAlignment="0" applyProtection="0">
      <alignment vertical="center"/>
    </xf>
    <xf numFmtId="0" fontId="29" fillId="0" borderId="15" applyNumberFormat="0" applyFill="0" applyAlignment="0" applyProtection="0">
      <alignment vertical="center"/>
    </xf>
    <xf numFmtId="0" fontId="30" fillId="7" borderId="0" applyNumberFormat="0" applyBorder="0" applyAlignment="0" applyProtection="0">
      <alignment vertical="center"/>
    </xf>
    <xf numFmtId="0" fontId="31" fillId="8" borderId="0" applyNumberFormat="0" applyBorder="0" applyAlignment="0" applyProtection="0">
      <alignment vertical="center"/>
    </xf>
    <xf numFmtId="0" fontId="32" fillId="9" borderId="0" applyNumberFormat="0" applyBorder="0" applyAlignment="0" applyProtection="0">
      <alignment vertical="center"/>
    </xf>
    <xf numFmtId="0" fontId="33" fillId="10" borderId="0" applyNumberFormat="0" applyBorder="0" applyAlignment="0" applyProtection="0">
      <alignment vertical="center"/>
    </xf>
    <xf numFmtId="0" fontId="34" fillId="11" borderId="0" applyNumberFormat="0" applyBorder="0" applyAlignment="0" applyProtection="0">
      <alignment vertical="center"/>
    </xf>
    <xf numFmtId="0" fontId="34" fillId="12" borderId="0" applyNumberFormat="0" applyBorder="0" applyAlignment="0" applyProtection="0">
      <alignment vertical="center"/>
    </xf>
    <xf numFmtId="0" fontId="33" fillId="13" borderId="0" applyNumberFormat="0" applyBorder="0" applyAlignment="0" applyProtection="0">
      <alignment vertical="center"/>
    </xf>
    <xf numFmtId="0" fontId="33" fillId="14" borderId="0" applyNumberFormat="0" applyBorder="0" applyAlignment="0" applyProtection="0">
      <alignment vertical="center"/>
    </xf>
    <xf numFmtId="0" fontId="34" fillId="15" borderId="0" applyNumberFormat="0" applyBorder="0" applyAlignment="0" applyProtection="0">
      <alignment vertical="center"/>
    </xf>
    <xf numFmtId="0" fontId="34" fillId="16" borderId="0" applyNumberFormat="0" applyBorder="0" applyAlignment="0" applyProtection="0">
      <alignment vertical="center"/>
    </xf>
    <xf numFmtId="0" fontId="33" fillId="17" borderId="0" applyNumberFormat="0" applyBorder="0" applyAlignment="0" applyProtection="0">
      <alignment vertical="center"/>
    </xf>
    <xf numFmtId="0" fontId="33" fillId="18" borderId="0" applyNumberFormat="0" applyBorder="0" applyAlignment="0" applyProtection="0">
      <alignment vertical="center"/>
    </xf>
    <xf numFmtId="0" fontId="34" fillId="19" borderId="0" applyNumberFormat="0" applyBorder="0" applyAlignment="0" applyProtection="0">
      <alignment vertical="center"/>
    </xf>
    <xf numFmtId="0" fontId="34" fillId="20" borderId="0" applyNumberFormat="0" applyBorder="0" applyAlignment="0" applyProtection="0">
      <alignment vertical="center"/>
    </xf>
    <xf numFmtId="0" fontId="33" fillId="21" borderId="0" applyNumberFormat="0" applyBorder="0" applyAlignment="0" applyProtection="0">
      <alignment vertical="center"/>
    </xf>
    <xf numFmtId="0" fontId="33" fillId="22" borderId="0" applyNumberFormat="0" applyBorder="0" applyAlignment="0" applyProtection="0">
      <alignment vertical="center"/>
    </xf>
    <xf numFmtId="0" fontId="34" fillId="23" borderId="0" applyNumberFormat="0" applyBorder="0" applyAlignment="0" applyProtection="0">
      <alignment vertical="center"/>
    </xf>
    <xf numFmtId="0" fontId="34" fillId="24" borderId="0" applyNumberFormat="0" applyBorder="0" applyAlignment="0" applyProtection="0">
      <alignment vertical="center"/>
    </xf>
    <xf numFmtId="0" fontId="33" fillId="25" borderId="0" applyNumberFormat="0" applyBorder="0" applyAlignment="0" applyProtection="0">
      <alignment vertical="center"/>
    </xf>
    <xf numFmtId="0" fontId="33" fillId="26" borderId="0" applyNumberFormat="0" applyBorder="0" applyAlignment="0" applyProtection="0">
      <alignment vertical="center"/>
    </xf>
    <xf numFmtId="0" fontId="34" fillId="27" borderId="0" applyNumberFormat="0" applyBorder="0" applyAlignment="0" applyProtection="0">
      <alignment vertical="center"/>
    </xf>
    <xf numFmtId="0" fontId="34" fillId="28" borderId="0" applyNumberFormat="0" applyBorder="0" applyAlignment="0" applyProtection="0">
      <alignment vertical="center"/>
    </xf>
    <xf numFmtId="0" fontId="33" fillId="29" borderId="0" applyNumberFormat="0" applyBorder="0" applyAlignment="0" applyProtection="0">
      <alignment vertical="center"/>
    </xf>
    <xf numFmtId="0" fontId="33" fillId="30" borderId="0" applyNumberFormat="0" applyBorder="0" applyAlignment="0" applyProtection="0">
      <alignment vertical="center"/>
    </xf>
    <xf numFmtId="0" fontId="34" fillId="31" borderId="0" applyNumberFormat="0" applyBorder="0" applyAlignment="0" applyProtection="0">
      <alignment vertical="center"/>
    </xf>
    <xf numFmtId="0" fontId="34" fillId="32" borderId="0" applyNumberFormat="0" applyBorder="0" applyAlignment="0" applyProtection="0">
      <alignment vertical="center"/>
    </xf>
    <xf numFmtId="0" fontId="33" fillId="33" borderId="0" applyNumberFormat="0" applyBorder="0" applyAlignment="0" applyProtection="0">
      <alignment vertical="center"/>
    </xf>
    <xf numFmtId="0" fontId="0" fillId="0" borderId="0"/>
    <xf numFmtId="0" fontId="0" fillId="0" borderId="0"/>
    <xf numFmtId="0" fontId="35" fillId="0" borderId="0"/>
    <xf numFmtId="180" fontId="36" fillId="0" borderId="0" applyFont="0" applyFill="0" applyBorder="0" applyAlignment="0" applyProtection="0"/>
  </cellStyleXfs>
  <cellXfs count="92">
    <xf numFmtId="0" fontId="0" fillId="0" borderId="0" xfId="0">
      <alignment vertical="center"/>
    </xf>
    <xf numFmtId="0" fontId="1" fillId="0" borderId="0" xfId="50" applyFont="1" applyAlignment="1">
      <alignment vertical="center"/>
    </xf>
    <xf numFmtId="181" fontId="2" fillId="2" borderId="0" xfId="1" applyNumberFormat="1" applyFont="1" applyFill="1" applyAlignment="1">
      <alignment vertical="center"/>
    </xf>
    <xf numFmtId="0" fontId="2" fillId="0" borderId="0" xfId="49" applyFont="1" applyAlignment="1">
      <alignment vertical="center"/>
    </xf>
    <xf numFmtId="0" fontId="3" fillId="0" borderId="0" xfId="49" applyFont="1"/>
    <xf numFmtId="181" fontId="2" fillId="0" borderId="0" xfId="52" applyNumberFormat="1" applyFont="1" applyFill="1" applyAlignment="1">
      <alignment vertical="center"/>
    </xf>
    <xf numFmtId="49" fontId="4" fillId="0" borderId="0" xfId="49" applyNumberFormat="1" applyFont="1"/>
    <xf numFmtId="181" fontId="5" fillId="0" borderId="0" xfId="52" applyNumberFormat="1" applyFont="1" applyFill="1" applyAlignment="1">
      <alignment vertical="center"/>
    </xf>
    <xf numFmtId="49" fontId="6" fillId="0" borderId="0" xfId="49" applyNumberFormat="1" applyFont="1"/>
    <xf numFmtId="181" fontId="7" fillId="2" borderId="1" xfId="1" applyNumberFormat="1" applyFont="1" applyFill="1" applyBorder="1"/>
    <xf numFmtId="0" fontId="8" fillId="0" borderId="1" xfId="49" applyFont="1" applyBorder="1" applyAlignment="1">
      <alignment horizontal="right"/>
    </xf>
    <xf numFmtId="0" fontId="7" fillId="0" borderId="2" xfId="49" applyFont="1" applyBorder="1"/>
    <xf numFmtId="182" fontId="9" fillId="2" borderId="2" xfId="50" applyNumberFormat="1" applyFont="1" applyFill="1" applyBorder="1" applyAlignment="1">
      <alignment horizontal="right"/>
    </xf>
    <xf numFmtId="181" fontId="7" fillId="2" borderId="0" xfId="1" applyNumberFormat="1" applyFont="1" applyFill="1"/>
    <xf numFmtId="0" fontId="7" fillId="0" borderId="0" xfId="49" applyFont="1"/>
    <xf numFmtId="49" fontId="10" fillId="0" borderId="0" xfId="49" applyNumberFormat="1" applyFont="1" applyAlignment="1">
      <alignment horizontal="left" indent="1"/>
    </xf>
    <xf numFmtId="180" fontId="7" fillId="2" borderId="0" xfId="1" applyNumberFormat="1" applyFont="1" applyFill="1"/>
    <xf numFmtId="180" fontId="7" fillId="0" borderId="0" xfId="1" applyNumberFormat="1" applyFont="1"/>
    <xf numFmtId="180" fontId="10" fillId="0" borderId="0" xfId="1" applyNumberFormat="1" applyFont="1" applyFill="1" applyAlignment="1">
      <alignment vertical="top"/>
    </xf>
    <xf numFmtId="49" fontId="10" fillId="0" borderId="2" xfId="49" applyNumberFormat="1" applyFont="1" applyBorder="1"/>
    <xf numFmtId="180" fontId="11" fillId="0" borderId="2" xfId="1" applyNumberFormat="1" applyFont="1" applyFill="1" applyBorder="1" applyAlignment="1">
      <alignment vertical="center"/>
    </xf>
    <xf numFmtId="49" fontId="7" fillId="0" borderId="0" xfId="49" applyNumberFormat="1" applyFont="1"/>
    <xf numFmtId="181" fontId="12" fillId="0" borderId="0" xfId="1" applyNumberFormat="1" applyFont="1" applyFill="1" applyAlignment="1">
      <alignment vertical="center"/>
    </xf>
    <xf numFmtId="181" fontId="12" fillId="0" borderId="0" xfId="52" applyNumberFormat="1" applyFont="1" applyFill="1" applyAlignment="1">
      <alignment vertical="center"/>
    </xf>
    <xf numFmtId="0" fontId="11" fillId="0" borderId="0" xfId="49" applyFont="1" applyAlignment="1">
      <alignment vertical="center"/>
    </xf>
    <xf numFmtId="181" fontId="12" fillId="2" borderId="0" xfId="1" applyNumberFormat="1" applyFont="1" applyFill="1" applyAlignment="1">
      <alignment vertical="center"/>
    </xf>
    <xf numFmtId="0" fontId="12" fillId="0" borderId="2" xfId="49" applyFont="1" applyBorder="1" applyAlignment="1">
      <alignment vertical="center"/>
    </xf>
    <xf numFmtId="0" fontId="7" fillId="0" borderId="0" xfId="49" applyFont="1" applyAlignment="1">
      <alignment vertical="center"/>
    </xf>
    <xf numFmtId="180" fontId="12" fillId="2" borderId="0" xfId="1" applyNumberFormat="1" applyFont="1" applyFill="1" applyBorder="1" applyAlignment="1">
      <alignment vertical="center"/>
    </xf>
    <xf numFmtId="180" fontId="12" fillId="0" borderId="0" xfId="1" applyNumberFormat="1" applyFont="1" applyFill="1" applyBorder="1" applyAlignment="1">
      <alignment vertical="center"/>
    </xf>
    <xf numFmtId="0" fontId="12" fillId="0" borderId="0" xfId="49" applyFont="1" applyAlignment="1">
      <alignment vertical="center"/>
    </xf>
    <xf numFmtId="180" fontId="12" fillId="2" borderId="0" xfId="1" applyNumberFormat="1" applyFont="1" applyFill="1" applyBorder="1" applyAlignment="1">
      <alignment horizontal="center" vertical="center"/>
    </xf>
    <xf numFmtId="0" fontId="11" fillId="0" borderId="2" xfId="49" applyFont="1" applyBorder="1" applyAlignment="1">
      <alignment vertical="center"/>
    </xf>
    <xf numFmtId="180" fontId="11" fillId="2" borderId="2" xfId="1" applyNumberFormat="1" applyFont="1" applyFill="1" applyBorder="1" applyAlignment="1">
      <alignment vertical="center"/>
    </xf>
    <xf numFmtId="181" fontId="12" fillId="2" borderId="0" xfId="1" applyNumberFormat="1" applyFont="1" applyFill="1" applyBorder="1" applyAlignment="1">
      <alignment vertical="center"/>
    </xf>
    <xf numFmtId="181" fontId="12" fillId="0" borderId="0" xfId="52" applyNumberFormat="1" applyFont="1" applyFill="1" applyBorder="1" applyAlignment="1">
      <alignment vertical="center"/>
    </xf>
    <xf numFmtId="180" fontId="12" fillId="0" borderId="1" xfId="1" applyNumberFormat="1" applyFont="1" applyFill="1" applyBorder="1" applyAlignment="1">
      <alignment vertical="center"/>
    </xf>
    <xf numFmtId="180" fontId="7" fillId="0" borderId="0" xfId="1" applyNumberFormat="1" applyFont="1" applyFill="1" applyBorder="1" applyAlignment="1">
      <alignment vertical="center"/>
    </xf>
    <xf numFmtId="180" fontId="12" fillId="0" borderId="0" xfId="1" applyNumberFormat="1" applyFont="1" applyFill="1" applyBorder="1" applyAlignment="1">
      <alignment horizontal="center" vertical="center"/>
    </xf>
    <xf numFmtId="181" fontId="11" fillId="2" borderId="0" xfId="1" applyNumberFormat="1" applyFont="1" applyFill="1" applyAlignment="1">
      <alignment vertical="center"/>
    </xf>
    <xf numFmtId="180" fontId="2" fillId="0" borderId="0" xfId="1" applyNumberFormat="1" applyFont="1" applyFill="1" applyAlignment="1">
      <alignment vertical="center"/>
    </xf>
    <xf numFmtId="180" fontId="2" fillId="2" borderId="0" xfId="1" applyNumberFormat="1" applyFont="1" applyFill="1" applyAlignment="1">
      <alignment vertical="center"/>
    </xf>
    <xf numFmtId="0" fontId="12" fillId="0" borderId="0" xfId="49" applyFont="1" applyAlignment="1">
      <alignment horizontal="left" vertical="center" indent="1"/>
    </xf>
    <xf numFmtId="180" fontId="12" fillId="2" borderId="0" xfId="1" applyNumberFormat="1" applyFont="1" applyFill="1" applyBorder="1" applyAlignment="1">
      <alignment vertical="top"/>
    </xf>
    <xf numFmtId="0" fontId="12" fillId="2" borderId="0" xfId="49" applyFont="1" applyFill="1" applyAlignment="1">
      <alignment vertical="center"/>
    </xf>
    <xf numFmtId="180" fontId="12" fillId="0" borderId="0" xfId="1" applyNumberFormat="1" applyFont="1" applyFill="1" applyBorder="1" applyAlignment="1">
      <alignment vertical="top"/>
    </xf>
    <xf numFmtId="180" fontId="12" fillId="2" borderId="0" xfId="1" applyNumberFormat="1" applyFont="1" applyFill="1" applyAlignment="1">
      <alignment vertical="center"/>
    </xf>
    <xf numFmtId="0" fontId="13" fillId="0" borderId="0" xfId="0" applyFont="1" applyFill="1" applyAlignment="1"/>
    <xf numFmtId="180" fontId="12" fillId="0" borderId="0" xfId="1" applyNumberFormat="1" applyFont="1" applyFill="1" applyAlignment="1">
      <alignment vertical="center"/>
    </xf>
    <xf numFmtId="0" fontId="14" fillId="0" borderId="0" xfId="49" applyFont="1" applyAlignment="1">
      <alignment vertical="center"/>
    </xf>
    <xf numFmtId="181" fontId="11" fillId="2" borderId="0" xfId="1" applyNumberFormat="1" applyFont="1" applyFill="1" applyBorder="1" applyAlignment="1">
      <alignment vertical="center"/>
    </xf>
    <xf numFmtId="181" fontId="11" fillId="0" borderId="0" xfId="1" applyNumberFormat="1" applyFont="1" applyFill="1" applyBorder="1" applyAlignment="1">
      <alignment vertical="center"/>
    </xf>
    <xf numFmtId="183" fontId="11" fillId="0" borderId="0" xfId="52" applyNumberFormat="1" applyFont="1" applyFill="1" applyBorder="1" applyAlignment="1">
      <alignment vertical="center"/>
    </xf>
    <xf numFmtId="181" fontId="12" fillId="0" borderId="0" xfId="1" applyNumberFormat="1" applyFont="1" applyFill="1" applyBorder="1" applyAlignment="1">
      <alignment vertical="center"/>
    </xf>
    <xf numFmtId="181" fontId="13" fillId="2" borderId="0" xfId="1" applyNumberFormat="1" applyFont="1" applyFill="1" applyBorder="1" applyAlignment="1">
      <alignment horizontal="right"/>
    </xf>
    <xf numFmtId="181" fontId="13" fillId="0" borderId="0" xfId="1" applyNumberFormat="1" applyFont="1" applyFill="1" applyBorder="1" applyAlignment="1">
      <alignment horizontal="right"/>
    </xf>
    <xf numFmtId="181" fontId="11" fillId="2" borderId="2" xfId="1" applyNumberFormat="1" applyFont="1" applyFill="1" applyBorder="1" applyAlignment="1">
      <alignment vertical="center"/>
    </xf>
    <xf numFmtId="181" fontId="11" fillId="0" borderId="2" xfId="52" applyNumberFormat="1" applyFont="1" applyFill="1" applyBorder="1" applyAlignment="1">
      <alignment vertical="center"/>
    </xf>
    <xf numFmtId="181" fontId="11" fillId="0" borderId="0" xfId="52" applyNumberFormat="1" applyFont="1" applyFill="1" applyBorder="1" applyAlignment="1">
      <alignment vertical="center"/>
    </xf>
    <xf numFmtId="180" fontId="13" fillId="2" borderId="0" xfId="1" applyNumberFormat="1" applyFont="1" applyFill="1" applyBorder="1" applyAlignment="1">
      <alignment horizontal="right"/>
    </xf>
    <xf numFmtId="180" fontId="13" fillId="0" borderId="0" xfId="1" applyNumberFormat="1" applyFont="1" applyFill="1" applyBorder="1" applyAlignment="1">
      <alignment horizontal="right"/>
    </xf>
    <xf numFmtId="0" fontId="13" fillId="0" borderId="0" xfId="49" applyFont="1" applyAlignment="1">
      <alignment vertical="center"/>
    </xf>
    <xf numFmtId="181" fontId="9" fillId="2" borderId="0" xfId="1" applyNumberFormat="1" applyFont="1" applyFill="1" applyAlignment="1">
      <alignment vertical="center"/>
    </xf>
    <xf numFmtId="181" fontId="13" fillId="0" borderId="0" xfId="49" applyNumberFormat="1" applyFont="1" applyAlignment="1">
      <alignment vertical="center"/>
    </xf>
    <xf numFmtId="0" fontId="11" fillId="0" borderId="0" xfId="51" applyFont="1" applyAlignment="1">
      <alignment vertical="center"/>
    </xf>
    <xf numFmtId="0" fontId="11" fillId="0" borderId="2" xfId="51" applyFont="1" applyBorder="1" applyAlignment="1">
      <alignment vertical="center"/>
    </xf>
    <xf numFmtId="49" fontId="10" fillId="0" borderId="0" xfId="51" applyNumberFormat="1" applyFont="1" applyAlignment="1">
      <alignment horizontal="left" indent="1"/>
    </xf>
    <xf numFmtId="0" fontId="12" fillId="0" borderId="2" xfId="51" applyFont="1" applyBorder="1" applyAlignment="1">
      <alignment vertical="center"/>
    </xf>
    <xf numFmtId="0" fontId="12" fillId="0" borderId="0" xfId="51" applyFont="1" applyAlignment="1">
      <alignment vertical="center"/>
    </xf>
    <xf numFmtId="0" fontId="15" fillId="0" borderId="0" xfId="0" applyFont="1" applyFill="1" applyAlignment="1">
      <alignment vertical="top"/>
    </xf>
    <xf numFmtId="181" fontId="15" fillId="0" borderId="0" xfId="1" applyNumberFormat="1" applyFont="1" applyAlignment="1">
      <alignment vertical="top"/>
    </xf>
    <xf numFmtId="182" fontId="15" fillId="0" borderId="0" xfId="0" applyNumberFormat="1" applyFont="1" applyFill="1" applyAlignment="1">
      <alignment vertical="top"/>
    </xf>
    <xf numFmtId="0" fontId="4" fillId="0" borderId="3" xfId="0" applyFont="1" applyFill="1" applyBorder="1" applyAlignment="1">
      <alignment vertical="top"/>
    </xf>
    <xf numFmtId="0" fontId="15" fillId="0" borderId="4" xfId="0" applyFont="1" applyFill="1" applyBorder="1" applyAlignment="1">
      <alignment horizontal="left" vertical="top" indent="2"/>
    </xf>
    <xf numFmtId="181" fontId="13" fillId="2" borderId="5" xfId="1" applyNumberFormat="1" applyFont="1" applyFill="1" applyBorder="1"/>
    <xf numFmtId="0" fontId="4" fillId="0" borderId="5" xfId="0" applyFont="1" applyFill="1" applyBorder="1" applyAlignment="1">
      <alignment vertical="top"/>
    </xf>
    <xf numFmtId="0" fontId="4" fillId="0" borderId="6" xfId="0" applyFont="1" applyFill="1" applyBorder="1" applyAlignment="1">
      <alignment horizontal="left" vertical="top" indent="2"/>
    </xf>
    <xf numFmtId="180" fontId="4" fillId="0" borderId="1" xfId="1" applyNumberFormat="1" applyFont="1" applyFill="1" applyBorder="1" applyAlignment="1">
      <alignment vertical="top"/>
    </xf>
    <xf numFmtId="180" fontId="4" fillId="0" borderId="7" xfId="1" applyNumberFormat="1" applyFont="1" applyBorder="1" applyAlignment="1">
      <alignment vertical="top"/>
    </xf>
    <xf numFmtId="0" fontId="4" fillId="0" borderId="0" xfId="0" applyFont="1" applyFill="1" applyAlignment="1">
      <alignment horizontal="left" vertical="top" indent="2"/>
    </xf>
    <xf numFmtId="181" fontId="13" fillId="2" borderId="0" xfId="1" applyNumberFormat="1" applyFont="1" applyFill="1"/>
    <xf numFmtId="0" fontId="4" fillId="0" borderId="0" xfId="0" applyFont="1" applyFill="1" applyAlignment="1">
      <alignment vertical="top"/>
    </xf>
    <xf numFmtId="0" fontId="4" fillId="0" borderId="1" xfId="0" applyFont="1" applyFill="1" applyBorder="1" applyAlignment="1">
      <alignment horizontal="left" vertical="top" wrapText="1"/>
    </xf>
    <xf numFmtId="0" fontId="4" fillId="0" borderId="1" xfId="0" applyFont="1" applyFill="1" applyBorder="1" applyAlignment="1">
      <alignment vertical="top" wrapText="1"/>
    </xf>
    <xf numFmtId="181" fontId="4" fillId="0" borderId="5" xfId="1" applyNumberFormat="1" applyFont="1" applyBorder="1" applyAlignment="1">
      <alignment vertical="top"/>
    </xf>
    <xf numFmtId="183" fontId="4" fillId="0" borderId="5" xfId="0" applyNumberFormat="1" applyFont="1" applyFill="1" applyBorder="1" applyAlignment="1">
      <alignment vertical="top"/>
    </xf>
    <xf numFmtId="181" fontId="4" fillId="0" borderId="0" xfId="1" applyNumberFormat="1" applyFont="1" applyFill="1" applyBorder="1" applyAlignment="1">
      <alignment vertical="top"/>
    </xf>
    <xf numFmtId="183" fontId="4" fillId="0" borderId="0" xfId="0" applyNumberFormat="1" applyFont="1" applyFill="1" applyAlignment="1">
      <alignment vertical="top"/>
    </xf>
    <xf numFmtId="0" fontId="9" fillId="2" borderId="0" xfId="49" applyFont="1" applyFill="1"/>
    <xf numFmtId="181" fontId="12" fillId="0" borderId="0" xfId="1" applyNumberFormat="1" applyFont="1" applyAlignment="1">
      <alignment horizontal="left" vertical="top" wrapText="1" indent="2"/>
    </xf>
    <xf numFmtId="0" fontId="12" fillId="0" borderId="0" xfId="51" applyFont="1" applyAlignment="1">
      <alignment horizontal="left" vertical="top" wrapText="1" indent="2"/>
    </xf>
    <xf numFmtId="0" fontId="12" fillId="0" borderId="0" xfId="51" applyFont="1" applyAlignment="1">
      <alignment horizontal="left" vertical="top" wrapText="1"/>
    </xf>
    <xf numFmtId="0" fontId="12" fillId="0" borderId="0" xfId="49" applyFont="1" applyAlignment="1" quotePrefix="1">
      <alignment horizontal="left" vertical="center" indent="1"/>
    </xf>
    <xf numFmtId="49" fontId="10" fillId="0" borderId="0" xfId="51" applyNumberFormat="1" applyFont="1" applyAlignment="1" quotePrefix="1">
      <alignment horizontal="left" indent="1"/>
    </xf>
  </cellXfs>
  <cellStyles count="53">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 name="Normal 11" xfId="49"/>
    <cellStyle name="Normal 2 2" xfId="50"/>
    <cellStyle name="Normal 2 3" xfId="51"/>
    <cellStyle name="Comma 2 2" xfId="52"/>
  </cellStyles>
  <dxfs count="17">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 name="PivotStylePreset2_Accent1" table="0" count="10" xr9:uid="{267968C8-6FFD-4C36-ACC1-9EA1FD1885CA}">
      <tableStyleElement type="headerRow" dxfId="16"/>
      <tableStyleElement type="totalRow" dxfId="15"/>
      <tableStyleElement type="firstRowStripe" dxfId="14"/>
      <tableStyleElement type="firstColumnStripe" dxfId="13"/>
      <tableStyleElement type="firstSubtotalRow" dxfId="12"/>
      <tableStyleElement type="secondSubtotalRow" dxfId="11"/>
      <tableStyleElement type="firstRowSubheading" dxfId="10"/>
      <tableStyleElement type="secondRowSubheading" dxfId="9"/>
      <tableStyleElement type="pageFieldLabels" dxfId="8"/>
      <tableStyleElement type="pageFieldValues" dxfId="7"/>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tyles" Target="styles.xml"/><Relationship Id="rId4" Type="http://schemas.openxmlformats.org/officeDocument/2006/relationships/sharedStrings" Target="sharedStrings.xml"/><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KIIT0001\Desktop\schedule-iii-agent\data\raw\In%20Lakhs%20%20BS_FY%2023-24%20V5%20-%20Final.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Queries"/>
      <sheetName val="Computation"/>
      <sheetName val="BS"/>
      <sheetName val="P&amp;L"/>
      <sheetName val="CFS"/>
      <sheetName val="Note 1"/>
      <sheetName val="Note 2 - 8"/>
      <sheetName val="Note 9"/>
      <sheetName val="Note 10-15"/>
      <sheetName val="Note 16-23"/>
      <sheetName val="Note 24-30"/>
      <sheetName val="Deferred Tax"/>
      <sheetName val="Key financial ratios"/>
      <sheetName val="IT dep 23-24"/>
      <sheetName val="Sechdules"/>
      <sheetName val="Trial Balance"/>
      <sheetName val="Trial Balance CB"/>
      <sheetName val="Creditors"/>
      <sheetName val="Debtors"/>
      <sheetName val="MAT"/>
      <sheetName val="Tally Balance Sheet"/>
      <sheetName val="Workings"/>
      <sheetName val="GST"/>
      <sheetName val="New Building"/>
      <sheetName val="GST INPUT"/>
      <sheetName val="FA Register Companies Act"/>
      <sheetName val="Tally P &amp; L Old"/>
      <sheetName val="TB 23-24Old"/>
      <sheetName val="FA Summary"/>
      <sheetName val="TB closing Bal Old"/>
      <sheetName val="Working"/>
      <sheetName val="age wise Debtors 31-03-23"/>
      <sheetName val="Creditors MSME Classification"/>
      <sheetName val="TB_BS 2021-22"/>
      <sheetName val="TB_PL 2021-22"/>
    </sheetNames>
    <sheetDataSet>
      <sheetData sheetId="0"/>
      <sheetData sheetId="1"/>
      <sheetData sheetId="2"/>
      <sheetData sheetId="3">
        <row r="16">
          <cell r="C16">
            <v>184.79778</v>
          </cell>
        </row>
      </sheetData>
      <sheetData sheetId="4"/>
      <sheetData sheetId="5"/>
      <sheetData sheetId="6"/>
      <sheetData sheetId="7"/>
      <sheetData sheetId="8">
        <row r="1">
          <cell r="A1">
            <v>0</v>
          </cell>
        </row>
        <row r="2">
          <cell r="A2">
            <v>0</v>
          </cell>
        </row>
        <row r="3">
          <cell r="A3" t="str">
            <v>Notes to financial statements for the year ended March 31, 2024</v>
          </cell>
        </row>
        <row r="5">
          <cell r="C5" t="str">
            <v>In Lakhs</v>
          </cell>
        </row>
        <row r="13">
          <cell r="B13">
            <v>9.9217</v>
          </cell>
        </row>
      </sheetData>
      <sheetData sheetId="9"/>
      <sheetData sheetId="10"/>
      <sheetData sheetId="11"/>
      <sheetData sheetId="12"/>
      <sheetData sheetId="13"/>
      <sheetData sheetId="14">
        <row r="177">
          <cell r="B177">
            <v>82217814</v>
          </cell>
        </row>
        <row r="183">
          <cell r="B183">
            <v>20156551</v>
          </cell>
          <cell r="C183">
            <v>14369435</v>
          </cell>
        </row>
        <row r="193">
          <cell r="B193">
            <v>987499.16</v>
          </cell>
        </row>
        <row r="214">
          <cell r="B214">
            <v>17581341.31</v>
          </cell>
        </row>
        <row r="221">
          <cell r="B221">
            <v>256684.98</v>
          </cell>
        </row>
        <row r="235">
          <cell r="B235">
            <v>4879398.25</v>
          </cell>
        </row>
        <row r="246">
          <cell r="B246">
            <v>2378041</v>
          </cell>
        </row>
        <row r="267">
          <cell r="B267">
            <v>357233.19</v>
          </cell>
        </row>
        <row r="275">
          <cell r="B275">
            <v>8064763.62</v>
          </cell>
        </row>
      </sheetData>
      <sheetData sheetId="15">
        <row r="33">
          <cell r="B33">
            <v>1013265</v>
          </cell>
        </row>
        <row r="47">
          <cell r="D47">
            <v>145194733.6</v>
          </cell>
        </row>
        <row r="48">
          <cell r="D48">
            <v>7268083</v>
          </cell>
        </row>
        <row r="49">
          <cell r="D49">
            <v>170284955.33</v>
          </cell>
        </row>
        <row r="50">
          <cell r="D50">
            <v>619200</v>
          </cell>
        </row>
        <row r="51">
          <cell r="C51">
            <v>6157245</v>
          </cell>
        </row>
        <row r="52">
          <cell r="D52">
            <v>554045.6</v>
          </cell>
        </row>
        <row r="53">
          <cell r="D53">
            <v>80000</v>
          </cell>
        </row>
        <row r="54">
          <cell r="D54">
            <v>700200.29</v>
          </cell>
        </row>
        <row r="56">
          <cell r="D56">
            <v>9500</v>
          </cell>
        </row>
        <row r="57">
          <cell r="D57">
            <v>1831650</v>
          </cell>
        </row>
        <row r="58">
          <cell r="D58">
            <v>22126464.51</v>
          </cell>
        </row>
        <row r="62">
          <cell r="D62">
            <v>7414000</v>
          </cell>
        </row>
        <row r="71">
          <cell r="D71">
            <v>1323766</v>
          </cell>
        </row>
        <row r="72">
          <cell r="D72">
            <v>29552693</v>
          </cell>
        </row>
        <row r="79">
          <cell r="D79">
            <v>33120</v>
          </cell>
        </row>
        <row r="80">
          <cell r="D80">
            <v>2636798</v>
          </cell>
        </row>
        <row r="81">
          <cell r="D81">
            <v>183682.38</v>
          </cell>
        </row>
        <row r="84">
          <cell r="D84">
            <v>4861950.41</v>
          </cell>
        </row>
        <row r="92">
          <cell r="D92">
            <v>11910.2</v>
          </cell>
        </row>
        <row r="93">
          <cell r="C93">
            <v>2470922</v>
          </cell>
        </row>
        <row r="94">
          <cell r="D94">
            <v>64124</v>
          </cell>
        </row>
        <row r="95">
          <cell r="D95">
            <v>140405.58</v>
          </cell>
        </row>
        <row r="96">
          <cell r="D96">
            <v>1386039.21</v>
          </cell>
        </row>
        <row r="97">
          <cell r="D97">
            <v>10943323.54</v>
          </cell>
        </row>
        <row r="100">
          <cell r="D100">
            <v>98050</v>
          </cell>
        </row>
        <row r="101">
          <cell r="D101">
            <v>521160.1</v>
          </cell>
        </row>
        <row r="103">
          <cell r="D103">
            <v>983916.79</v>
          </cell>
        </row>
        <row r="120">
          <cell r="D120">
            <v>636117</v>
          </cell>
        </row>
        <row r="122">
          <cell r="D122">
            <v>15000</v>
          </cell>
        </row>
        <row r="123">
          <cell r="D123">
            <v>3501405</v>
          </cell>
        </row>
        <row r="124">
          <cell r="D124">
            <v>288000</v>
          </cell>
        </row>
        <row r="131">
          <cell r="D131">
            <v>2419542.29</v>
          </cell>
        </row>
        <row r="135">
          <cell r="D135">
            <v>100270</v>
          </cell>
        </row>
        <row r="137">
          <cell r="D137">
            <v>1900</v>
          </cell>
        </row>
        <row r="141">
          <cell r="D141">
            <v>1767435.42</v>
          </cell>
        </row>
        <row r="145">
          <cell r="D145">
            <v>1173753</v>
          </cell>
        </row>
        <row r="147">
          <cell r="D147">
            <v>25000</v>
          </cell>
        </row>
        <row r="148">
          <cell r="D148">
            <v>237500</v>
          </cell>
        </row>
        <row r="149">
          <cell r="D149">
            <v>10800</v>
          </cell>
        </row>
        <row r="157">
          <cell r="D157">
            <v>335978.02</v>
          </cell>
        </row>
        <row r="158">
          <cell r="D158">
            <v>141640</v>
          </cell>
        </row>
        <row r="159">
          <cell r="D159">
            <v>351574</v>
          </cell>
        </row>
        <row r="160">
          <cell r="C160">
            <v>1046782.92</v>
          </cell>
        </row>
        <row r="161">
          <cell r="D161">
            <v>133986</v>
          </cell>
        </row>
      </sheetData>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113"/>
  <sheetViews>
    <sheetView tabSelected="1" topLeftCell="A106" workbookViewId="0">
      <selection activeCell="B119" sqref="B119"/>
    </sheetView>
  </sheetViews>
  <sheetFormatPr defaultColWidth="8.72727272727273" defaultRowHeight="14.5" outlineLevelCol="2"/>
  <cols>
    <col min="1" max="1" width="39.9090909090909" customWidth="1"/>
    <col min="2" max="2" width="35.5454545454545" customWidth="1"/>
    <col min="3" max="3" width="30.3636363636364" customWidth="1"/>
  </cols>
  <sheetData>
    <row r="1" ht="18" spans="1:3">
      <c r="A1" s="1">
        <f>'[1]Note 10-15'!A1</f>
        <v>0</v>
      </c>
      <c r="B1" s="2"/>
      <c r="C1" s="3"/>
    </row>
    <row r="2" spans="1:3">
      <c r="A2" s="4">
        <f>+'[1]Note 10-15'!A2</f>
        <v>0</v>
      </c>
      <c r="B2" s="2"/>
      <c r="C2" s="5"/>
    </row>
    <row r="3" spans="1:3">
      <c r="A3" s="4" t="str">
        <f>+'[1]Note 10-15'!A3</f>
        <v>Notes to financial statements for the year ended March 31, 2024</v>
      </c>
      <c r="B3" s="2"/>
      <c r="C3" s="5"/>
    </row>
    <row r="4" spans="1:3">
      <c r="A4" s="6"/>
      <c r="B4" s="2"/>
      <c r="C4" s="7"/>
    </row>
    <row r="5" spans="1:3">
      <c r="A5" s="8" t="s">
        <v>0</v>
      </c>
      <c r="B5" s="9"/>
      <c r="C5" s="10" t="str">
        <f>'[1]Note 10-15'!C5</f>
        <v>In Lakhs</v>
      </c>
    </row>
    <row r="6" spans="1:3">
      <c r="A6" s="11"/>
      <c r="B6" s="12">
        <v>45382</v>
      </c>
      <c r="C6" s="12">
        <v>45016</v>
      </c>
    </row>
    <row r="7" spans="1:3">
      <c r="A7" s="8" t="s">
        <v>1</v>
      </c>
      <c r="B7" s="13"/>
      <c r="C7" s="14"/>
    </row>
    <row r="8" spans="1:3">
      <c r="A8" s="15" t="s">
        <v>2</v>
      </c>
      <c r="B8" s="16">
        <f>(+'[1]Trial Balance'!D48+'[1]Trial Balance'!D49+'[1]Trial Balance'!D50+'[1]Trial Balance'!D53+'[1]Trial Balance'!D54+'[1]Trial Balance'!C51)/100000</f>
        <v>1851.0968362</v>
      </c>
      <c r="C8" s="17">
        <f>(224575962+45082185)/100000</f>
        <v>2696.58147</v>
      </c>
    </row>
    <row r="9" spans="1:3">
      <c r="A9" s="15" t="s">
        <v>3</v>
      </c>
      <c r="B9" s="18">
        <f>(+'[1]Trial Balance'!D47+'[1]Trial Balance'!D52)/100000</f>
        <v>1457.487792</v>
      </c>
      <c r="C9" s="18">
        <f>157650994.75/100000</f>
        <v>1576.5099475</v>
      </c>
    </row>
    <row r="10" spans="1:3">
      <c r="A10" s="19"/>
      <c r="B10" s="20">
        <f>SUM(B8:B9)</f>
        <v>3308.5846282</v>
      </c>
      <c r="C10" s="20">
        <f>SUM(C8:C9)</f>
        <v>4273.0914175</v>
      </c>
    </row>
    <row r="11" spans="1:3">
      <c r="A11" s="21"/>
      <c r="B11" s="22"/>
      <c r="C11" s="23"/>
    </row>
    <row r="12" spans="1:3">
      <c r="A12" s="24" t="s">
        <v>4</v>
      </c>
      <c r="B12" s="25"/>
      <c r="C12" s="23"/>
    </row>
    <row r="13" spans="1:3">
      <c r="A13" s="26"/>
      <c r="B13" s="12">
        <v>45382</v>
      </c>
      <c r="C13" s="12">
        <v>45016</v>
      </c>
    </row>
    <row r="14" spans="1:3">
      <c r="A14" s="27" t="s">
        <v>5</v>
      </c>
      <c r="B14" s="28">
        <f>(2735025+267800)/100000</f>
        <v>30.02825</v>
      </c>
      <c r="C14" s="29">
        <f>2389011/100000</f>
        <v>23.89011</v>
      </c>
    </row>
    <row r="15" spans="1:3">
      <c r="A15" s="30" t="s">
        <v>6</v>
      </c>
      <c r="B15" s="31">
        <f>8975187.16/100000</f>
        <v>89.7518716</v>
      </c>
      <c r="C15" s="29">
        <f>6872497.53/100000</f>
        <v>68.7249753</v>
      </c>
    </row>
    <row r="16" spans="1:3">
      <c r="A16" s="32"/>
      <c r="B16" s="33">
        <f>SUM(B14:B15)</f>
        <v>119.7801216</v>
      </c>
      <c r="C16" s="20">
        <f>SUM(C14:C15)</f>
        <v>92.6150853</v>
      </c>
    </row>
    <row r="17" spans="1:3">
      <c r="A17" s="30"/>
      <c r="B17" s="34"/>
      <c r="C17" s="35"/>
    </row>
    <row r="18" spans="1:3">
      <c r="A18" s="24" t="s">
        <v>7</v>
      </c>
      <c r="B18" s="34"/>
      <c r="C18" s="35"/>
    </row>
    <row r="19" spans="1:3">
      <c r="A19" s="26"/>
      <c r="B19" s="12">
        <v>45382</v>
      </c>
      <c r="C19" s="12">
        <v>45016</v>
      </c>
    </row>
    <row r="20" spans="1:3">
      <c r="A20" s="30" t="s">
        <v>8</v>
      </c>
      <c r="B20" s="29">
        <f>+'[1]Trial Balance'!B33/100000</f>
        <v>10.13265</v>
      </c>
      <c r="C20" s="29">
        <f>1146160/100000</f>
        <v>11.4616</v>
      </c>
    </row>
    <row r="21" spans="1:3">
      <c r="A21" s="30" t="s">
        <v>9</v>
      </c>
      <c r="B21" s="36">
        <f>(+'[1]Trial Balance'!D56+'[1]Trial Balance'!D57+'[1]Trial Balance'!D58)/100000</f>
        <v>239.6761451</v>
      </c>
      <c r="C21" s="36">
        <f>40255620.72/100000</f>
        <v>402.5562072</v>
      </c>
    </row>
    <row r="22" spans="1:3">
      <c r="A22" s="30"/>
      <c r="B22" s="29">
        <f>+B20+B21</f>
        <v>249.8087951</v>
      </c>
      <c r="C22" s="29">
        <f>41401780.72/100000</f>
        <v>414.0178072</v>
      </c>
    </row>
    <row r="23" spans="1:3">
      <c r="A23" s="30" t="s">
        <v>10</v>
      </c>
      <c r="B23" s="37">
        <f>+'[1]Note 10-15'!B13</f>
        <v>9.9217</v>
      </c>
      <c r="C23" s="29">
        <f>1013265/100000</f>
        <v>10.13265</v>
      </c>
    </row>
    <row r="24" spans="1:3">
      <c r="A24" s="32" t="s">
        <v>11</v>
      </c>
      <c r="B24" s="20">
        <f>+B22-B23</f>
        <v>239.8870951</v>
      </c>
      <c r="C24" s="20">
        <f>+C22-C23</f>
        <v>403.8851572</v>
      </c>
    </row>
    <row r="25" spans="1:3">
      <c r="A25" s="30"/>
      <c r="B25" s="34"/>
      <c r="C25" s="35"/>
    </row>
    <row r="26" spans="1:3">
      <c r="A26" s="24" t="s">
        <v>12</v>
      </c>
      <c r="B26" s="34"/>
      <c r="C26" s="35"/>
    </row>
    <row r="27" spans="1:3">
      <c r="A27" s="26"/>
      <c r="B27" s="12">
        <v>45382</v>
      </c>
      <c r="C27" s="12">
        <v>45016</v>
      </c>
    </row>
    <row r="28" spans="1:3">
      <c r="A28" s="30" t="s">
        <v>13</v>
      </c>
      <c r="B28" s="28">
        <f>[1]Sechdules!B177/100000</f>
        <v>822.17814</v>
      </c>
      <c r="C28" s="29">
        <f>82381202.88/100000</f>
        <v>823.8120288</v>
      </c>
    </row>
    <row r="29" spans="1:3">
      <c r="A29" s="30" t="s">
        <v>14</v>
      </c>
      <c r="B29" s="38">
        <f>G30/100000</f>
        <v>0</v>
      </c>
      <c r="C29" s="29">
        <f>2713278/100000</f>
        <v>27.13278</v>
      </c>
    </row>
    <row r="30" spans="1:3">
      <c r="A30" s="30" t="s">
        <v>15</v>
      </c>
      <c r="B30" s="31">
        <f>[1]Sechdules!B193/100000</f>
        <v>9.8749916</v>
      </c>
      <c r="C30" s="29">
        <f>1384327.5/100000</f>
        <v>13.843275</v>
      </c>
    </row>
    <row r="31" spans="1:3">
      <c r="A31" s="32"/>
      <c r="B31" s="33">
        <f>ROUND(SUM(B28:B30),0)</f>
        <v>832</v>
      </c>
      <c r="C31" s="20">
        <f>ROUND(SUM(C28:C30),0)</f>
        <v>865</v>
      </c>
    </row>
    <row r="32" spans="1:3">
      <c r="A32" s="30"/>
      <c r="B32" s="34"/>
      <c r="C32" s="35"/>
    </row>
    <row r="33" spans="1:3">
      <c r="A33" s="24" t="s">
        <v>16</v>
      </c>
      <c r="B33" s="39"/>
      <c r="C33" s="23"/>
    </row>
    <row r="34" spans="1:3">
      <c r="A34" s="26"/>
      <c r="B34" s="12">
        <v>45382</v>
      </c>
      <c r="C34" s="12">
        <v>45016</v>
      </c>
    </row>
    <row r="35" spans="1:3">
      <c r="A35" s="30" t="s">
        <v>17</v>
      </c>
      <c r="B35" s="29">
        <f>+'[1]Trial Balance'!D62/100000</f>
        <v>74.14</v>
      </c>
      <c r="C35" s="29">
        <f>5526363/100000</f>
        <v>55.26363</v>
      </c>
    </row>
    <row r="36" spans="1:3">
      <c r="A36" s="30" t="s">
        <v>18</v>
      </c>
      <c r="B36" s="29">
        <f>+'[1]Trial Balance'!D81/100000</f>
        <v>1.8368238</v>
      </c>
      <c r="C36" s="40">
        <v>0</v>
      </c>
    </row>
    <row r="37" spans="1:3">
      <c r="A37" s="30" t="s">
        <v>19</v>
      </c>
      <c r="B37" s="29">
        <f>(+'[1]Trial Balance'!D71+'[1]Trial Balance'!D72)/100000</f>
        <v>308.76459</v>
      </c>
      <c r="C37" s="29">
        <f>59199190.95/100000</f>
        <v>591.9919095</v>
      </c>
    </row>
    <row r="38" spans="1:3">
      <c r="A38" s="30" t="s">
        <v>20</v>
      </c>
      <c r="B38" s="29">
        <f>[1]Sechdules!B214/100000</f>
        <v>175.8134131</v>
      </c>
      <c r="C38" s="29">
        <f>(24500367.9-1339841)/100000</f>
        <v>231.605269</v>
      </c>
    </row>
    <row r="39" spans="1:3">
      <c r="A39" s="30" t="s">
        <v>21</v>
      </c>
      <c r="B39" s="29">
        <f>+'[1]Trial Balance'!D123/100000</f>
        <v>35.01405</v>
      </c>
      <c r="C39" s="29">
        <f>6029296/100000</f>
        <v>60.29296</v>
      </c>
    </row>
    <row r="40" spans="1:3">
      <c r="A40" s="30" t="s">
        <v>22</v>
      </c>
      <c r="B40" s="29">
        <f>[1]Sechdules!B183/100000</f>
        <v>201.56551</v>
      </c>
      <c r="C40" s="29">
        <f>[1]Sechdules!C183/100000</f>
        <v>143.69435</v>
      </c>
    </row>
    <row r="41" spans="1:3">
      <c r="A41" s="30" t="s">
        <v>23</v>
      </c>
      <c r="B41" s="29">
        <f>(+'[1]Trial Balance'!D135+'[1]Trial Balance'!D137)/100000</f>
        <v>1.0217</v>
      </c>
      <c r="C41" s="29">
        <f>33073.16/100000</f>
        <v>0.3307316</v>
      </c>
    </row>
    <row r="42" spans="1:3">
      <c r="A42" s="30" t="s">
        <v>24</v>
      </c>
      <c r="B42" s="29">
        <f>(+'[1]Trial Balance'!D122+'[1]Trial Balance'!D149+'[1]Trial Balance'!D158)/100000</f>
        <v>1.6744</v>
      </c>
      <c r="C42" s="29">
        <f>156640/100000</f>
        <v>1.5664</v>
      </c>
    </row>
    <row r="43" spans="1:3">
      <c r="A43" s="30" t="s">
        <v>25</v>
      </c>
      <c r="B43" s="29">
        <f>[1]Sechdules!B221/100000</f>
        <v>2.5668498</v>
      </c>
      <c r="C43" s="29">
        <f>280745.86/100000</f>
        <v>2.8074586</v>
      </c>
    </row>
    <row r="44" spans="1:3">
      <c r="A44" s="30" t="s">
        <v>26</v>
      </c>
      <c r="B44" s="29">
        <f>+'[1]Trial Balance'!D79/100000</f>
        <v>0.3312</v>
      </c>
      <c r="C44" s="29">
        <f>169200/100000</f>
        <v>1.692</v>
      </c>
    </row>
    <row r="45" spans="1:3">
      <c r="A45" s="30" t="s">
        <v>27</v>
      </c>
      <c r="B45" s="29">
        <f>+'[1]Trial Balance'!D92/100000</f>
        <v>0.119102</v>
      </c>
      <c r="C45" s="29">
        <f>63432/100000</f>
        <v>0.63432</v>
      </c>
    </row>
    <row r="46" spans="1:3">
      <c r="A46" s="30" t="s">
        <v>28</v>
      </c>
      <c r="B46" s="29">
        <f>+'[1]Trial Balance'!D131/100000</f>
        <v>24.1954229</v>
      </c>
      <c r="C46" s="29">
        <f>3364031.24/100000</f>
        <v>33.6403124</v>
      </c>
    </row>
    <row r="47" spans="1:3">
      <c r="A47" s="30" t="s">
        <v>29</v>
      </c>
      <c r="B47" s="29">
        <f>'[1]Trial Balance'!C93/100000</f>
        <v>24.70922</v>
      </c>
      <c r="C47" s="29">
        <f>1339841/100000</f>
        <v>13.39841</v>
      </c>
    </row>
    <row r="48" spans="1:3">
      <c r="A48" s="30" t="s">
        <v>30</v>
      </c>
      <c r="B48" s="29">
        <f>+'[1]Trial Balance'!D157/100000</f>
        <v>3.3597802</v>
      </c>
      <c r="C48" s="29">
        <f>271405.04/100000</f>
        <v>2.7140504</v>
      </c>
    </row>
    <row r="49" spans="1:3">
      <c r="A49" s="30" t="s">
        <v>31</v>
      </c>
      <c r="B49" s="29">
        <f>+'[1]Trial Balance'!D161/100000</f>
        <v>1.33986</v>
      </c>
      <c r="C49" s="29">
        <f>53803/100000</f>
        <v>0.53803</v>
      </c>
    </row>
    <row r="50" spans="1:3">
      <c r="A50" s="30" t="s">
        <v>32</v>
      </c>
      <c r="B50" s="29">
        <f>+'[1]Trial Balance'!D159/100000</f>
        <v>3.51574</v>
      </c>
      <c r="C50" s="40">
        <v>0</v>
      </c>
    </row>
    <row r="51" spans="1:3">
      <c r="A51" s="30" t="s">
        <v>33</v>
      </c>
      <c r="B51" s="29">
        <f>(+'[1]Trial Balance'!D97-G51)/100000</f>
        <v>109.4332354</v>
      </c>
      <c r="C51" s="29">
        <f>11518647/100000</f>
        <v>115.18647</v>
      </c>
    </row>
    <row r="52" spans="1:3">
      <c r="A52" s="30" t="s">
        <v>34</v>
      </c>
      <c r="B52" s="29">
        <f>+'[1]Trial Balance'!D145/100000</f>
        <v>11.73753</v>
      </c>
      <c r="C52" s="29">
        <f>990744/100000</f>
        <v>9.90744</v>
      </c>
    </row>
    <row r="53" spans="1:3">
      <c r="A53" s="30" t="s">
        <v>35</v>
      </c>
      <c r="B53" s="28">
        <f>+'[1]Trial Balance'!D80/100000</f>
        <v>26.36798</v>
      </c>
      <c r="C53" s="29">
        <f>3413233/100000</f>
        <v>34.13233</v>
      </c>
    </row>
    <row r="54" spans="1:3">
      <c r="A54" s="30" t="s">
        <v>36</v>
      </c>
      <c r="B54" s="41"/>
      <c r="C54" s="29"/>
    </row>
    <row r="55" spans="1:3">
      <c r="A55" s="92" t="s">
        <v>37</v>
      </c>
      <c r="B55" s="28">
        <f>(+'[1]Trial Balance'!D96-G52)/100000</f>
        <v>13.8603921</v>
      </c>
      <c r="C55" s="29">
        <f>278257.34/100000</f>
        <v>2.7825734</v>
      </c>
    </row>
    <row r="56" spans="1:3">
      <c r="A56" s="92" t="s">
        <v>38</v>
      </c>
      <c r="B56" s="43">
        <f>([1]Sechdules!B235-G53)/100000</f>
        <v>48.7939825</v>
      </c>
      <c r="C56" s="29">
        <f>4843890.44/100000</f>
        <v>48.4389044</v>
      </c>
    </row>
    <row r="57" spans="1:3">
      <c r="A57" s="92" t="s">
        <v>39</v>
      </c>
      <c r="B57" s="28">
        <f>(+'[1]Trial Balance'!D141-G50)/100000</f>
        <v>17.6743542</v>
      </c>
      <c r="C57" s="29">
        <f>1031857.1/100000</f>
        <v>10.318571</v>
      </c>
    </row>
    <row r="58" spans="1:3">
      <c r="A58" s="92" t="s">
        <v>40</v>
      </c>
      <c r="B58" s="28"/>
      <c r="C58" s="29">
        <f>182834.7/100000</f>
        <v>1.828347</v>
      </c>
    </row>
    <row r="59" spans="1:3">
      <c r="A59" s="92" t="s">
        <v>41</v>
      </c>
      <c r="B59" s="28"/>
      <c r="C59" s="28">
        <f>410437.52/100000</f>
        <v>4.1043752</v>
      </c>
    </row>
    <row r="60" spans="1:3">
      <c r="A60" s="30" t="s">
        <v>42</v>
      </c>
      <c r="B60" s="28">
        <f>+'[1]Trial Balance'!D84/100000</f>
        <v>48.6195041</v>
      </c>
      <c r="C60" s="28">
        <f>3894860.05/100000</f>
        <v>38.9486005</v>
      </c>
    </row>
    <row r="61" spans="1:3">
      <c r="A61" s="30" t="s">
        <v>43</v>
      </c>
      <c r="B61" s="28">
        <f>[1]Sechdules!B246/100000</f>
        <v>23.78041</v>
      </c>
      <c r="C61" s="28">
        <f>4809414/100000</f>
        <v>48.09414</v>
      </c>
    </row>
    <row r="62" spans="1:3">
      <c r="A62" s="30" t="s">
        <v>44</v>
      </c>
      <c r="B62" s="28">
        <f>35000/100000</f>
        <v>0.35</v>
      </c>
      <c r="C62" s="28">
        <f>35000/100000</f>
        <v>0.35</v>
      </c>
    </row>
    <row r="63" spans="1:3">
      <c r="A63" s="44" t="s">
        <v>45</v>
      </c>
      <c r="B63" s="43">
        <v>0</v>
      </c>
      <c r="C63" s="28">
        <f>167387.32/100000</f>
        <v>1.6738732</v>
      </c>
    </row>
    <row r="64" spans="1:3">
      <c r="A64" s="44" t="s">
        <v>46</v>
      </c>
      <c r="B64" s="43">
        <f>+'[1]Trial Balance'!D100/100000</f>
        <v>0.9805</v>
      </c>
      <c r="C64" s="40">
        <v>0</v>
      </c>
    </row>
    <row r="65" spans="1:3">
      <c r="A65" s="44" t="s">
        <v>47</v>
      </c>
      <c r="B65" s="43">
        <f>+'[1]Trial Balance'!D101/100000</f>
        <v>5.211601</v>
      </c>
      <c r="C65" s="40">
        <v>0</v>
      </c>
    </row>
    <row r="66" spans="1:3">
      <c r="A66" s="44" t="s">
        <v>48</v>
      </c>
      <c r="B66" s="43">
        <f>(+'[1]Trial Balance'!D103+'[1]Trial Balance'!D95)/100000</f>
        <v>11.2432237</v>
      </c>
      <c r="C66" s="40">
        <v>0</v>
      </c>
    </row>
    <row r="67" spans="1:3">
      <c r="A67" s="44" t="s">
        <v>49</v>
      </c>
      <c r="B67" s="43">
        <f>+'[1]Trial Balance'!D120/100000</f>
        <v>6.36117</v>
      </c>
      <c r="C67" s="40">
        <v>0</v>
      </c>
    </row>
    <row r="68" spans="1:3">
      <c r="A68" s="44" t="s">
        <v>50</v>
      </c>
      <c r="B68" s="45">
        <f>+'[1]Trial Balance'!D124/100000</f>
        <v>2.88</v>
      </c>
      <c r="C68" s="40">
        <v>0</v>
      </c>
    </row>
    <row r="69" spans="1:3">
      <c r="A69" s="44" t="s">
        <v>51</v>
      </c>
      <c r="B69" s="43">
        <f>+'[1]Trial Balance'!D147/100000</f>
        <v>0.25</v>
      </c>
      <c r="C69" s="40">
        <v>0</v>
      </c>
    </row>
    <row r="70" spans="1:3">
      <c r="A70" s="44" t="s">
        <v>52</v>
      </c>
      <c r="B70" s="46">
        <f>+'[1]Trial Balance'!D94/100000</f>
        <v>0.64124</v>
      </c>
      <c r="C70" s="40">
        <v>0</v>
      </c>
    </row>
    <row r="71" spans="1:3">
      <c r="A71" s="47" t="s">
        <v>53</v>
      </c>
      <c r="B71" s="48">
        <f>'[1]Trial Balance'!C160/100000</f>
        <v>10.4678292</v>
      </c>
      <c r="C71" s="40">
        <v>0</v>
      </c>
    </row>
    <row r="72" spans="1:3">
      <c r="A72" s="44" t="s">
        <v>54</v>
      </c>
      <c r="B72" s="46">
        <f>+'[1]Trial Balance'!D148/100000</f>
        <v>2.375</v>
      </c>
      <c r="C72" s="40">
        <v>0</v>
      </c>
    </row>
    <row r="73" spans="1:3">
      <c r="A73" s="44" t="s">
        <v>55</v>
      </c>
      <c r="B73" s="28">
        <f>[1]Sechdules!B267/100000</f>
        <v>3.5723319</v>
      </c>
      <c r="C73" s="28">
        <f>1661914.67/100000</f>
        <v>16.6191467</v>
      </c>
    </row>
    <row r="74" spans="1:3">
      <c r="A74" s="26"/>
      <c r="B74" s="33">
        <f>SUM(B35:B73)</f>
        <v>1204.5679459</v>
      </c>
      <c r="C74" s="20">
        <f>SUM(C35:C73)</f>
        <v>1472.5546029</v>
      </c>
    </row>
    <row r="75" spans="1:3">
      <c r="A75" s="49" t="s">
        <v>56</v>
      </c>
      <c r="B75" s="50"/>
      <c r="C75" s="51"/>
    </row>
    <row r="76" spans="1:3">
      <c r="A76" s="49"/>
      <c r="B76" s="50"/>
      <c r="C76" s="52"/>
    </row>
    <row r="77" spans="1:3">
      <c r="A77" s="24" t="s">
        <v>57</v>
      </c>
      <c r="B77" s="50"/>
      <c r="C77" s="35"/>
    </row>
    <row r="78" spans="1:3">
      <c r="A78" s="32"/>
      <c r="B78" s="12">
        <v>45382</v>
      </c>
      <c r="C78" s="12">
        <v>45016</v>
      </c>
    </row>
    <row r="79" spans="1:3">
      <c r="A79" s="30" t="s">
        <v>58</v>
      </c>
      <c r="B79" s="28">
        <f>+'[1]P&amp;L'!C16</f>
        <v>184.79778</v>
      </c>
      <c r="C79" s="29">
        <f>16997991/100000</f>
        <v>169.97991</v>
      </c>
    </row>
    <row r="80" spans="1:3">
      <c r="A80" s="26"/>
      <c r="B80" s="33">
        <f>SUM(B79:B79)</f>
        <v>184.79778</v>
      </c>
      <c r="C80" s="20">
        <f>SUM(C79:C79)</f>
        <v>169.97991</v>
      </c>
    </row>
    <row r="81" spans="1:3">
      <c r="A81" s="30"/>
      <c r="B81" s="50"/>
      <c r="C81" s="35"/>
    </row>
    <row r="82" spans="1:3">
      <c r="A82" s="24" t="s">
        <v>59</v>
      </c>
      <c r="B82" s="50"/>
      <c r="C82" s="35"/>
    </row>
    <row r="83" spans="1:3">
      <c r="A83" s="32"/>
      <c r="B83" s="12">
        <f>B78</f>
        <v>45382</v>
      </c>
      <c r="C83" s="12">
        <f>C78</f>
        <v>45016</v>
      </c>
    </row>
    <row r="84" spans="1:3">
      <c r="A84" s="30" t="s">
        <v>60</v>
      </c>
      <c r="B84" s="34">
        <v>0</v>
      </c>
      <c r="C84" s="53">
        <v>0</v>
      </c>
    </row>
    <row r="85" spans="1:3">
      <c r="A85" s="30" t="s">
        <v>61</v>
      </c>
      <c r="B85" s="34">
        <v>0</v>
      </c>
      <c r="C85" s="53">
        <v>0</v>
      </c>
    </row>
    <row r="86" spans="1:3">
      <c r="A86" s="30" t="s">
        <v>62</v>
      </c>
      <c r="B86" s="54">
        <v>0</v>
      </c>
      <c r="C86" s="55">
        <v>0</v>
      </c>
    </row>
    <row r="87" spans="1:3">
      <c r="A87" s="26"/>
      <c r="B87" s="56">
        <f>ROUND(SUM(B84:B86),0)</f>
        <v>0</v>
      </c>
      <c r="C87" s="57">
        <v>0</v>
      </c>
    </row>
    <row r="88" spans="1:3">
      <c r="A88" s="30"/>
      <c r="B88" s="50"/>
      <c r="C88" s="58"/>
    </row>
    <row r="89" spans="1:3">
      <c r="A89" s="24" t="s">
        <v>63</v>
      </c>
      <c r="B89" s="50"/>
      <c r="C89" s="35"/>
    </row>
    <row r="90" spans="1:3">
      <c r="A90" s="32"/>
      <c r="B90" s="12">
        <v>45382</v>
      </c>
      <c r="C90" s="12">
        <v>45016</v>
      </c>
    </row>
    <row r="91" spans="1:3">
      <c r="A91" s="30" t="s">
        <v>64</v>
      </c>
      <c r="B91" s="59">
        <f>[1]Sechdules!B275/100000</f>
        <v>80.6476362</v>
      </c>
      <c r="C91" s="60">
        <f>7118672.25/100000</f>
        <v>71.1867225</v>
      </c>
    </row>
    <row r="92" spans="1:3">
      <c r="A92" s="26"/>
      <c r="B92" s="20">
        <f>ROUND(SUM(B91:B91),0)</f>
        <v>81</v>
      </c>
      <c r="C92" s="20">
        <f>ROUND(SUM(C91:C91),0)</f>
        <v>71</v>
      </c>
    </row>
    <row r="93" spans="1:3">
      <c r="A93" s="61"/>
      <c r="B93" s="62"/>
      <c r="C93" s="63"/>
    </row>
    <row r="94" spans="1:3">
      <c r="A94" s="64" t="s">
        <v>65</v>
      </c>
      <c r="B94" s="50"/>
      <c r="C94" s="52"/>
    </row>
    <row r="95" spans="1:3">
      <c r="A95" s="65"/>
      <c r="B95" s="12">
        <v>45382</v>
      </c>
      <c r="C95" s="12">
        <v>45016</v>
      </c>
    </row>
    <row r="96" spans="1:3">
      <c r="A96" s="93" t="s">
        <v>66</v>
      </c>
      <c r="B96" s="28">
        <f>35000/1000</f>
        <v>35</v>
      </c>
      <c r="C96" s="29">
        <f>35000/1000</f>
        <v>35</v>
      </c>
    </row>
    <row r="97" spans="1:3">
      <c r="A97" s="93" t="s">
        <v>67</v>
      </c>
      <c r="B97" s="43">
        <v>0</v>
      </c>
      <c r="C97" s="43">
        <v>0</v>
      </c>
    </row>
    <row r="98" spans="1:3">
      <c r="A98" s="67"/>
      <c r="B98" s="33">
        <f>SUM(B96:B97)</f>
        <v>35</v>
      </c>
      <c r="C98" s="33">
        <f>SUM(C96:C97)</f>
        <v>35</v>
      </c>
    </row>
    <row r="99" spans="1:3">
      <c r="A99" s="68"/>
      <c r="B99" s="50"/>
      <c r="C99" s="50"/>
    </row>
    <row r="100" spans="1:3">
      <c r="A100" s="69" t="s">
        <v>68</v>
      </c>
      <c r="B100" s="70"/>
      <c r="C100" s="71"/>
    </row>
    <row r="101" spans="1:3">
      <c r="A101" s="72"/>
      <c r="B101" s="12">
        <v>45382</v>
      </c>
      <c r="C101" s="12">
        <v>45016</v>
      </c>
    </row>
    <row r="102" spans="1:3">
      <c r="A102" s="73" t="s">
        <v>69</v>
      </c>
      <c r="B102" s="74"/>
      <c r="C102" s="75"/>
    </row>
    <row r="103" spans="1:3">
      <c r="A103" s="76" t="s">
        <v>70</v>
      </c>
      <c r="B103" s="77">
        <f>B9/83.9</f>
        <v>17.3717257687723</v>
      </c>
      <c r="C103" s="78">
        <f>157650.995/1000</f>
        <v>157.650995</v>
      </c>
    </row>
    <row r="104" spans="1:3">
      <c r="A104" s="79"/>
      <c r="B104" s="80"/>
      <c r="C104" s="81"/>
    </row>
    <row r="105" spans="1:3">
      <c r="A105" s="69" t="s">
        <v>71</v>
      </c>
      <c r="B105" s="70"/>
      <c r="C105" s="69"/>
    </row>
    <row r="106" spans="1:3">
      <c r="A106" s="82" t="s">
        <v>72</v>
      </c>
      <c r="B106" s="82"/>
      <c r="C106" s="83"/>
    </row>
    <row r="107" spans="1:3">
      <c r="A107" s="72"/>
      <c r="B107" s="12">
        <v>45382</v>
      </c>
      <c r="C107" s="12">
        <v>45016</v>
      </c>
    </row>
    <row r="108" spans="1:3">
      <c r="A108" s="73" t="s">
        <v>69</v>
      </c>
      <c r="B108" s="84"/>
      <c r="C108" s="85"/>
    </row>
    <row r="109" spans="1:3">
      <c r="A109" s="76" t="s">
        <v>70</v>
      </c>
      <c r="B109" s="77">
        <f>1737172.57687723/1000</f>
        <v>1737.17257687723</v>
      </c>
      <c r="C109" s="78">
        <f>157650.995/1000</f>
        <v>157.650995</v>
      </c>
    </row>
    <row r="110" spans="1:3">
      <c r="A110" s="79"/>
      <c r="B110" s="86"/>
      <c r="C110" s="87"/>
    </row>
    <row r="111" spans="1:3">
      <c r="A111" s="88" t="s">
        <v>73</v>
      </c>
      <c r="B111" s="89"/>
      <c r="C111" s="90"/>
    </row>
    <row r="112" spans="1:3">
      <c r="A112" s="91" t="s">
        <v>74</v>
      </c>
      <c r="B112" s="91"/>
      <c r="C112" s="91"/>
    </row>
    <row r="113" spans="1:3">
      <c r="A113" s="91"/>
      <c r="B113" s="91"/>
      <c r="C113" s="91"/>
    </row>
  </sheetData>
  <mergeCells count="2">
    <mergeCell ref="A106:B106"/>
    <mergeCell ref="A112:C113"/>
  </mergeCell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KIIT0001</dc:creator>
  <cp:lastModifiedBy>DIPAN GIRI</cp:lastModifiedBy>
  <dcterms:created xsi:type="dcterms:W3CDTF">2025-07-22T17:57:48Z</dcterms:created>
  <dcterms:modified xsi:type="dcterms:W3CDTF">2025-07-22T17:59:27Z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BFDAF9EDBD324687B553687C27874877_11</vt:lpwstr>
  </property>
  <property fmtid="{D5CDD505-2E9C-101B-9397-08002B2CF9AE}" pid="3" name="KSOProductBuildVer">
    <vt:lpwstr>1033-12.2.0.21931</vt:lpwstr>
  </property>
</Properties>
</file>