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" sheetId="1" r:id="rId4"/>
    <sheet state="visible" name="Combat" sheetId="2" r:id="rId5"/>
    <sheet state="visible" name="Craft" sheetId="3" r:id="rId6"/>
  </sheets>
  <definedNames/>
  <calcPr/>
</workbook>
</file>

<file path=xl/sharedStrings.xml><?xml version="1.0" encoding="utf-8"?>
<sst xmlns="http://schemas.openxmlformats.org/spreadsheetml/2006/main" count="438" uniqueCount="219">
  <si>
    <t>Labor</t>
  </si>
  <si>
    <t>Radiant Synthium 36/40/44</t>
  </si>
  <si>
    <t>AVG</t>
  </si>
  <si>
    <t>Upkeep</t>
  </si>
  <si>
    <t>Ratio</t>
  </si>
  <si>
    <t>Total</t>
  </si>
  <si>
    <t>Gold</t>
  </si>
  <si>
    <t>Need</t>
  </si>
  <si>
    <t>Have</t>
  </si>
  <si>
    <t>Progres</t>
  </si>
  <si>
    <t>Compare</t>
  </si>
  <si>
    <t>Price</t>
  </si>
  <si>
    <t>Qt.</t>
  </si>
  <si>
    <t>Lunagem</t>
  </si>
  <si>
    <t>Honor/Sturdy</t>
  </si>
  <si>
    <t>S Lunarite</t>
  </si>
  <si>
    <t>Synthium Shard</t>
  </si>
  <si>
    <t>Narcissus</t>
  </si>
  <si>
    <t>Targets</t>
  </si>
  <si>
    <t>Unit</t>
  </si>
  <si>
    <t>Type</t>
  </si>
  <si>
    <t>Batch Final</t>
  </si>
  <si>
    <t>Armure</t>
  </si>
  <si>
    <t>Dmg reduc</t>
  </si>
  <si>
    <t>Resilience</t>
  </si>
  <si>
    <t>Toughness</t>
  </si>
  <si>
    <t>Armor</t>
  </si>
  <si>
    <t>T2</t>
  </si>
  <si>
    <t>%</t>
  </si>
  <si>
    <t>Insumos</t>
  </si>
  <si>
    <t>Onyx Archeum</t>
  </si>
  <si>
    <t>T3</t>
  </si>
  <si>
    <t>Misagon</t>
  </si>
  <si>
    <t>Gold expected</t>
  </si>
  <si>
    <t>Honor</t>
  </si>
  <si>
    <t>Time/h</t>
  </si>
  <si>
    <t>Tasks</t>
  </si>
  <si>
    <t>Units</t>
  </si>
  <si>
    <t>T4</t>
  </si>
  <si>
    <t>Fee</t>
  </si>
  <si>
    <t>T5</t>
  </si>
  <si>
    <t>OG</t>
  </si>
  <si>
    <t>Resi</t>
  </si>
  <si>
    <t>Next Tier</t>
  </si>
  <si>
    <t>Activity</t>
  </si>
  <si>
    <t>Run</t>
  </si>
  <si>
    <t>Unique</t>
  </si>
  <si>
    <t>Main</t>
  </si>
  <si>
    <t>2nd</t>
  </si>
  <si>
    <t>Market Price</t>
  </si>
  <si>
    <t>%CC</t>
  </si>
  <si>
    <t>Gold key</t>
  </si>
  <si>
    <t>Worm</t>
  </si>
  <si>
    <t>Cedar</t>
  </si>
  <si>
    <t>Gold ore</t>
  </si>
  <si>
    <t>Nuia DGs</t>
  </si>
  <si>
    <t>MOB</t>
  </si>
  <si>
    <t>Compost cost</t>
  </si>
  <si>
    <t>%CD</t>
  </si>
  <si>
    <t>Silver ore</t>
  </si>
  <si>
    <t>S/L Profit</t>
  </si>
  <si>
    <t>weak 5kGS</t>
  </si>
  <si>
    <t>Labor cost</t>
  </si>
  <si>
    <t>Tough</t>
  </si>
  <si>
    <t>Copper ore</t>
  </si>
  <si>
    <t>Harany DGs</t>
  </si>
  <si>
    <t>%Dmg</t>
  </si>
  <si>
    <t>Cargo</t>
  </si>
  <si>
    <t xml:space="preserve">      Subtotal</t>
  </si>
  <si>
    <t>Bonds/Free CS</t>
  </si>
  <si>
    <t>HereAfter</t>
  </si>
  <si>
    <t>S/L calc</t>
  </si>
  <si>
    <t>mid 5kGS</t>
  </si>
  <si>
    <t>Block</t>
  </si>
  <si>
    <t>GPB</t>
  </si>
  <si>
    <t>strong 5kGS</t>
  </si>
  <si>
    <t>Eva</t>
  </si>
  <si>
    <t>weak 7kGS</t>
  </si>
  <si>
    <t>Parry</t>
  </si>
  <si>
    <t>Cheaper Option</t>
  </si>
  <si>
    <t>FFA</t>
  </si>
  <si>
    <t>Puffer</t>
  </si>
  <si>
    <t>Freshwater</t>
  </si>
  <si>
    <t>mid 7kGS</t>
  </si>
  <si>
    <t>Attack</t>
  </si>
  <si>
    <t>Gold Ingot</t>
  </si>
  <si>
    <t>Dungeon</t>
  </si>
  <si>
    <t>strong 7kGS</t>
  </si>
  <si>
    <t>Crit Chance</t>
  </si>
  <si>
    <t>Silver</t>
  </si>
  <si>
    <t>weak 10kGS</t>
  </si>
  <si>
    <t>Crit Dmg</t>
  </si>
  <si>
    <t>Silver Ingot</t>
  </si>
  <si>
    <t>mid 10kGS</t>
  </si>
  <si>
    <t>Pen</t>
  </si>
  <si>
    <t>strong 10kGS</t>
  </si>
  <si>
    <t>Multiplier</t>
  </si>
  <si>
    <t>GHA</t>
  </si>
  <si>
    <t>Copper Ingot</t>
  </si>
  <si>
    <t>Runtime/ Ratio</t>
  </si>
  <si>
    <t>weak 15kGS</t>
  </si>
  <si>
    <t>Dmg</t>
  </si>
  <si>
    <t>Aegis/WS</t>
  </si>
  <si>
    <t>GR/CR</t>
  </si>
  <si>
    <t>Jester crate</t>
  </si>
  <si>
    <t>Jester</t>
  </si>
  <si>
    <t>RD</t>
  </si>
  <si>
    <t>Single Key Value</t>
  </si>
  <si>
    <t>Vocation Combo</t>
  </si>
  <si>
    <t>Material</t>
  </si>
  <si>
    <t>Bait</t>
  </si>
  <si>
    <t>Naval</t>
  </si>
  <si>
    <t>Glossy Feather</t>
  </si>
  <si>
    <t>Iron Pack</t>
  </si>
  <si>
    <t>WEEKLY</t>
  </si>
  <si>
    <t>Sunlight Archeum Essence</t>
  </si>
  <si>
    <t>Moonlight Archeum Essence</t>
  </si>
  <si>
    <t>Onyx Archeum Essence</t>
  </si>
  <si>
    <t>Quill v2 Price</t>
  </si>
  <si>
    <t>Subtotal</t>
  </si>
  <si>
    <t>Abyssal Set</t>
  </si>
  <si>
    <t>Xp left</t>
  </si>
  <si>
    <t>mid 15kGS</t>
  </si>
  <si>
    <t>Normal</t>
  </si>
  <si>
    <t>Fodder</t>
  </si>
  <si>
    <t>Disciple shoes</t>
  </si>
  <si>
    <t>Iron Ingot</t>
  </si>
  <si>
    <t>Abyssal Fodder</t>
  </si>
  <si>
    <t>XP</t>
  </si>
  <si>
    <t>Gold XP</t>
  </si>
  <si>
    <t>XP on</t>
  </si>
  <si>
    <t>Onyx</t>
  </si>
  <si>
    <t>Superior Glow</t>
  </si>
  <si>
    <t>strong 15kGS</t>
  </si>
  <si>
    <t>Crit</t>
  </si>
  <si>
    <t>Azalea</t>
  </si>
  <si>
    <t>Iron ore</t>
  </si>
  <si>
    <t>Crate Value</t>
  </si>
  <si>
    <t>Clear Synthium Shard</t>
  </si>
  <si>
    <t>Vivid Synthium Shard</t>
  </si>
  <si>
    <t>Tops</t>
  </si>
  <si>
    <t>Lucid Synthium Shard</t>
  </si>
  <si>
    <t>Radiant Synthium Shard</t>
  </si>
  <si>
    <t>DS Pinion</t>
  </si>
  <si>
    <t>Halcyona Pinion</t>
  </si>
  <si>
    <t>Info Charts</t>
  </si>
  <si>
    <t>Mistmerrow Pinion</t>
  </si>
  <si>
    <t>Nuia DGS</t>
  </si>
  <si>
    <t>Harany Dgs</t>
  </si>
  <si>
    <t>HA</t>
  </si>
  <si>
    <t>Hasla Pinion</t>
  </si>
  <si>
    <t>Serendipity Stone</t>
  </si>
  <si>
    <t>Moon Archeum Crystal</t>
  </si>
  <si>
    <t>Sun archeum Crystal</t>
  </si>
  <si>
    <t>CD</t>
  </si>
  <si>
    <t>Starlight Archeum Shard</t>
  </si>
  <si>
    <t>onyx</t>
  </si>
  <si>
    <t>Sunglow Lunagem</t>
  </si>
  <si>
    <t>misagon price</t>
  </si>
  <si>
    <t>%dmg reduced</t>
  </si>
  <si>
    <t>Abyssal Shard</t>
  </si>
  <si>
    <t>Eternal Winter</t>
  </si>
  <si>
    <t>Eternal Summer</t>
  </si>
  <si>
    <t>Sundries</t>
  </si>
  <si>
    <t>Starlight Archeum Crystal</t>
  </si>
  <si>
    <t>%act. crit</t>
  </si>
  <si>
    <t>time</t>
  </si>
  <si>
    <t>%act. critdmg</t>
  </si>
  <si>
    <t>added arm</t>
  </si>
  <si>
    <t>Mining evento x2</t>
  </si>
  <si>
    <t>Copper Ore</t>
  </si>
  <si>
    <t>Gold Ore</t>
  </si>
  <si>
    <t>Archeum Ore</t>
  </si>
  <si>
    <t>act. block</t>
  </si>
  <si>
    <t>Silver Ore</t>
  </si>
  <si>
    <t>Iron Ore</t>
  </si>
  <si>
    <t>act. eva</t>
  </si>
  <si>
    <t>Vocation</t>
  </si>
  <si>
    <t>brick</t>
  </si>
  <si>
    <t>act. parry</t>
  </si>
  <si>
    <t>worm/stone</t>
  </si>
  <si>
    <t>meals x4</t>
  </si>
  <si>
    <t>pack</t>
  </si>
  <si>
    <t>cargo</t>
  </si>
  <si>
    <t>DMG</t>
  </si>
  <si>
    <t>You</t>
  </si>
  <si>
    <t>Values</t>
  </si>
  <si>
    <t>Damage Amplifer</t>
  </si>
  <si>
    <t>Value</t>
  </si>
  <si>
    <t>Damage Amplifier</t>
  </si>
  <si>
    <t>passive</t>
  </si>
  <si>
    <t>Target</t>
  </si>
  <si>
    <t>Defense</t>
  </si>
  <si>
    <t>Res</t>
  </si>
  <si>
    <t>DMG RED</t>
  </si>
  <si>
    <t>Damage</t>
  </si>
  <si>
    <t>Percentage</t>
  </si>
  <si>
    <t>RAW DPS + AMP</t>
  </si>
  <si>
    <t>Post Resilience %</t>
  </si>
  <si>
    <t>(T) Def - (Y) Def Pen</t>
  </si>
  <si>
    <t>Toughness %</t>
  </si>
  <si>
    <t>Dmg after Def reduction</t>
  </si>
  <si>
    <t>Defense % Reduction</t>
  </si>
  <si>
    <t>Dmg after Toughness</t>
  </si>
  <si>
    <t>Dmg after Dmg Reduction</t>
  </si>
  <si>
    <t>Dmg after Resilience</t>
  </si>
  <si>
    <t>HP</t>
  </si>
  <si>
    <t>HP VS MELEE</t>
  </si>
  <si>
    <t>PDEF</t>
  </si>
  <si>
    <t>MDEF</t>
  </si>
  <si>
    <t>HP VS RANGED</t>
  </si>
  <si>
    <t>MDR</t>
  </si>
  <si>
    <t>RDR</t>
  </si>
  <si>
    <t>VS MAGIC</t>
  </si>
  <si>
    <t>TOUGH</t>
  </si>
  <si>
    <t>EVASI</t>
  </si>
  <si>
    <t>BLOCK</t>
  </si>
  <si>
    <t>PARRY</t>
  </si>
  <si>
    <t>Total Avoidance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</si>
</sst>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12">
    <font>
      <sz val="10.0"/>
      <color rgb="FF000000"/>
      <name val="Arial"/>
    </font>
    <font>
      <sz val="11.0"/>
      <color rgb="FF000000"/>
      <name val="Arial"/>
    </font>
    <font>
      <b/>
      <sz val="12.0"/>
      <color rgb="FF000000"/>
      <name val="Arial"/>
    </font>
    <font/>
    <font>
      <sz val="11.0"/>
      <color rgb="FF999999"/>
      <name val="Arial"/>
    </font>
    <font>
      <b/>
      <sz val="11.0"/>
      <color rgb="FF000000"/>
      <name val="Arial"/>
    </font>
    <font>
      <b/>
      <i/>
      <sz val="10.0"/>
      <color rgb="FF000000"/>
      <name val="Arial"/>
    </font>
    <font>
      <name val="Arial"/>
    </font>
    <font>
      <b/>
      <sz val="14.0"/>
      <color rgb="FF000000"/>
      <name val="Arial"/>
    </font>
    <font>
      <color theme="1"/>
      <name val="Arial"/>
    </font>
    <font>
      <sz val="11.0"/>
      <color rgb="FF000000"/>
      <name val="Inconsolata"/>
    </font>
    <font>
      <sz val="11.0"/>
      <color rgb="FFFFFFFF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34A853"/>
        <bgColor rgb="FF34A853"/>
      </patternFill>
    </fill>
    <fill>
      <patternFill patternType="solid">
        <fgColor rgb="FFE6B8AF"/>
        <bgColor rgb="FFE6B8AF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</fills>
  <borders count="3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n">
        <color rgb="FF000000"/>
      </left>
    </border>
    <border>
      <left/>
      <right/>
      <top/>
      <bottom/>
    </border>
    <border>
      <right style="thick">
        <color rgb="FF000000"/>
      </right>
    </border>
    <border>
      <left style="thick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right style="thick">
        <color rgb="FF000000"/>
      </right>
      <top/>
      <bottom/>
    </border>
    <border>
      <left/>
      <right style="thick">
        <color rgb="FF000000"/>
      </right>
      <top/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/>
      <right style="thick">
        <color rgb="FF000000"/>
      </right>
      <top style="thick">
        <color rgb="FF000000"/>
      </top>
      <bottom/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right" shrinkToFit="0" vertical="bottom" wrapText="0"/>
    </xf>
    <xf borderId="3" fillId="0" fontId="3" numFmtId="0" xfId="0" applyBorder="1" applyFont="1"/>
    <xf borderId="1" fillId="3" fontId="1" numFmtId="0" xfId="0" applyAlignment="1" applyBorder="1" applyFill="1" applyFont="1">
      <alignment shrinkToFit="0" vertical="bottom" wrapText="0"/>
    </xf>
    <xf borderId="4" fillId="0" fontId="3" numFmtId="0" xfId="0" applyBorder="1" applyFont="1"/>
    <xf borderId="1" fillId="3" fontId="1" numFmtId="0" xfId="0" applyAlignment="1" applyBorder="1" applyFont="1">
      <alignment horizontal="right"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10" xfId="0" applyAlignment="1" applyBorder="1" applyFont="1" applyNumberFormat="1">
      <alignment shrinkToFit="0" vertical="bottom" wrapText="0"/>
    </xf>
    <xf borderId="6" fillId="0" fontId="4" numFmtId="1" xfId="0" applyAlignment="1" applyBorder="1" applyFont="1" applyNumberFormat="1">
      <alignment shrinkToFit="0" vertical="bottom" wrapText="0"/>
    </xf>
    <xf borderId="1" fillId="0" fontId="5" numFmtId="1" xfId="0" applyAlignment="1" applyBorder="1" applyFont="1" applyNumberFormat="1">
      <alignment horizontal="right" shrinkToFit="0" vertical="bottom" wrapText="0"/>
    </xf>
    <xf borderId="6" fillId="0" fontId="4" numFmtId="2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horizontal="right" shrinkToFit="0" vertical="bottom" wrapText="0"/>
    </xf>
    <xf borderId="7" fillId="0" fontId="4" numFmtId="0" xfId="0" applyAlignment="1" applyBorder="1" applyFont="1">
      <alignment shrinkToFit="0" vertical="bottom" wrapText="0"/>
    </xf>
    <xf borderId="1" fillId="0" fontId="5" numFmtId="1" xfId="0" applyAlignment="1" applyBorder="1" applyFont="1" applyNumberForma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1" fillId="5" fontId="1" numFmtId="0" xfId="0" applyAlignment="1" applyBorder="1" applyFill="1" applyFont="1">
      <alignment horizontal="right" shrinkToFit="0" vertical="bottom" wrapText="0"/>
    </xf>
    <xf borderId="9" fillId="0" fontId="4" numFmtId="0" xfId="0" applyAlignment="1" applyBorder="1" applyFont="1">
      <alignment shrinkToFit="0" vertical="bottom" wrapText="0"/>
    </xf>
    <xf borderId="10" fillId="6" fontId="4" numFmtId="1" xfId="0" applyAlignment="1" applyBorder="1" applyFill="1" applyFont="1" applyNumberFormat="1">
      <alignment shrinkToFit="0" vertical="bottom" wrapText="0"/>
    </xf>
    <xf borderId="1" fillId="6" fontId="6" numFmtId="1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11" fillId="0" fontId="4" numFmtId="0" xfId="0" applyAlignment="1" applyBorder="1" applyFon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1" fillId="0" fontId="6" numFmtId="164" xfId="0" applyAlignment="1" applyBorder="1" applyFont="1" applyNumberFormat="1">
      <alignment horizontal="right" shrinkToFit="0" vertical="bottom" wrapText="0"/>
    </xf>
    <xf borderId="1" fillId="7" fontId="1" numFmtId="10" xfId="0" applyAlignment="1" applyBorder="1" applyFont="1" applyNumberFormat="1">
      <alignment shrinkToFit="0" vertical="bottom" wrapText="0"/>
    </xf>
    <xf borderId="10" fillId="6" fontId="6" numFmtId="13" xfId="0" applyAlignment="1" applyBorder="1" applyFont="1" applyNumberFormat="1">
      <alignment shrinkToFit="0" vertical="bottom" wrapText="0"/>
    </xf>
    <xf borderId="9" fillId="0" fontId="4" numFmtId="0" xfId="0" applyAlignment="1" applyBorder="1" applyFont="1">
      <alignment shrinkToFit="0" vertical="center" wrapText="0"/>
    </xf>
    <xf borderId="1" fillId="7" fontId="1" numFmtId="1" xfId="0" applyAlignment="1" applyBorder="1" applyFont="1" applyNumberForma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0" fillId="0" fontId="4" numFmtId="2" xfId="0" applyAlignment="1" applyFont="1" applyNumberForma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shrinkToFit="0" vertical="center" wrapText="0"/>
    </xf>
    <xf borderId="0" fillId="0" fontId="7" numFmtId="0" xfId="0" applyAlignment="1" applyFont="1">
      <alignment readingOrder="0"/>
    </xf>
    <xf borderId="1" fillId="5" fontId="1" numFmtId="1" xfId="0" applyAlignment="1" applyBorder="1" applyFont="1" applyNumberFormat="1">
      <alignment horizontal="right" shrinkToFit="0" vertical="bottom" wrapText="0"/>
    </xf>
    <xf borderId="9" fillId="0" fontId="3" numFmtId="0" xfId="0" applyBorder="1" applyFont="1"/>
    <xf borderId="1" fillId="0" fontId="1" numFmtId="1" xfId="0" applyAlignment="1" applyBorder="1" applyFont="1" applyNumberFormat="1">
      <alignment shrinkToFit="0" vertical="bottom" wrapText="0"/>
    </xf>
    <xf borderId="1" fillId="5" fontId="1" numFmtId="4" xfId="0" applyAlignment="1" applyBorder="1" applyFont="1" applyNumberFormat="1">
      <alignment horizontal="right" shrinkToFit="0" vertical="bottom" wrapText="0"/>
    </xf>
    <xf borderId="12" fillId="0" fontId="3" numFmtId="0" xfId="0" applyBorder="1" applyFont="1"/>
    <xf borderId="1" fillId="5" fontId="1" numFmtId="0" xfId="0" applyAlignment="1" applyBorder="1" applyFont="1">
      <alignment readingOrder="0" shrinkToFit="0" vertical="bottom" wrapText="0"/>
    </xf>
    <xf borderId="13" fillId="0" fontId="4" numFmtId="0" xfId="0" applyAlignment="1" applyBorder="1" applyFont="1">
      <alignment shrinkToFit="0" vertical="bottom" wrapText="0"/>
    </xf>
    <xf borderId="1" fillId="0" fontId="5" numFmtId="4" xfId="0" applyAlignment="1" applyBorder="1" applyFont="1" applyNumberFormat="1">
      <alignment shrinkToFit="0" vertical="bottom" wrapText="0"/>
    </xf>
    <xf borderId="14" fillId="0" fontId="4" numFmtId="1" xfId="0" applyAlignment="1" applyBorder="1" applyFont="1" applyNumberFormat="1">
      <alignment shrinkToFit="0" vertical="bottom" wrapText="0"/>
    </xf>
    <xf borderId="14" fillId="0" fontId="4" numFmtId="2" xfId="0" applyAlignment="1" applyBorder="1" applyFont="1" applyNumberFormat="1">
      <alignment shrinkToFit="0" vertical="bottom" wrapText="0"/>
    </xf>
    <xf borderId="15" fillId="0" fontId="4" numFmtId="0" xfId="0" applyAlignment="1" applyBorder="1" applyFont="1">
      <alignment shrinkToFit="0" vertical="bottom" wrapText="0"/>
    </xf>
    <xf borderId="1" fillId="7" fontId="1" numFmtId="0" xfId="0" applyAlignment="1" applyBorder="1" applyFont="1">
      <alignment horizontal="center" shrinkToFit="0" vertical="bottom" wrapText="0"/>
    </xf>
    <xf borderId="16" fillId="0" fontId="4" numFmtId="0" xfId="0" applyAlignment="1" applyBorder="1" applyFont="1">
      <alignment shrinkToFit="0" vertical="bottom" wrapText="0"/>
    </xf>
    <xf borderId="1" fillId="7" fontId="1" numFmtId="1" xfId="0" applyAlignment="1" applyBorder="1" applyFont="1" applyNumberFormat="1">
      <alignment horizontal="center"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0" fillId="0" fontId="8" numFmtId="2" xfId="0" applyAlignment="1" applyFont="1" applyNumberFormat="1">
      <alignment horizontal="center" shrinkToFit="0" vertical="bottom" wrapText="0"/>
    </xf>
    <xf borderId="1" fillId="8" fontId="1" numFmtId="0" xfId="0" applyAlignment="1" applyBorder="1" applyFont="1">
      <alignment horizontal="right"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1" fillId="8" fontId="1" numFmtId="4" xfId="0" applyAlignment="1" applyBorder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1" fillId="8" fontId="1" numFmtId="1" xfId="0" applyAlignment="1" applyBorder="1" applyFont="1" applyNumberFormat="1">
      <alignment horizontal="right" shrinkToFit="0" vertical="bottom" wrapText="0"/>
    </xf>
    <xf borderId="17" fillId="0" fontId="4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shrinkToFit="0" vertical="bottom" wrapText="0"/>
    </xf>
    <xf borderId="19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1" fillId="0" fontId="1" numFmtId="0" xfId="0" applyAlignment="1" applyBorder="1" applyFont="1">
      <alignment shrinkToFit="0" vertical="bottom" wrapText="0"/>
    </xf>
    <xf borderId="1" fillId="9" fontId="1" numFmtId="0" xfId="0" applyAlignment="1" applyBorder="1" applyFill="1" applyFont="1">
      <alignment shrinkToFit="0" vertical="bottom" wrapText="0"/>
    </xf>
    <xf borderId="20" fillId="10" fontId="1" numFmtId="0" xfId="0" applyAlignment="1" applyBorder="1" applyFill="1" applyFont="1">
      <alignment readingOrder="0" shrinkToFit="0" vertical="bottom" wrapText="0"/>
    </xf>
    <xf borderId="1" fillId="9" fontId="1" numFmtId="1" xfId="0" applyAlignment="1" applyBorder="1" applyFont="1" applyNumberFormat="1">
      <alignment horizontal="right" shrinkToFit="0" vertical="bottom" wrapText="0"/>
    </xf>
    <xf borderId="1" fillId="9" fontId="1" numFmtId="0" xfId="0" applyAlignment="1" applyBorder="1" applyFont="1">
      <alignment horizontal="right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20" fillId="10" fontId="1" numFmtId="0" xfId="0" applyAlignment="1" applyBorder="1" applyFont="1">
      <alignment shrinkToFit="0" vertical="bottom" wrapText="0"/>
    </xf>
    <xf borderId="1" fillId="9" fontId="1" numFmtId="4" xfId="0" applyAlignment="1" applyBorder="1" applyFont="1" applyNumberFormat="1">
      <alignment horizontal="right" shrinkToFit="0" vertical="bottom" wrapText="0"/>
    </xf>
    <xf borderId="19" fillId="0" fontId="1" numFmtId="0" xfId="0" applyAlignment="1" applyBorder="1" applyFont="1">
      <alignment shrinkToFit="0" vertical="bottom" wrapText="0"/>
    </xf>
    <xf borderId="21" fillId="10" fontId="1" numFmtId="0" xfId="0" applyAlignment="1" applyBorder="1" applyFont="1">
      <alignment shrinkToFit="0" vertical="bottom" wrapText="0"/>
    </xf>
    <xf borderId="21" fillId="10" fontId="1" numFmtId="0" xfId="0" applyAlignment="1" applyBorder="1" applyFont="1">
      <alignment readingOrder="0" shrinkToFit="0" vertical="bottom" wrapText="0"/>
    </xf>
    <xf borderId="22" fillId="0" fontId="8" numFmtId="0" xfId="0" applyAlignment="1" applyBorder="1" applyFont="1">
      <alignment shrinkToFit="0" vertical="bottom" wrapText="0"/>
    </xf>
    <xf borderId="1" fillId="0" fontId="5" numFmtId="2" xfId="0" applyAlignment="1" applyBorder="1" applyFont="1" applyNumberFormat="1">
      <alignment shrinkToFit="0" vertical="bottom" wrapText="0"/>
    </xf>
    <xf borderId="23" fillId="0" fontId="8" numFmtId="2" xfId="0" applyAlignment="1" applyBorder="1" applyFont="1" applyNumberFormat="1">
      <alignment horizontal="center" shrinkToFit="0" vertical="bottom" wrapText="0"/>
    </xf>
    <xf borderId="23" fillId="0" fontId="3" numFmtId="0" xfId="0" applyBorder="1" applyFont="1"/>
    <xf borderId="24" fillId="0" fontId="3" numFmtId="0" xfId="0" applyBorder="1" applyFont="1"/>
    <xf borderId="1" fillId="0" fontId="1" numFmtId="0" xfId="0" applyAlignment="1" applyBorder="1" applyFont="1">
      <alignment readingOrder="0" shrinkToFit="0" vertical="bottom" wrapText="0"/>
    </xf>
    <xf borderId="1" fillId="11" fontId="1" numFmtId="0" xfId="0" applyAlignment="1" applyBorder="1" applyFill="1" applyFont="1">
      <alignment readingOrder="0" shrinkToFit="0" vertical="bottom" wrapText="0"/>
    </xf>
    <xf borderId="1" fillId="11" fontId="1" numFmtId="1" xfId="0" applyAlignment="1" applyBorder="1" applyFont="1" applyNumberFormat="1">
      <alignment horizontal="right" shrinkToFit="0" vertical="bottom" wrapText="0"/>
    </xf>
    <xf borderId="1" fillId="11" fontId="1" numFmtId="0" xfId="0" applyAlignment="1" applyBorder="1" applyFont="1">
      <alignment horizontal="right" shrinkToFit="0" vertical="bottom" wrapText="0"/>
    </xf>
    <xf borderId="1" fillId="11" fontId="1" numFmtId="4" xfId="0" applyAlignment="1" applyBorder="1" applyFont="1" applyNumberFormat="1">
      <alignment horizontal="right" shrinkToFit="0" vertical="bottom" wrapText="0"/>
    </xf>
    <xf borderId="1" fillId="11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28" fillId="6" fontId="1" numFmtId="0" xfId="0" applyAlignment="1" applyBorder="1" applyFont="1">
      <alignment horizontal="left" readingOrder="0" shrinkToFit="0" vertical="bottom" wrapText="0"/>
    </xf>
    <xf borderId="29" fillId="0" fontId="1" numFmtId="1" xfId="0" applyAlignment="1" applyBorder="1" applyFont="1" applyNumberFormat="1">
      <alignment shrinkToFit="0" vertical="bottom" wrapText="0"/>
    </xf>
    <xf borderId="28" fillId="2" fontId="1" numFmtId="0" xfId="0" applyAlignment="1" applyBorder="1" applyFont="1">
      <alignment shrinkToFit="0" vertical="bottom" wrapText="0"/>
    </xf>
    <xf borderId="30" fillId="2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14" fillId="0" fontId="1" numFmtId="0" xfId="0" applyAlignment="1" applyBorder="1" applyFont="1">
      <alignment shrinkToFit="0" vertical="bottom" wrapText="0"/>
    </xf>
    <xf borderId="10" fillId="6" fontId="0" numFmtId="1" xfId="0" applyAlignment="1" applyBorder="1" applyFont="1" applyNumberFormat="1">
      <alignment shrinkToFit="0" vertical="bottom" wrapText="0"/>
    </xf>
    <xf borderId="31" fillId="0" fontId="1" numFmtId="0" xfId="0" applyAlignment="1" applyBorder="1" applyFont="1">
      <alignment readingOrder="0" shrinkToFit="0" vertical="bottom" wrapText="0"/>
    </xf>
    <xf borderId="0" fillId="0" fontId="0" numFmtId="1" xfId="0" applyAlignment="1" applyFont="1" applyNumberFormat="1">
      <alignment shrinkToFit="0" vertical="bottom" wrapText="0"/>
    </xf>
    <xf borderId="0" fillId="0" fontId="9" numFmtId="0" xfId="0" applyAlignment="1" applyFont="1">
      <alignment readingOrder="0"/>
    </xf>
    <xf borderId="1" fillId="7" fontId="1" numFmtId="0" xfId="0" applyAlignment="1" applyBorder="1" applyFont="1">
      <alignment readingOrder="0" shrinkToFit="0" vertical="bottom" wrapText="0"/>
    </xf>
    <xf borderId="10" fillId="6" fontId="0" numFmtId="0" xfId="0" applyAlignment="1" applyBorder="1" applyFont="1">
      <alignment horizontal="right" shrinkToFit="0" vertical="bottom" wrapText="0"/>
    </xf>
    <xf borderId="0" fillId="0" fontId="0" numFmtId="10" xfId="0" applyAlignment="1" applyFont="1" applyNumberFormat="1">
      <alignment horizontal="right" shrinkToFit="0" vertical="bottom" wrapText="0"/>
    </xf>
    <xf borderId="10" fillId="6" fontId="10" numFmtId="0" xfId="0" applyAlignment="1" applyBorder="1" applyFont="1">
      <alignment shrinkToFit="0" vertical="bottom" wrapText="0"/>
    </xf>
    <xf borderId="0" fillId="0" fontId="0" numFmtId="9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6" fontId="1" numFmtId="0" xfId="0" applyAlignment="1" applyBorder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32" fillId="12" fontId="11" numFmtId="0" xfId="0" applyAlignment="1" applyBorder="1" applyFill="1" applyFont="1">
      <alignment shrinkToFit="0" vertical="bottom" wrapText="0"/>
    </xf>
    <xf borderId="32" fillId="6" fontId="1" numFmtId="0" xfId="0" applyAlignment="1" applyBorder="1" applyFont="1">
      <alignment horizontal="left" shrinkToFit="0" vertical="bottom" wrapText="0"/>
    </xf>
    <xf borderId="33" fillId="12" fontId="11" numFmtId="0" xfId="0" applyAlignment="1" applyBorder="1" applyFont="1">
      <alignment shrinkToFit="0" vertical="bottom" wrapText="0"/>
    </xf>
    <xf borderId="32" fillId="6" fontId="1" numFmtId="4" xfId="0" applyAlignment="1" applyBorder="1" applyFont="1" applyNumberFormat="1">
      <alignment horizontal="left" shrinkToFit="0" vertical="bottom" wrapText="0"/>
    </xf>
    <xf borderId="34" fillId="13" fontId="11" numFmtId="0" xfId="0" applyAlignment="1" applyBorder="1" applyFill="1" applyFont="1">
      <alignment horizontal="center" shrinkToFit="0" vertical="bottom" wrapText="0"/>
    </xf>
    <xf borderId="32" fillId="14" fontId="1" numFmtId="0" xfId="0" applyAlignment="1" applyBorder="1" applyFill="1" applyFont="1">
      <alignment shrinkToFit="0" vertical="bottom" wrapText="0"/>
    </xf>
    <xf borderId="35" fillId="15" fontId="1" numFmtId="0" xfId="0" applyAlignment="1" applyBorder="1" applyFill="1" applyFont="1">
      <alignment shrinkToFit="0" vertical="bottom" wrapText="0"/>
    </xf>
    <xf borderId="35" fillId="16" fontId="1" numFmtId="0" xfId="0" applyAlignment="1" applyBorder="1" applyFill="1" applyFont="1">
      <alignment shrinkToFit="0" vertical="bottom" wrapText="0"/>
    </xf>
    <xf borderId="32" fillId="13" fontId="11" numFmtId="0" xfId="0" applyAlignment="1" applyBorder="1" applyFont="1">
      <alignment shrinkToFit="0" vertical="bottom" wrapText="0"/>
    </xf>
    <xf borderId="32" fillId="17" fontId="1" numFmtId="0" xfId="0" applyAlignment="1" applyBorder="1" applyFill="1" applyFont="1">
      <alignment horizontal="left" shrinkToFit="0" vertical="bottom" wrapText="0"/>
    </xf>
    <xf borderId="32" fillId="9" fontId="1" numFmtId="0" xfId="0" applyAlignment="1" applyBorder="1" applyFont="1">
      <alignment shrinkToFit="0" vertical="bottom" wrapText="0"/>
    </xf>
    <xf borderId="32" fillId="18" fontId="1" numFmtId="10" xfId="0" applyAlignment="1" applyBorder="1" applyFill="1" applyFont="1" applyNumberFormat="1">
      <alignment shrinkToFit="0" vertical="bottom" wrapText="0"/>
    </xf>
    <xf borderId="32" fillId="19" fontId="1" numFmtId="10" xfId="0" applyAlignment="1" applyBorder="1" applyFill="1" applyFont="1" applyNumberFormat="1">
      <alignment horizontal="left" shrinkToFit="0" vertical="bottom" wrapText="0"/>
    </xf>
    <xf borderId="32" fillId="17" fontId="1" numFmtId="9" xfId="0" applyAlignment="1" applyBorder="1" applyFont="1" applyNumberFormat="1">
      <alignment horizontal="left" shrinkToFit="0" vertical="bottom" wrapText="0"/>
    </xf>
    <xf borderId="32" fillId="18" fontId="1" numFmtId="9" xfId="0" applyAlignment="1" applyBorder="1" applyFont="1" applyNumberFormat="1">
      <alignment shrinkToFit="0" vertical="bottom" wrapText="0"/>
    </xf>
    <xf borderId="36" fillId="20" fontId="11" numFmtId="0" xfId="0" applyAlignment="1" applyBorder="1" applyFill="1" applyFont="1">
      <alignment horizontal="center" shrinkToFit="0" vertical="bottom" wrapText="0"/>
    </xf>
    <xf borderId="32" fillId="21" fontId="1" numFmtId="0" xfId="0" applyAlignment="1" applyBorder="1" applyFill="1" applyFont="1">
      <alignment horizontal="right" shrinkToFit="0" vertical="bottom" wrapText="0"/>
    </xf>
    <xf borderId="32" fillId="20" fontId="11" numFmtId="0" xfId="0" applyAlignment="1" applyBorder="1" applyFont="1">
      <alignment horizontal="right" shrinkToFit="0" vertical="bottom" wrapText="0"/>
    </xf>
    <xf borderId="32" fillId="17" fontId="1" numFmtId="1" xfId="0" applyAlignment="1" applyBorder="1" applyFont="1" applyNumberFormat="1">
      <alignment horizontal="right" shrinkToFit="0" vertical="bottom" wrapText="0"/>
    </xf>
    <xf borderId="32" fillId="17" fontId="1" numFmtId="10" xfId="0" applyAlignment="1" applyBorder="1" applyFont="1" applyNumberFormat="1">
      <alignment horizontal="right" shrinkToFit="0" vertical="bottom" wrapText="0"/>
    </xf>
    <xf borderId="32" fillId="21" fontId="1" numFmtId="0" xfId="0" applyAlignment="1" applyBorder="1" applyFont="1">
      <alignment shrinkToFit="0" vertical="bottom" wrapText="0"/>
    </xf>
    <xf borderId="32" fillId="22" fontId="1" numFmtId="0" xfId="0" applyAlignment="1" applyBorder="1" applyFill="1" applyFont="1">
      <alignment shrinkToFit="0" vertical="bottom" wrapText="0"/>
    </xf>
    <xf borderId="32" fillId="19" fontId="1" numFmtId="4" xfId="0" applyAlignment="1" applyBorder="1" applyFont="1" applyNumberFormat="1">
      <alignment horizontal="left" shrinkToFit="0" vertical="bottom" wrapText="0"/>
    </xf>
    <xf borderId="32" fillId="19" fontId="1" numFmtId="10" xfId="0" applyAlignment="1" applyBorder="1" applyFont="1" applyNumberFormat="1">
      <alignment shrinkToFit="0" vertical="bottom" wrapText="0"/>
    </xf>
    <xf borderId="32" fillId="22" fontId="1" numFmtId="0" xfId="0" applyAlignment="1" applyBorder="1" applyFont="1">
      <alignment horizontal="right" shrinkToFit="0" vertical="bottom" wrapText="0"/>
    </xf>
    <xf borderId="32" fillId="17" fontId="1" numFmtId="10" xfId="0" applyAlignment="1" applyBorder="1" applyFont="1" applyNumberFormat="1">
      <alignment shrinkToFit="0" vertical="bottom" wrapText="0"/>
    </xf>
    <xf borderId="10" fillId="6" fontId="1" numFmtId="0" xfId="0" applyAlignment="1" applyBorder="1" applyFont="1">
      <alignment horizontal="left" shrinkToFit="0" vertical="bottom" wrapText="0"/>
    </xf>
    <xf borderId="32" fillId="17" fontId="1" numFmtId="9" xfId="0" applyAlignment="1" applyBorder="1" applyFont="1" applyNumberFormat="1">
      <alignment shrinkToFit="0" vertical="bottom" wrapText="0"/>
    </xf>
    <xf borderId="10" fillId="6" fontId="1" numFmtId="10" xfId="0" applyAlignment="1" applyBorder="1" applyFont="1" applyNumberFormat="1">
      <alignment shrinkToFit="0" vertical="bottom" wrapText="0"/>
    </xf>
    <xf borderId="10" fillId="7" fontId="1" numFmtId="0" xfId="0" applyAlignment="1" applyBorder="1" applyFont="1">
      <alignment shrinkToFit="0" vertical="bottom" wrapText="0"/>
    </xf>
    <xf borderId="10" fillId="18" fontId="1" numFmtId="10" xfId="0" applyAlignment="1" applyBorder="1" applyFont="1" applyNumberFormat="1">
      <alignment shrinkToFit="0" vertical="bottom" wrapText="0"/>
    </xf>
    <xf borderId="10" fillId="18" fontId="1" numFmtId="0" xfId="0" applyAlignment="1" applyBorder="1" applyFon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4" width="7.29"/>
    <col customWidth="1" min="5" max="7" width="5.86"/>
    <col customWidth="1" min="8" max="9" width="5.71"/>
    <col customWidth="1" min="10" max="10" width="14.43"/>
    <col customWidth="1" min="11" max="12" width="10.43"/>
    <col customWidth="1" min="13" max="14" width="14.43"/>
    <col customWidth="1" min="15" max="26" width="8.71"/>
  </cols>
  <sheetData>
    <row r="1" ht="15.75" customHeight="1">
      <c r="A1" s="1" t="s">
        <v>0</v>
      </c>
      <c r="B1" s="3" t="s">
        <v>3</v>
      </c>
      <c r="C1" s="3" t="s">
        <v>4</v>
      </c>
      <c r="D1" s="3" t="s">
        <v>5</v>
      </c>
      <c r="E1" s="8" t="s">
        <v>6</v>
      </c>
      <c r="F1" s="10" t="s">
        <v>0</v>
      </c>
      <c r="G1" s="10" t="s">
        <v>4</v>
      </c>
      <c r="H1" s="9"/>
      <c r="I1" s="9"/>
      <c r="J1" s="12" t="s">
        <v>17</v>
      </c>
      <c r="K1" s="12" t="s">
        <v>19</v>
      </c>
      <c r="L1" s="13" t="s">
        <v>21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5">
        <v>7600.0</v>
      </c>
      <c r="B2" s="16">
        <v>860.0</v>
      </c>
      <c r="C2" s="16">
        <v>0.07</v>
      </c>
      <c r="D2" s="19">
        <f>minus(A2,B2)*C2</f>
        <v>471.8</v>
      </c>
      <c r="E2" s="15">
        <v>50.0</v>
      </c>
      <c r="F2" s="15">
        <v>1500.0</v>
      </c>
      <c r="G2" s="21">
        <f>E2/F2</f>
        <v>0.03333333333</v>
      </c>
      <c r="H2" s="9"/>
      <c r="I2" s="9"/>
      <c r="J2" s="1" t="s">
        <v>29</v>
      </c>
      <c r="K2" s="11">
        <v>3.75</v>
      </c>
      <c r="L2" s="23">
        <f>K2*K3</f>
        <v>375</v>
      </c>
      <c r="M2" s="9"/>
      <c r="N2" s="25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26" t="s">
        <v>33</v>
      </c>
      <c r="B3" s="26" t="s">
        <v>34</v>
      </c>
      <c r="C3" s="26" t="s">
        <v>35</v>
      </c>
      <c r="D3" s="26" t="s">
        <v>36</v>
      </c>
      <c r="E3" s="8" t="s">
        <v>0</v>
      </c>
      <c r="F3" s="10" t="s">
        <v>4</v>
      </c>
      <c r="G3" s="10" t="s">
        <v>5</v>
      </c>
      <c r="H3" s="9"/>
      <c r="I3" s="9"/>
      <c r="J3" s="1" t="s">
        <v>37</v>
      </c>
      <c r="K3" s="12">
        <v>100.0</v>
      </c>
      <c r="L3" s="11">
        <v>2.7</v>
      </c>
      <c r="M3" s="9"/>
      <c r="N3" s="25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29">
        <f>SUMIF(F5:F11,0,B5:B11)</f>
        <v>0</v>
      </c>
      <c r="B4" s="33">
        <f>SUMIF(F6:F9,0,E6:E9)</f>
        <v>0</v>
      </c>
      <c r="C4" s="36" t="str">
        <f>IF( I51 = 0 , "" , CONCATENATE( QUOTIENT( I51 , 60 ) , ":" ,MOD(I51  , 60) ))</f>
        <v/>
      </c>
      <c r="D4" s="38">
        <f>COUNTIF(F6:F9,0)</f>
        <v>0</v>
      </c>
      <c r="E4" s="16">
        <v>50.0</v>
      </c>
      <c r="F4" s="16">
        <v>0.075</v>
      </c>
      <c r="G4" s="21">
        <f>E4*F4</f>
        <v>3.75</v>
      </c>
      <c r="H4" s="9"/>
      <c r="I4" s="9"/>
      <c r="J4" s="1" t="s">
        <v>0</v>
      </c>
      <c r="K4" s="11">
        <v>0.86</v>
      </c>
      <c r="L4" s="23">
        <f>K4*K3</f>
        <v>86</v>
      </c>
      <c r="M4" s="9"/>
      <c r="N4" s="25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" t="s">
        <v>44</v>
      </c>
      <c r="B5" s="3" t="s">
        <v>6</v>
      </c>
      <c r="C5" s="3" t="s">
        <v>45</v>
      </c>
      <c r="D5" s="3" t="s">
        <v>4</v>
      </c>
      <c r="E5" s="3" t="s">
        <v>46</v>
      </c>
      <c r="F5" s="42" t="s">
        <v>47</v>
      </c>
      <c r="G5" s="42" t="s">
        <v>48</v>
      </c>
      <c r="H5" s="9"/>
      <c r="I5" s="9"/>
      <c r="J5" s="1" t="s">
        <v>49</v>
      </c>
      <c r="K5" s="11">
        <v>4.35</v>
      </c>
      <c r="L5" s="23">
        <f>K5*(K3*L3)</f>
        <v>1174.5</v>
      </c>
      <c r="M5" s="9"/>
      <c r="N5" s="4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41" t="s">
        <v>55</v>
      </c>
      <c r="B6" s="47">
        <f>E63</f>
        <v>595.38</v>
      </c>
      <c r="C6" s="26">
        <v>20.0</v>
      </c>
      <c r="D6" s="50">
        <f t="shared" ref="D6:D19" si="1">IF(OR(B6="",B6="-"),"",B6/C6)</f>
        <v>29.769</v>
      </c>
      <c r="E6" s="41"/>
      <c r="F6" s="52" t="b">
        <v>0</v>
      </c>
      <c r="G6" s="41" t="b">
        <v>0</v>
      </c>
      <c r="H6" s="9"/>
      <c r="I6" s="9"/>
      <c r="J6" s="1" t="s">
        <v>60</v>
      </c>
      <c r="K6" s="54">
        <f>(((K5*L3)*0.9)-K2)/K4</f>
        <v>7.930813953</v>
      </c>
      <c r="L6" s="23">
        <f>(L5*0.9)-L2</f>
        <v>682.05</v>
      </c>
      <c r="M6" s="9"/>
      <c r="N6" s="46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41" t="s">
        <v>65</v>
      </c>
      <c r="B7" s="47">
        <f>F63</f>
        <v>574.33</v>
      </c>
      <c r="C7" s="26">
        <v>25.0</v>
      </c>
      <c r="D7" s="50">
        <f t="shared" si="1"/>
        <v>22.9732</v>
      </c>
      <c r="E7" s="41"/>
      <c r="F7" s="52" t="b">
        <v>0</v>
      </c>
      <c r="G7" s="52" t="b">
        <v>0</v>
      </c>
      <c r="H7" s="9"/>
      <c r="I7" s="9"/>
      <c r="J7" s="12" t="s">
        <v>67</v>
      </c>
      <c r="K7" s="12" t="s">
        <v>19</v>
      </c>
      <c r="L7" s="13" t="s">
        <v>21</v>
      </c>
      <c r="M7" s="25"/>
      <c r="N7" s="2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41" t="s">
        <v>69</v>
      </c>
      <c r="B8" s="47"/>
      <c r="C8" s="26">
        <v>10.0</v>
      </c>
      <c r="D8" s="50" t="str">
        <f t="shared" si="1"/>
        <v/>
      </c>
      <c r="E8" s="41">
        <v>3000.0</v>
      </c>
      <c r="F8" s="41" t="b">
        <v>0</v>
      </c>
      <c r="G8" s="41" t="b">
        <v>0</v>
      </c>
      <c r="H8" s="9"/>
      <c r="I8" s="9"/>
      <c r="J8" s="1" t="s">
        <v>29</v>
      </c>
      <c r="K8" s="11">
        <v>2600.0</v>
      </c>
      <c r="L8" s="23">
        <f>K8*K9</f>
        <v>13000</v>
      </c>
      <c r="M8" s="9"/>
      <c r="N8" s="2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61" t="s">
        <v>70</v>
      </c>
      <c r="B9" s="63"/>
      <c r="C9" s="63">
        <v>15.0</v>
      </c>
      <c r="D9" s="65" t="str">
        <f t="shared" si="1"/>
        <v/>
      </c>
      <c r="E9" s="61"/>
      <c r="F9" s="61" t="b">
        <v>0</v>
      </c>
      <c r="G9" s="61" t="b">
        <v>0</v>
      </c>
      <c r="H9" s="9"/>
      <c r="I9" s="9"/>
      <c r="J9" s="1" t="s">
        <v>37</v>
      </c>
      <c r="K9" s="12">
        <v>5.0</v>
      </c>
      <c r="L9" s="11">
        <v>24.0</v>
      </c>
      <c r="M9" s="9"/>
      <c r="N9" s="2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61" t="s">
        <v>74</v>
      </c>
      <c r="B10" s="67"/>
      <c r="C10" s="63">
        <v>60.0</v>
      </c>
      <c r="D10" s="65" t="str">
        <f t="shared" si="1"/>
        <v/>
      </c>
      <c r="E10" s="61">
        <v>5000.0</v>
      </c>
      <c r="F10" s="61" t="b">
        <v>0</v>
      </c>
      <c r="G10" s="61" t="b">
        <v>0</v>
      </c>
      <c r="H10" s="9"/>
      <c r="I10" s="9"/>
      <c r="J10" s="1" t="s">
        <v>0</v>
      </c>
      <c r="K10" s="11">
        <v>250.0</v>
      </c>
      <c r="L10" s="23">
        <f>K10*K9</f>
        <v>1250</v>
      </c>
      <c r="M10" s="9"/>
      <c r="N10" s="25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61" t="s">
        <v>80</v>
      </c>
      <c r="B11" s="63"/>
      <c r="C11" s="63">
        <v>30.0</v>
      </c>
      <c r="D11" s="65" t="str">
        <f t="shared" si="1"/>
        <v/>
      </c>
      <c r="E11" s="61">
        <v>52.0</v>
      </c>
      <c r="F11" s="61" t="b">
        <v>0</v>
      </c>
      <c r="G11" s="61" t="b">
        <v>0</v>
      </c>
      <c r="H11" s="9"/>
      <c r="I11" s="9"/>
      <c r="J11" s="1" t="s">
        <v>49</v>
      </c>
      <c r="K11" s="11">
        <v>285.0</v>
      </c>
      <c r="L11" s="23">
        <f>K11*(K9*L9)</f>
        <v>34200</v>
      </c>
      <c r="M11" s="9"/>
      <c r="N11" s="25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73" t="s">
        <v>86</v>
      </c>
      <c r="B12" s="75">
        <f>G63</f>
        <v>301.04</v>
      </c>
      <c r="C12" s="76">
        <v>30.0</v>
      </c>
      <c r="D12" s="79">
        <f t="shared" si="1"/>
        <v>10.03466667</v>
      </c>
      <c r="E12" s="73"/>
      <c r="F12" s="73" t="b">
        <v>0</v>
      </c>
      <c r="G12" s="73" t="b">
        <v>0</v>
      </c>
      <c r="H12" s="9"/>
      <c r="I12" s="9"/>
      <c r="J12" s="1" t="s">
        <v>60</v>
      </c>
      <c r="K12" s="54">
        <f>(((K11*L9)*0.9)-K8)/K10</f>
        <v>14.224</v>
      </c>
      <c r="L12" s="23">
        <f>(L11*0.9)-L8</f>
        <v>17780</v>
      </c>
      <c r="M12" s="9"/>
      <c r="N12" s="25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73" t="s">
        <v>97</v>
      </c>
      <c r="B13" s="75">
        <f>D63</f>
        <v>435.55</v>
      </c>
      <c r="C13" s="76">
        <v>22.0</v>
      </c>
      <c r="D13" s="79">
        <f t="shared" si="1"/>
        <v>19.79772727</v>
      </c>
      <c r="E13" s="73"/>
      <c r="F13" s="73" t="b">
        <v>0</v>
      </c>
      <c r="G13" s="73" t="b">
        <v>0</v>
      </c>
      <c r="H13" s="9"/>
      <c r="I13" s="9"/>
      <c r="J13" s="1" t="s">
        <v>99</v>
      </c>
      <c r="K13" s="11">
        <v>25.0</v>
      </c>
      <c r="L13" s="84">
        <f>(L12*0.01)/K13</f>
        <v>7.112</v>
      </c>
      <c r="M13" s="9"/>
      <c r="N13" s="46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73" t="s">
        <v>102</v>
      </c>
      <c r="B14" s="75"/>
      <c r="C14" s="76">
        <v>30.0</v>
      </c>
      <c r="D14" s="79" t="str">
        <f t="shared" si="1"/>
        <v/>
      </c>
      <c r="E14" s="73">
        <v>3600.0</v>
      </c>
      <c r="F14" s="73" t="b">
        <v>0</v>
      </c>
      <c r="G14" s="73" t="b">
        <v>0</v>
      </c>
      <c r="H14" s="9"/>
      <c r="I14" s="9"/>
      <c r="J14" s="12" t="s">
        <v>82</v>
      </c>
      <c r="K14" s="9"/>
      <c r="L14" s="9"/>
      <c r="M14" s="2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73" t="s">
        <v>103</v>
      </c>
      <c r="B15" s="75"/>
      <c r="C15" s="76">
        <v>30.0</v>
      </c>
      <c r="D15" s="79" t="str">
        <f t="shared" si="1"/>
        <v/>
      </c>
      <c r="E15" s="73">
        <v>1800.0</v>
      </c>
      <c r="F15" s="73" t="b">
        <v>0</v>
      </c>
      <c r="G15" s="73" t="b">
        <v>0</v>
      </c>
      <c r="H15" s="9"/>
      <c r="I15" s="9"/>
      <c r="J15" s="1" t="s">
        <v>89</v>
      </c>
      <c r="K15" s="11">
        <v>369.0</v>
      </c>
      <c r="L15" s="9"/>
      <c r="M15" s="9"/>
      <c r="N15" s="2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73" t="s">
        <v>106</v>
      </c>
      <c r="B16" s="75">
        <v>20.0</v>
      </c>
      <c r="C16" s="73">
        <v>20.0</v>
      </c>
      <c r="D16" s="79">
        <f t="shared" si="1"/>
        <v>1</v>
      </c>
      <c r="E16" s="73">
        <v>2000.0</v>
      </c>
      <c r="F16" s="73" t="b">
        <v>0</v>
      </c>
      <c r="G16" s="73" t="b">
        <v>0</v>
      </c>
      <c r="H16" s="9"/>
      <c r="I16" s="9"/>
      <c r="J16" s="1" t="s">
        <v>0</v>
      </c>
      <c r="K16" s="88">
        <v>66.0</v>
      </c>
      <c r="L16" s="9"/>
      <c r="M16" s="9"/>
      <c r="N16" s="2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73" t="s">
        <v>108</v>
      </c>
      <c r="B17" s="75">
        <v>0.0</v>
      </c>
      <c r="C17" s="73">
        <v>50.0</v>
      </c>
      <c r="D17" s="79">
        <f t="shared" si="1"/>
        <v>0</v>
      </c>
      <c r="E17" s="73">
        <v>55.0</v>
      </c>
      <c r="F17" s="73" t="b">
        <v>0</v>
      </c>
      <c r="G17" s="73" t="b">
        <v>0</v>
      </c>
      <c r="H17" s="9"/>
      <c r="I17" s="9"/>
      <c r="J17" s="1" t="s">
        <v>71</v>
      </c>
      <c r="K17" s="54">
        <f>K15/K16</f>
        <v>5.590909091</v>
      </c>
      <c r="L17" s="9"/>
      <c r="M17" s="9"/>
      <c r="N17" s="2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73" t="s">
        <v>111</v>
      </c>
      <c r="B18" s="75">
        <v>0.0</v>
      </c>
      <c r="C18" s="73">
        <v>50.0</v>
      </c>
      <c r="D18" s="79">
        <f t="shared" si="1"/>
        <v>0</v>
      </c>
      <c r="E18" s="73">
        <v>55.0</v>
      </c>
      <c r="F18" s="73" t="b">
        <v>0</v>
      </c>
      <c r="G18" s="73" t="b">
        <v>0</v>
      </c>
      <c r="H18" s="9"/>
      <c r="I18" s="9"/>
      <c r="J18" s="12" t="s">
        <v>113</v>
      </c>
      <c r="K18" s="9"/>
      <c r="L18" s="9"/>
      <c r="M18" s="9"/>
      <c r="N18" s="25"/>
      <c r="O18" s="25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89" t="s">
        <v>114</v>
      </c>
      <c r="B19" s="90">
        <v>2700.0</v>
      </c>
      <c r="C19" s="91">
        <v>90.0</v>
      </c>
      <c r="D19" s="92">
        <f t="shared" si="1"/>
        <v>30</v>
      </c>
      <c r="E19" s="93">
        <v>5000.0</v>
      </c>
      <c r="F19" s="89" t="b">
        <v>1</v>
      </c>
      <c r="G19" s="93" t="b">
        <v>0</v>
      </c>
      <c r="H19" s="9"/>
      <c r="I19" s="9"/>
      <c r="J19" s="1" t="s">
        <v>89</v>
      </c>
      <c r="K19" s="11">
        <v>560.0</v>
      </c>
      <c r="L19" s="9"/>
      <c r="M19" s="9"/>
      <c r="N19" s="25"/>
      <c r="O19" s="25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1" t="s">
        <v>0</v>
      </c>
      <c r="K20" s="11">
        <v>70.0</v>
      </c>
      <c r="L20" s="9"/>
      <c r="M20" s="9"/>
      <c r="N20" s="25"/>
      <c r="O20" s="25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1" t="s">
        <v>71</v>
      </c>
      <c r="K21" s="54">
        <f>K19/K20</f>
        <v>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44" t="s">
        <v>31</v>
      </c>
      <c r="B22" s="5" t="s">
        <v>7</v>
      </c>
      <c r="C22" s="5" t="s">
        <v>8</v>
      </c>
      <c r="D22" s="7" t="s">
        <v>9</v>
      </c>
      <c r="E22" s="44" t="s">
        <v>11</v>
      </c>
      <c r="F22" s="44" t="s">
        <v>12</v>
      </c>
      <c r="G22" s="44" t="s">
        <v>5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1" t="s">
        <v>126</v>
      </c>
      <c r="B23" s="11">
        <f t="shared" ref="B23:B25" si="2">F23-C23-(C32/3)</f>
        <v>320</v>
      </c>
      <c r="C23" s="88"/>
      <c r="D23" s="17">
        <f t="shared" ref="D23:D27" si="3">C23/F23</f>
        <v>0</v>
      </c>
      <c r="E23" s="77">
        <f>(E32*3)+F7*5</f>
        <v>0.18</v>
      </c>
      <c r="F23" s="11">
        <f t="shared" ref="F23:F25" si="4">F32/3</f>
        <v>320</v>
      </c>
      <c r="G23" s="49">
        <f t="shared" ref="G23:G27" si="5">E23*B23</f>
        <v>57.6</v>
      </c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1" t="s">
        <v>98</v>
      </c>
      <c r="B24" s="11">
        <f t="shared" si="2"/>
        <v>40</v>
      </c>
      <c r="C24" s="88"/>
      <c r="D24" s="17">
        <f t="shared" si="3"/>
        <v>0</v>
      </c>
      <c r="E24" s="77">
        <f>(E33*3)+F7*5</f>
        <v>5.25</v>
      </c>
      <c r="F24" s="11">
        <f t="shared" si="4"/>
        <v>40</v>
      </c>
      <c r="G24" s="49">
        <f t="shared" si="5"/>
        <v>210</v>
      </c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1" t="s">
        <v>92</v>
      </c>
      <c r="B25" s="11">
        <f t="shared" si="2"/>
        <v>40</v>
      </c>
      <c r="C25" s="88"/>
      <c r="D25" s="17">
        <f t="shared" si="3"/>
        <v>0</v>
      </c>
      <c r="E25" s="77">
        <f>(E34*3)+F7*9</f>
        <v>0.3</v>
      </c>
      <c r="F25" s="11">
        <f t="shared" si="4"/>
        <v>40</v>
      </c>
      <c r="G25" s="49">
        <f t="shared" si="5"/>
        <v>12</v>
      </c>
      <c r="H25" s="9"/>
      <c r="I25" s="9"/>
      <c r="J25" s="10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1" t="s">
        <v>131</v>
      </c>
      <c r="B26" s="11">
        <f t="shared" ref="B26:B27" si="6">F26-C26</f>
        <v>120</v>
      </c>
      <c r="C26" s="88"/>
      <c r="D26" s="17">
        <f t="shared" si="3"/>
        <v>0</v>
      </c>
      <c r="E26" s="88">
        <v>3.0</v>
      </c>
      <c r="F26" s="11">
        <f>(40*B28)*3</f>
        <v>120</v>
      </c>
      <c r="G26" s="49">
        <f t="shared" si="5"/>
        <v>360</v>
      </c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1" t="s">
        <v>132</v>
      </c>
      <c r="B27" s="11">
        <f t="shared" si="6"/>
        <v>70</v>
      </c>
      <c r="C27" s="11"/>
      <c r="D27" s="17">
        <f t="shared" si="3"/>
        <v>0</v>
      </c>
      <c r="E27" s="88">
        <v>14.0</v>
      </c>
      <c r="F27" s="11">
        <f>(B28)*70</f>
        <v>70</v>
      </c>
      <c r="G27" s="49">
        <f t="shared" si="5"/>
        <v>980</v>
      </c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4" t="s">
        <v>5</v>
      </c>
      <c r="B28" s="108">
        <v>1.0</v>
      </c>
      <c r="C28" s="34"/>
      <c r="D28" s="37">
        <f>SUM(D22:D27)/5</f>
        <v>0</v>
      </c>
      <c r="E28" s="58" t="s">
        <v>68</v>
      </c>
      <c r="F28" s="58"/>
      <c r="G28" s="60">
        <f>SUM(G23:G27,G29,G30)</f>
        <v>1699.6</v>
      </c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1" t="s">
        <v>17</v>
      </c>
      <c r="B29" s="11">
        <f t="shared" ref="B29:B30" si="7">F29-C29</f>
        <v>800</v>
      </c>
      <c r="C29" s="88"/>
      <c r="D29" s="17">
        <f t="shared" ref="D29:D30" si="8">C29/F29</f>
        <v>0</v>
      </c>
      <c r="E29" s="11">
        <v>0.05</v>
      </c>
      <c r="F29" s="11">
        <f>(40*B28)*20</f>
        <v>800</v>
      </c>
      <c r="G29" s="49">
        <f t="shared" ref="G29:G30" si="9">E29*B29</f>
        <v>40</v>
      </c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1" t="s">
        <v>135</v>
      </c>
      <c r="B30" s="11">
        <f t="shared" si="7"/>
        <v>800</v>
      </c>
      <c r="C30" s="88"/>
      <c r="D30" s="17">
        <f t="shared" si="8"/>
        <v>0</v>
      </c>
      <c r="E30" s="11">
        <v>0.05</v>
      </c>
      <c r="F30" s="11">
        <f>(40*B28)*20</f>
        <v>800</v>
      </c>
      <c r="G30" s="49">
        <f t="shared" si="9"/>
        <v>40</v>
      </c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5" t="s">
        <v>79</v>
      </c>
      <c r="B31" s="5" t="s">
        <v>7</v>
      </c>
      <c r="C31" s="5" t="s">
        <v>8</v>
      </c>
      <c r="D31" s="7" t="s">
        <v>9</v>
      </c>
      <c r="E31" s="44" t="s">
        <v>11</v>
      </c>
      <c r="F31" s="44" t="s">
        <v>12</v>
      </c>
      <c r="G31" s="44" t="s">
        <v>5</v>
      </c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1" t="s">
        <v>136</v>
      </c>
      <c r="B32" s="11">
        <f t="shared" ref="B32:B34" si="10">F32-C32-C23*3</f>
        <v>960</v>
      </c>
      <c r="C32" s="11">
        <v>0.0</v>
      </c>
      <c r="D32" s="17">
        <f t="shared" ref="D32:D34" si="11">C32/F32</f>
        <v>0</v>
      </c>
      <c r="E32" s="11">
        <v>0.06</v>
      </c>
      <c r="F32" s="11">
        <f>(40*B28)*24</f>
        <v>960</v>
      </c>
      <c r="G32" s="49">
        <f t="shared" ref="G32:G34" si="12">E32*B32</f>
        <v>57.6</v>
      </c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1" t="s">
        <v>64</v>
      </c>
      <c r="B33" s="11">
        <f t="shared" si="10"/>
        <v>120</v>
      </c>
      <c r="C33" s="11">
        <v>0.0</v>
      </c>
      <c r="D33" s="17">
        <f t="shared" si="11"/>
        <v>0</v>
      </c>
      <c r="E33" s="11">
        <v>1.75</v>
      </c>
      <c r="F33" s="11">
        <f>(40*B28)*3</f>
        <v>120</v>
      </c>
      <c r="G33" s="49">
        <f t="shared" si="12"/>
        <v>210</v>
      </c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1" t="s">
        <v>59</v>
      </c>
      <c r="B34" s="11">
        <f t="shared" si="10"/>
        <v>120</v>
      </c>
      <c r="C34" s="11">
        <v>0.0</v>
      </c>
      <c r="D34" s="17">
        <f t="shared" si="11"/>
        <v>0</v>
      </c>
      <c r="E34" s="11">
        <v>0.1</v>
      </c>
      <c r="F34" s="11">
        <f>(40*B28)*3</f>
        <v>120</v>
      </c>
      <c r="G34" s="49">
        <f t="shared" si="12"/>
        <v>12</v>
      </c>
      <c r="H34" s="9"/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4" t="s">
        <v>5</v>
      </c>
      <c r="B35" s="34"/>
      <c r="C35" s="34"/>
      <c r="D35" s="37"/>
      <c r="E35" s="58" t="s">
        <v>68</v>
      </c>
      <c r="F35" s="58"/>
      <c r="G35" s="60">
        <f>SUM(G32:G34,G26,G27,G29,G30)</f>
        <v>1699.6</v>
      </c>
      <c r="H35" s="9"/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25"/>
      <c r="B37" s="107"/>
      <c r="C37" s="25"/>
      <c r="D37" s="25"/>
      <c r="E37" s="9"/>
      <c r="F37" s="25"/>
      <c r="G37" s="25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25"/>
      <c r="B38" s="107"/>
      <c r="C38" s="25"/>
      <c r="D38" s="25"/>
      <c r="E38" s="25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25"/>
      <c r="B39" s="107"/>
      <c r="C39" s="25"/>
      <c r="D39" s="25"/>
      <c r="E39" s="25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25"/>
      <c r="C40" s="9"/>
      <c r="D40" s="25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25"/>
      <c r="C41" s="9"/>
      <c r="D41" s="25"/>
      <c r="E41" s="25"/>
      <c r="F41" s="25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25"/>
      <c r="C42" s="9"/>
      <c r="D42" s="25"/>
      <c r="E42" s="25"/>
      <c r="F42" s="25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25"/>
      <c r="C43" s="9"/>
      <c r="D43" s="25"/>
      <c r="E43" s="25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25"/>
      <c r="C44" s="9"/>
      <c r="D44" s="25"/>
      <c r="E44" s="25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25"/>
      <c r="C45" s="9"/>
      <c r="D45" s="25"/>
      <c r="E45" s="25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25"/>
      <c r="C46" s="9"/>
      <c r="D46" s="25"/>
      <c r="E46" s="25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25"/>
      <c r="C47" s="9"/>
      <c r="D47" s="25"/>
      <c r="E47" s="25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25"/>
      <c r="C48" s="9"/>
      <c r="D48" s="25"/>
      <c r="E48" s="25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2" t="s">
        <v>145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2" t="s">
        <v>97</v>
      </c>
      <c r="B51" s="9"/>
      <c r="C51" s="12" t="s">
        <v>11</v>
      </c>
      <c r="D51" s="12" t="s">
        <v>97</v>
      </c>
      <c r="E51" s="12" t="s">
        <v>147</v>
      </c>
      <c r="F51" s="12" t="s">
        <v>148</v>
      </c>
      <c r="G51" s="12" t="s">
        <v>149</v>
      </c>
      <c r="H51" s="9"/>
      <c r="I51" s="111">
        <f>SUMIF(F5:F9,0,C5:C9)</f>
        <v>0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2" t="s">
        <v>152</v>
      </c>
      <c r="B52" s="9"/>
      <c r="C52" s="12">
        <v>4.0</v>
      </c>
      <c r="D52" s="12">
        <v>21.0</v>
      </c>
      <c r="E52" s="12">
        <v>38.0</v>
      </c>
      <c r="F52" s="12">
        <v>40.0</v>
      </c>
      <c r="G52" s="12">
        <v>10.0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2" t="s">
        <v>153</v>
      </c>
      <c r="B53" s="9"/>
      <c r="C53" s="12">
        <v>4.0</v>
      </c>
      <c r="D53" s="12">
        <v>15.0</v>
      </c>
      <c r="E53" s="12">
        <v>13.0</v>
      </c>
      <c r="F53" s="12">
        <v>13.0</v>
      </c>
      <c r="G53" s="12">
        <v>0.0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2" t="s">
        <v>155</v>
      </c>
      <c r="B54" s="9"/>
      <c r="C54" s="12">
        <v>4.0</v>
      </c>
      <c r="D54" s="12">
        <v>0.0</v>
      </c>
      <c r="E54" s="12">
        <v>2.0</v>
      </c>
      <c r="F54" s="12">
        <v>4.0</v>
      </c>
      <c r="G54" s="12">
        <v>0.0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2" t="s">
        <v>157</v>
      </c>
      <c r="B55" s="9"/>
      <c r="C55" s="113">
        <v>64.0</v>
      </c>
      <c r="D55" s="12">
        <v>1.0</v>
      </c>
      <c r="E55" s="12">
        <v>2.0</v>
      </c>
      <c r="F55" s="12">
        <v>2.0</v>
      </c>
      <c r="G55" s="12">
        <v>0.0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2" t="s">
        <v>16</v>
      </c>
      <c r="B56" s="9"/>
      <c r="C56" s="12">
        <v>6.0</v>
      </c>
      <c r="D56" s="12">
        <v>34.0</v>
      </c>
      <c r="E56" s="12">
        <v>37.0</v>
      </c>
      <c r="F56" s="12">
        <v>31.0</v>
      </c>
      <c r="G56" s="12">
        <v>0.0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2" t="s">
        <v>160</v>
      </c>
      <c r="B57" s="9"/>
      <c r="C57" s="12">
        <v>0.18</v>
      </c>
      <c r="D57" s="12">
        <v>110.0</v>
      </c>
      <c r="E57" s="12">
        <v>163.0</v>
      </c>
      <c r="F57" s="12">
        <v>157.0</v>
      </c>
      <c r="G57" s="12">
        <v>0.0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12" t="s">
        <v>161</v>
      </c>
      <c r="B58" s="9"/>
      <c r="C58" s="12">
        <v>0.2</v>
      </c>
      <c r="D58" s="12">
        <v>6.0</v>
      </c>
      <c r="E58" s="12">
        <v>6.0</v>
      </c>
      <c r="F58" s="12">
        <v>6.0</v>
      </c>
      <c r="G58" s="12">
        <v>0.0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12" t="s">
        <v>162</v>
      </c>
      <c r="B59" s="9"/>
      <c r="C59" s="12">
        <v>0.2</v>
      </c>
      <c r="D59" s="12">
        <v>12.0</v>
      </c>
      <c r="E59" s="12">
        <v>12.0</v>
      </c>
      <c r="F59" s="12">
        <v>12.0</v>
      </c>
      <c r="G59" s="12">
        <v>5.0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12" t="s">
        <v>163</v>
      </c>
      <c r="B60" s="9"/>
      <c r="C60" s="12">
        <v>0.0</v>
      </c>
      <c r="D60" s="12">
        <v>0.15</v>
      </c>
      <c r="E60" s="12">
        <v>0.44</v>
      </c>
      <c r="F60" s="12">
        <v>0.47</v>
      </c>
      <c r="G60" s="12">
        <v>0.04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12" t="s">
        <v>164</v>
      </c>
      <c r="B61" s="9"/>
      <c r="C61" s="113">
        <v>26.0</v>
      </c>
      <c r="D61" s="12">
        <v>0.0</v>
      </c>
      <c r="E61" s="12">
        <v>0.0</v>
      </c>
      <c r="F61" s="12">
        <v>0.0</v>
      </c>
      <c r="G61" s="12">
        <v>10.0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12" t="s">
        <v>166</v>
      </c>
      <c r="B62" s="9"/>
      <c r="C62" s="9"/>
      <c r="D62" s="12">
        <v>26.0</v>
      </c>
      <c r="E62" s="12">
        <v>21.0</v>
      </c>
      <c r="F62" s="12">
        <v>24.0</v>
      </c>
      <c r="G62" s="12">
        <v>30.0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12" t="s">
        <v>5</v>
      </c>
      <c r="B63" s="9"/>
      <c r="C63" s="9"/>
      <c r="D63" s="12">
        <f>C57*D57+D60+D56*C56+D53*C53+D52*C52+D54*C54+D58*C58+D59*C59+D55*C55+C61*D61</f>
        <v>435.55</v>
      </c>
      <c r="E63" s="12">
        <f>C57*E57+E60+E56*C56+E53*C53+E52*C52+E54*C54+E58*C58+E59*C59+E55*C55+C61*E61</f>
        <v>595.38</v>
      </c>
      <c r="F63" s="12">
        <f>C57*F57+F60+F56*C56+F53*C53+F52*C52+F54*C54+F58*C58+F59*C59+F55*C55+C61*F61</f>
        <v>574.33</v>
      </c>
      <c r="G63" s="12">
        <f>C57*G57+G60+G56*C56+G53*C53+G52*C52+G54*C54+G58*C58+G59*C59+G55*C55+C61*G61</f>
        <v>301.04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12" t="s">
        <v>169</v>
      </c>
      <c r="B65" s="12" t="s">
        <v>11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2" t="s">
        <v>170</v>
      </c>
      <c r="B66" s="12">
        <v>1.94</v>
      </c>
      <c r="C66" s="12">
        <v>525.0</v>
      </c>
      <c r="D66" s="12">
        <f t="shared" ref="D66:D70" si="13">C66*B66</f>
        <v>1018.5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12" t="s">
        <v>171</v>
      </c>
      <c r="B67" s="12">
        <v>1.18</v>
      </c>
      <c r="C67" s="12">
        <v>316.0</v>
      </c>
      <c r="D67" s="12">
        <f t="shared" si="13"/>
        <v>372.88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12" t="s">
        <v>172</v>
      </c>
      <c r="B68" s="12">
        <v>2.08</v>
      </c>
      <c r="C68" s="12">
        <v>11.0</v>
      </c>
      <c r="D68" s="12">
        <f t="shared" si="13"/>
        <v>22.88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2" t="s">
        <v>174</v>
      </c>
      <c r="B69" s="12">
        <v>0.13</v>
      </c>
      <c r="C69" s="12">
        <v>57.0</v>
      </c>
      <c r="D69" s="12">
        <f t="shared" si="13"/>
        <v>7.41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2" t="s">
        <v>175</v>
      </c>
      <c r="B70" s="12">
        <v>0.04</v>
      </c>
      <c r="C70" s="12">
        <v>1728.0</v>
      </c>
      <c r="D70" s="12">
        <f t="shared" si="13"/>
        <v>69.12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12">
        <f>SUM(D66:D70)</f>
        <v>1490.79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12" t="s">
        <v>177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12" t="s">
        <v>178</v>
      </c>
      <c r="B74" s="12">
        <v>1500.0</v>
      </c>
      <c r="C74" s="41" t="b">
        <f>TRUE()</f>
        <v>1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12" t="s">
        <v>180</v>
      </c>
      <c r="B75" s="12">
        <v>1000.0</v>
      </c>
      <c r="C75" s="41" t="b">
        <f t="shared" ref="C75:C76" si="14">FALSE()</f>
        <v>0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2" t="s">
        <v>181</v>
      </c>
      <c r="B76" s="12">
        <v>1200.0</v>
      </c>
      <c r="C76" s="61" t="b">
        <f t="shared" si="14"/>
        <v>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12" t="s">
        <v>182</v>
      </c>
      <c r="B77" s="12">
        <v>500.0</v>
      </c>
      <c r="C77" s="61" t="b">
        <f t="shared" ref="C77:C78" si="15">TRUE()</f>
        <v>1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2" t="s">
        <v>183</v>
      </c>
      <c r="B78" s="12">
        <v>1500.0</v>
      </c>
      <c r="C78" s="73" t="b">
        <f t="shared" si="15"/>
        <v>1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12">
        <f>SUM(B74:B78)</f>
        <v>5700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0"/>
    <col customWidth="1" min="13" max="20" width="20.0"/>
    <col customWidth="1" min="21" max="26" width="8.71"/>
  </cols>
  <sheetData>
    <row r="1" ht="15.75" customHeight="1">
      <c r="A1" s="2" t="s">
        <v>2</v>
      </c>
      <c r="B1" s="4"/>
      <c r="C1" s="4"/>
      <c r="D1" s="6"/>
      <c r="E1" s="2" t="s">
        <v>10</v>
      </c>
      <c r="F1" s="4"/>
      <c r="G1" s="4"/>
      <c r="H1" s="6"/>
      <c r="I1" s="2" t="s">
        <v>2</v>
      </c>
      <c r="J1" s="4"/>
      <c r="K1" s="4"/>
      <c r="L1" s="6"/>
      <c r="M1" s="9"/>
      <c r="N1" s="9"/>
      <c r="O1" s="12" t="s">
        <v>18</v>
      </c>
      <c r="P1" s="12" t="s">
        <v>20</v>
      </c>
      <c r="Q1" s="13" t="s">
        <v>22</v>
      </c>
      <c r="R1" s="13" t="s">
        <v>23</v>
      </c>
      <c r="S1" s="13" t="s">
        <v>24</v>
      </c>
      <c r="T1" s="13" t="s">
        <v>25</v>
      </c>
      <c r="U1" s="9"/>
      <c r="V1" s="9"/>
      <c r="W1" s="9"/>
      <c r="X1" s="9"/>
      <c r="Y1" s="9"/>
      <c r="Z1" s="9"/>
    </row>
    <row r="2" ht="15.75" customHeight="1">
      <c r="A2" s="14" t="s">
        <v>26</v>
      </c>
      <c r="B2" s="18">
        <f>VLOOKUP($A$1,P:T,2,0)</f>
        <v>11000</v>
      </c>
      <c r="C2" s="20">
        <f>100*(B2/(B2+7900))</f>
        <v>58.2010582</v>
      </c>
      <c r="D2" s="22" t="s">
        <v>28</v>
      </c>
      <c r="E2" s="14" t="s">
        <v>26</v>
      </c>
      <c r="F2" s="18">
        <f t="shared" ref="F2:F4" si="1">B2</f>
        <v>11000</v>
      </c>
      <c r="G2" s="20">
        <f>100*(F2/(F2+7900))</f>
        <v>58.2010582</v>
      </c>
      <c r="H2" s="22" t="s">
        <v>28</v>
      </c>
      <c r="I2" s="24" t="s">
        <v>26</v>
      </c>
      <c r="J2" s="18">
        <f>VLOOKUP($A$1,P:T,2,0)</f>
        <v>11000</v>
      </c>
      <c r="K2" s="20">
        <f>100*(J2/(J2+7900))</f>
        <v>58.2010582</v>
      </c>
      <c r="L2" s="22" t="s">
        <v>28</v>
      </c>
      <c r="M2" s="9"/>
      <c r="N2" s="9"/>
      <c r="O2" s="9"/>
      <c r="P2" s="12" t="s">
        <v>2</v>
      </c>
      <c r="Q2" s="13">
        <v>11000.0</v>
      </c>
      <c r="R2" s="13">
        <v>15.0</v>
      </c>
      <c r="S2" s="13">
        <v>9000.0</v>
      </c>
      <c r="T2" s="13">
        <v>3000.0</v>
      </c>
      <c r="U2" s="9"/>
      <c r="V2" s="9"/>
      <c r="W2" s="9"/>
      <c r="X2" s="9"/>
      <c r="Y2" s="9"/>
      <c r="Z2" s="9"/>
    </row>
    <row r="3" ht="15.75" customHeight="1">
      <c r="A3" s="27" t="s">
        <v>23</v>
      </c>
      <c r="B3" s="28">
        <f>VLOOKUP($A$1,P:T,3,0)</f>
        <v>15</v>
      </c>
      <c r="C3" s="30"/>
      <c r="D3" s="31" t="s">
        <v>28</v>
      </c>
      <c r="E3" s="27" t="s">
        <v>23</v>
      </c>
      <c r="F3" s="32">
        <f t="shared" si="1"/>
        <v>15</v>
      </c>
      <c r="G3" s="30"/>
      <c r="H3" s="31" t="s">
        <v>28</v>
      </c>
      <c r="I3" s="35" t="s">
        <v>23</v>
      </c>
      <c r="J3" s="28">
        <f>VLOOKUP($A$1,P:T,3,0)</f>
        <v>15</v>
      </c>
      <c r="K3" s="30"/>
      <c r="L3" s="31" t="s">
        <v>28</v>
      </c>
      <c r="M3" s="9"/>
      <c r="N3" s="9"/>
      <c r="O3" s="9"/>
      <c r="P3" s="12" t="s">
        <v>41</v>
      </c>
      <c r="Q3" s="13">
        <v>16207.0</v>
      </c>
      <c r="R3" s="13">
        <v>17.9</v>
      </c>
      <c r="S3" s="13">
        <v>8073.0</v>
      </c>
      <c r="T3" s="13">
        <v>2915.0</v>
      </c>
      <c r="U3" s="9"/>
      <c r="V3" s="9"/>
      <c r="W3" s="9"/>
      <c r="X3" s="9"/>
      <c r="Y3" s="9"/>
      <c r="Z3" s="9"/>
    </row>
    <row r="4" ht="15.75" customHeight="1">
      <c r="A4" s="39" t="s">
        <v>42</v>
      </c>
      <c r="B4" s="32">
        <f>VLOOKUP($A$1,P:T,4,0)</f>
        <v>9000</v>
      </c>
      <c r="C4" s="43">
        <f>0.0027*B4</f>
        <v>24.3</v>
      </c>
      <c r="D4" s="31" t="s">
        <v>50</v>
      </c>
      <c r="E4" s="39" t="s">
        <v>42</v>
      </c>
      <c r="F4" s="32">
        <f t="shared" si="1"/>
        <v>9000</v>
      </c>
      <c r="G4" s="43">
        <f>0.0027*F4</f>
        <v>24.3</v>
      </c>
      <c r="H4" s="31" t="s">
        <v>50</v>
      </c>
      <c r="I4" s="45" t="s">
        <v>42</v>
      </c>
      <c r="J4" s="32">
        <f>VLOOKUP($A$1,P:T,4,0)</f>
        <v>9000</v>
      </c>
      <c r="K4" s="43">
        <f>0.0027*J4</f>
        <v>24.3</v>
      </c>
      <c r="L4" s="31" t="s">
        <v>50</v>
      </c>
      <c r="M4" s="9"/>
      <c r="N4" s="9"/>
      <c r="O4" s="9"/>
      <c r="P4" s="12" t="s">
        <v>56</v>
      </c>
      <c r="Q4" s="13">
        <v>6000.0</v>
      </c>
      <c r="R4" s="13">
        <v>0.0</v>
      </c>
      <c r="S4" s="13">
        <v>0.0</v>
      </c>
      <c r="T4" s="13">
        <v>0.0</v>
      </c>
      <c r="U4" s="9"/>
      <c r="V4" s="9"/>
      <c r="W4" s="9"/>
      <c r="X4" s="9"/>
      <c r="Y4" s="9"/>
      <c r="Z4" s="9"/>
    </row>
    <row r="5" ht="15.75" customHeight="1">
      <c r="A5" s="48"/>
      <c r="B5" s="32"/>
      <c r="C5" s="43">
        <f>B4/(1000/12.5)</f>
        <v>112.5</v>
      </c>
      <c r="D5" s="31" t="s">
        <v>58</v>
      </c>
      <c r="E5" s="48"/>
      <c r="F5" s="32"/>
      <c r="G5" s="43">
        <f>F4/(1000/12.5)</f>
        <v>112.5</v>
      </c>
      <c r="H5" s="31" t="s">
        <v>58</v>
      </c>
      <c r="I5" s="51"/>
      <c r="J5" s="32"/>
      <c r="K5" s="43">
        <f>J4/(1000/12.5)</f>
        <v>112.5</v>
      </c>
      <c r="L5" s="31" t="s">
        <v>58</v>
      </c>
      <c r="M5" s="9"/>
      <c r="N5" s="9"/>
      <c r="O5" s="9"/>
      <c r="P5" s="12" t="s">
        <v>61</v>
      </c>
      <c r="Q5" s="13">
        <v>1972.0</v>
      </c>
      <c r="R5" s="13">
        <v>13.2</v>
      </c>
      <c r="S5" s="13">
        <v>6350.0</v>
      </c>
      <c r="T5" s="13">
        <v>2500.0</v>
      </c>
      <c r="U5" s="9"/>
      <c r="V5" s="9"/>
      <c r="W5" s="9"/>
      <c r="X5" s="9"/>
      <c r="Y5" s="9"/>
      <c r="Z5" s="9"/>
    </row>
    <row r="6" ht="15.75" customHeight="1">
      <c r="A6" s="53" t="s">
        <v>63</v>
      </c>
      <c r="B6" s="55">
        <f>VLOOKUP($A$1,P:T,5,0)</f>
        <v>3000</v>
      </c>
      <c r="C6" s="56">
        <f>100*(B6/(B6+7900))</f>
        <v>27.52293578</v>
      </c>
      <c r="D6" s="57" t="s">
        <v>66</v>
      </c>
      <c r="E6" s="53" t="s">
        <v>63</v>
      </c>
      <c r="F6" s="55">
        <f>B6</f>
        <v>3000</v>
      </c>
      <c r="G6" s="56">
        <f>100*(F6/(F6+7900))</f>
        <v>27.52293578</v>
      </c>
      <c r="H6" s="57" t="s">
        <v>66</v>
      </c>
      <c r="I6" s="59" t="s">
        <v>63</v>
      </c>
      <c r="J6" s="55">
        <f>VLOOKUP($A$1,P:T,5,0)</f>
        <v>3000</v>
      </c>
      <c r="K6" s="56">
        <f>100*(J6/(J6+7900))</f>
        <v>27.52293578</v>
      </c>
      <c r="L6" s="57" t="s">
        <v>66</v>
      </c>
      <c r="M6" s="9"/>
      <c r="N6" s="62"/>
      <c r="O6" s="62"/>
      <c r="P6" s="12" t="s">
        <v>72</v>
      </c>
      <c r="Q6" s="13">
        <v>5481.0</v>
      </c>
      <c r="R6" s="13">
        <v>13.2</v>
      </c>
      <c r="S6" s="13">
        <v>6350.0</v>
      </c>
      <c r="T6" s="13">
        <v>2500.0</v>
      </c>
      <c r="U6" s="9"/>
      <c r="V6" s="9"/>
      <c r="W6" s="9"/>
      <c r="X6" s="9"/>
      <c r="Y6" s="9"/>
      <c r="Z6" s="9"/>
    </row>
    <row r="7" ht="15.75" customHeight="1">
      <c r="A7" s="35" t="s">
        <v>73</v>
      </c>
      <c r="B7" s="66">
        <v>0.0</v>
      </c>
      <c r="C7" s="66" t="s">
        <v>28</v>
      </c>
      <c r="D7" s="31"/>
      <c r="E7" s="35" t="s">
        <v>73</v>
      </c>
      <c r="F7" s="66">
        <v>0.0</v>
      </c>
      <c r="G7" s="66" t="s">
        <v>28</v>
      </c>
      <c r="H7" s="31"/>
      <c r="I7" s="35" t="s">
        <v>73</v>
      </c>
      <c r="J7" s="66">
        <v>0.0</v>
      </c>
      <c r="K7" s="66" t="s">
        <v>28</v>
      </c>
      <c r="L7" s="31"/>
      <c r="M7" s="9"/>
      <c r="N7" s="9"/>
      <c r="O7" s="9"/>
      <c r="P7" s="12" t="s">
        <v>75</v>
      </c>
      <c r="Q7" s="13">
        <v>11059.0</v>
      </c>
      <c r="R7" s="13">
        <v>13.2</v>
      </c>
      <c r="S7" s="13">
        <v>6350.0</v>
      </c>
      <c r="T7" s="13">
        <v>2500.0</v>
      </c>
      <c r="U7" s="9"/>
      <c r="V7" s="9"/>
      <c r="W7" s="9"/>
      <c r="X7" s="9"/>
      <c r="Y7" s="9"/>
      <c r="Z7" s="9"/>
    </row>
    <row r="8" ht="15.75" customHeight="1">
      <c r="A8" s="35" t="s">
        <v>76</v>
      </c>
      <c r="B8" s="66">
        <v>0.0</v>
      </c>
      <c r="C8" s="66" t="s">
        <v>28</v>
      </c>
      <c r="D8" s="31"/>
      <c r="E8" s="35" t="s">
        <v>76</v>
      </c>
      <c r="F8" s="66">
        <v>0.0</v>
      </c>
      <c r="G8" s="66" t="s">
        <v>28</v>
      </c>
      <c r="H8" s="31"/>
      <c r="I8" s="35" t="s">
        <v>76</v>
      </c>
      <c r="J8" s="66">
        <v>0.0</v>
      </c>
      <c r="K8" s="66" t="s">
        <v>28</v>
      </c>
      <c r="L8" s="31"/>
      <c r="M8" s="66"/>
      <c r="N8" s="9"/>
      <c r="O8" s="66"/>
      <c r="P8" s="12" t="s">
        <v>77</v>
      </c>
      <c r="Q8" s="13">
        <v>2436.0</v>
      </c>
      <c r="R8" s="13">
        <v>13.2</v>
      </c>
      <c r="S8" s="13">
        <v>7676.0</v>
      </c>
      <c r="T8" s="13">
        <v>2822.0</v>
      </c>
      <c r="U8" s="9"/>
      <c r="V8" s="9"/>
      <c r="W8" s="9"/>
      <c r="X8" s="9"/>
      <c r="Y8" s="9"/>
      <c r="Z8" s="9"/>
    </row>
    <row r="9" ht="15.75" customHeight="1">
      <c r="A9" s="68" t="s">
        <v>78</v>
      </c>
      <c r="B9" s="69">
        <v>0.0</v>
      </c>
      <c r="C9" s="69" t="s">
        <v>28</v>
      </c>
      <c r="D9" s="70"/>
      <c r="E9" s="68" t="s">
        <v>78</v>
      </c>
      <c r="F9" s="69">
        <v>0.0</v>
      </c>
      <c r="G9" s="69" t="s">
        <v>28</v>
      </c>
      <c r="H9" s="70"/>
      <c r="I9" s="68" t="s">
        <v>78</v>
      </c>
      <c r="J9" s="69">
        <v>0.0</v>
      </c>
      <c r="K9" s="69" t="s">
        <v>28</v>
      </c>
      <c r="L9" s="70"/>
      <c r="M9" s="9"/>
      <c r="N9" s="9"/>
      <c r="O9" s="12"/>
      <c r="P9" s="12" t="s">
        <v>83</v>
      </c>
      <c r="Q9" s="13">
        <v>6864.0</v>
      </c>
      <c r="R9" s="13">
        <v>13.2</v>
      </c>
      <c r="S9" s="13">
        <v>7676.0</v>
      </c>
      <c r="T9" s="13">
        <v>2822.0</v>
      </c>
      <c r="U9" s="9"/>
      <c r="V9" s="9"/>
      <c r="W9" s="9"/>
      <c r="X9" s="9"/>
      <c r="Y9" s="9"/>
      <c r="Z9" s="9"/>
    </row>
    <row r="10" ht="15.75" customHeight="1">
      <c r="A10" s="66" t="s">
        <v>84</v>
      </c>
      <c r="B10" s="71">
        <v>1594.48</v>
      </c>
      <c r="C10" s="66"/>
      <c r="D10" s="72"/>
      <c r="E10" s="66" t="s">
        <v>84</v>
      </c>
      <c r="F10" s="66">
        <f t="shared" ref="F10:F14" si="2">B10+H10</f>
        <v>1616.48</v>
      </c>
      <c r="G10" s="66"/>
      <c r="H10" s="74">
        <v>22.0</v>
      </c>
      <c r="I10" s="66" t="s">
        <v>84</v>
      </c>
      <c r="J10" s="66">
        <f t="shared" ref="J10:J14" si="3">B10+L10</f>
        <v>1594.48</v>
      </c>
      <c r="K10" s="66"/>
      <c r="L10" s="74">
        <v>0.0</v>
      </c>
      <c r="M10" s="9"/>
      <c r="N10" s="9"/>
      <c r="O10" s="12"/>
      <c r="P10" s="12" t="s">
        <v>87</v>
      </c>
      <c r="Q10" s="13">
        <v>13908.0</v>
      </c>
      <c r="R10" s="13">
        <v>13.2</v>
      </c>
      <c r="S10" s="13">
        <v>7676.0</v>
      </c>
      <c r="T10" s="13">
        <v>2822.0</v>
      </c>
      <c r="U10" s="9"/>
      <c r="V10" s="9"/>
      <c r="W10" s="9"/>
      <c r="X10" s="9"/>
      <c r="Y10" s="9"/>
      <c r="Z10" s="9"/>
    </row>
    <row r="11" ht="15.75" customHeight="1">
      <c r="A11" s="66" t="s">
        <v>88</v>
      </c>
      <c r="B11" s="71">
        <v>78.6</v>
      </c>
      <c r="C11" s="66" t="s">
        <v>28</v>
      </c>
      <c r="D11" s="72"/>
      <c r="E11" s="66" t="s">
        <v>88</v>
      </c>
      <c r="F11" s="66">
        <f t="shared" si="2"/>
        <v>82.6</v>
      </c>
      <c r="G11" s="66" t="s">
        <v>28</v>
      </c>
      <c r="H11" s="78">
        <v>4.0</v>
      </c>
      <c r="I11" s="66" t="s">
        <v>88</v>
      </c>
      <c r="J11" s="66">
        <f t="shared" si="3"/>
        <v>78.6</v>
      </c>
      <c r="K11" s="66" t="s">
        <v>28</v>
      </c>
      <c r="L11" s="74">
        <v>0.0</v>
      </c>
      <c r="M11" s="9"/>
      <c r="N11" s="9"/>
      <c r="O11" s="12"/>
      <c r="P11" s="12" t="s">
        <v>90</v>
      </c>
      <c r="Q11" s="13">
        <v>3515.0</v>
      </c>
      <c r="R11" s="13">
        <v>17.2</v>
      </c>
      <c r="S11" s="13">
        <v>9729.0</v>
      </c>
      <c r="T11" s="13">
        <v>3642.0</v>
      </c>
      <c r="U11" s="9"/>
      <c r="V11" s="9"/>
      <c r="W11" s="9"/>
      <c r="X11" s="9"/>
      <c r="Y11" s="9"/>
      <c r="Z11" s="9"/>
    </row>
    <row r="12" ht="15.75" customHeight="1">
      <c r="A12" s="66" t="s">
        <v>91</v>
      </c>
      <c r="B12" s="71">
        <v>261.4</v>
      </c>
      <c r="C12" s="66" t="s">
        <v>28</v>
      </c>
      <c r="D12" s="72"/>
      <c r="E12" s="66" t="s">
        <v>91</v>
      </c>
      <c r="F12" s="66">
        <f t="shared" si="2"/>
        <v>297.4</v>
      </c>
      <c r="G12" s="66" t="s">
        <v>28</v>
      </c>
      <c r="H12" s="78">
        <v>36.0</v>
      </c>
      <c r="I12" s="66" t="s">
        <v>91</v>
      </c>
      <c r="J12" s="66">
        <f t="shared" si="3"/>
        <v>267.4</v>
      </c>
      <c r="K12" s="66" t="s">
        <v>28</v>
      </c>
      <c r="L12" s="74">
        <v>6.0</v>
      </c>
      <c r="M12" s="9"/>
      <c r="N12" s="9"/>
      <c r="O12" s="9"/>
      <c r="P12" s="12" t="s">
        <v>93</v>
      </c>
      <c r="Q12" s="13">
        <v>10063.0</v>
      </c>
      <c r="R12" s="13">
        <v>17.2</v>
      </c>
      <c r="S12" s="13">
        <v>9729.0</v>
      </c>
      <c r="T12" s="13">
        <v>3642.0</v>
      </c>
      <c r="U12" s="9"/>
      <c r="V12" s="9"/>
      <c r="W12" s="9"/>
      <c r="X12" s="9"/>
      <c r="Y12" s="9"/>
      <c r="Z12" s="9"/>
    </row>
    <row r="13" ht="15.75" customHeight="1">
      <c r="A13" s="66" t="s">
        <v>94</v>
      </c>
      <c r="B13" s="71">
        <v>2303.0</v>
      </c>
      <c r="C13" s="66"/>
      <c r="D13" s="72"/>
      <c r="E13" s="66" t="s">
        <v>94</v>
      </c>
      <c r="F13" s="66">
        <f t="shared" si="2"/>
        <v>2773</v>
      </c>
      <c r="G13" s="66"/>
      <c r="H13" s="78">
        <v>470.0</v>
      </c>
      <c r="I13" s="66" t="s">
        <v>94</v>
      </c>
      <c r="J13" s="66">
        <f t="shared" si="3"/>
        <v>2303</v>
      </c>
      <c r="K13" s="66"/>
      <c r="L13" s="78">
        <v>0.0</v>
      </c>
      <c r="M13" s="9"/>
      <c r="N13" s="9"/>
      <c r="O13" s="9"/>
      <c r="P13" s="12" t="s">
        <v>95</v>
      </c>
      <c r="Q13" s="13">
        <v>20473.0</v>
      </c>
      <c r="R13" s="13">
        <v>17.2</v>
      </c>
      <c r="S13" s="13">
        <v>9729.0</v>
      </c>
      <c r="T13" s="13">
        <v>3642.0</v>
      </c>
      <c r="U13" s="9"/>
      <c r="V13" s="9"/>
      <c r="W13" s="9"/>
      <c r="X13" s="9"/>
      <c r="Y13" s="9"/>
      <c r="Z13" s="9"/>
    </row>
    <row r="14" ht="15.75" customHeight="1">
      <c r="A14" s="69" t="s">
        <v>96</v>
      </c>
      <c r="B14" s="66">
        <v>21.1</v>
      </c>
      <c r="C14" s="69" t="s">
        <v>28</v>
      </c>
      <c r="D14" s="80"/>
      <c r="E14" s="69" t="s">
        <v>96</v>
      </c>
      <c r="F14" s="66">
        <f t="shared" si="2"/>
        <v>24.4</v>
      </c>
      <c r="G14" s="69" t="s">
        <v>28</v>
      </c>
      <c r="H14" s="81">
        <v>3.3</v>
      </c>
      <c r="I14" s="69" t="s">
        <v>96</v>
      </c>
      <c r="J14" s="66">
        <f t="shared" si="3"/>
        <v>21.1</v>
      </c>
      <c r="K14" s="69" t="s">
        <v>28</v>
      </c>
      <c r="L14" s="82">
        <v>0.0</v>
      </c>
      <c r="M14" s="9"/>
      <c r="N14" s="9"/>
      <c r="O14" s="9"/>
      <c r="P14" s="12" t="s">
        <v>100</v>
      </c>
      <c r="Q14" s="13">
        <v>4100.0</v>
      </c>
      <c r="R14" s="13">
        <v>22.0</v>
      </c>
      <c r="S14" s="13">
        <v>12000.0</v>
      </c>
      <c r="T14" s="13">
        <v>3800.0</v>
      </c>
      <c r="U14" s="9"/>
      <c r="V14" s="9"/>
      <c r="W14" s="9"/>
      <c r="X14" s="9"/>
      <c r="Y14" s="9"/>
      <c r="Z14" s="9"/>
    </row>
    <row r="15" ht="15.75" customHeight="1">
      <c r="A15" s="83" t="s">
        <v>101</v>
      </c>
      <c r="B15" s="85">
        <f>(1+(B14/100))*((B10*((1-(B20/100))*(1-(B3/100))*(1-(C6/100)))*(B21/100)*((B22+100)/100))+(B10*(1-(B20/100))*(1-(B3/100))*(1-(C6/100))*((100-B21)/100)))*((1-(B24/100))*1+0.4*(B24/100))*((1-(B26/100))*1+0.6*(B26/100))*((1-(B25/100))*1+0*(B25/100))</f>
        <v>1024.01244</v>
      </c>
      <c r="C15" s="86"/>
      <c r="D15" s="87"/>
      <c r="E15" s="83" t="s">
        <v>101</v>
      </c>
      <c r="F15" s="85">
        <f>(1+(F14/100))*((F10*((1-(F20/100))*(1-(F3/100))*(1-(G6/100)))*(F21/100)*((F22+100)/100))+(F10*(1-(F20/100))*(1-(F3/100))*(1-(G6/100))*((100-F21)/100)))*((1-(F24/100))*1+0.4*(F24/100))*((1-(F26/100))*1+0.6*(F26/100))*((1-(F25/100))*1+0*(F25/100))</f>
        <v>1261.021197</v>
      </c>
      <c r="G15" s="86"/>
      <c r="H15" s="87"/>
      <c r="I15" s="83" t="s">
        <v>101</v>
      </c>
      <c r="J15" s="85">
        <f>(1+(J14/100))*((J10*((1-(J20/100))*(1-(J3/100))*(1-(K6/100)))*(J21/100)*((J22+100)/100))+(J10*(1-(J20/100))*(1-(J3/100))*(1-(K6/100))*((100-J21)/100)))*((1-(J24/100))*1+0.4*(J24/100))*((1-(J26/100))*1+0.6*(J26/100))*((1-(J25/100))*1+0*(J25/100))</f>
        <v>1042.459676</v>
      </c>
      <c r="K15" s="86"/>
      <c r="L15" s="87"/>
      <c r="M15" s="62"/>
      <c r="N15" s="62"/>
      <c r="O15" s="62"/>
      <c r="P15" s="12" t="s">
        <v>122</v>
      </c>
      <c r="Q15" s="13">
        <v>12500.0</v>
      </c>
      <c r="R15" s="13">
        <v>22.0</v>
      </c>
      <c r="S15" s="13">
        <v>12000.0</v>
      </c>
      <c r="T15" s="13">
        <v>3800.0</v>
      </c>
      <c r="U15" s="9"/>
      <c r="V15" s="9"/>
      <c r="W15" s="9"/>
      <c r="X15" s="9"/>
      <c r="Y15" s="9"/>
      <c r="Z15" s="9"/>
    </row>
    <row r="16" ht="15.75" customHeight="1">
      <c r="A16" s="9" t="s">
        <v>123</v>
      </c>
      <c r="B16" s="104">
        <f>(1+(B14/100))*((B10*((1-(B20/100))*(1-(B3/100))*(1-(C6/100)))*(0/100)*((B22+100)/100))+(B10*(1-(B20/100))*(1-(B3/100))*(1-(C6/100))*((100-0)/100)))*((1-(B24/100))*1+0.4*(B24/100))*((1-(B26/100))*1+0.6*(B26/100))*((1-(B25/100))*1+0*(B25/100))</f>
        <v>566.2135206</v>
      </c>
      <c r="C16" s="106"/>
      <c r="D16" s="106"/>
      <c r="E16" s="9" t="s">
        <v>123</v>
      </c>
      <c r="F16" s="104">
        <f>(1+(F14/100))*((F10*((1-(F20/100))*(1-(F3/100))*(1-(G6/100)))*(0/100)*((F22+100)/100))+(F10*(1-(F20/100))*(1-(F3/100))*(1-(G6/100))*((100-0)/100)))*((1-(F24/100))*1+0.4*(F24/100))*((1-(F26/100))*1+0.6*(F26/100))*((1-(F25/100))*1+0*(F25/100))</f>
        <v>606.8533314</v>
      </c>
      <c r="G16" s="106"/>
      <c r="H16" s="106"/>
      <c r="I16" s="9" t="s">
        <v>123</v>
      </c>
      <c r="J16" s="104">
        <f>(1+(J14/100))*((J10*((1-(J20/100))*(1-(J3/100))*(1-(K6/100)))*(0/100)*((J22+100)/100))+(J10*(1-(J20/100))*(1-(J3/100))*(1-(K6/100))*((100-0)/100)))*((1-(J24/100))*1+0.4*(J24/100))*((1-(J26/100))*1+0.6*(J26/100))*((1-(J25/100))*1+0*(J25/100))</f>
        <v>566.2135206</v>
      </c>
      <c r="K16" s="9"/>
      <c r="L16" s="9"/>
      <c r="M16" s="9"/>
      <c r="N16" s="9"/>
      <c r="O16" s="9"/>
      <c r="P16" s="12" t="s">
        <v>133</v>
      </c>
      <c r="Q16" s="13">
        <v>21500.0</v>
      </c>
      <c r="R16" s="13">
        <v>22.0</v>
      </c>
      <c r="S16" s="13">
        <v>12000.0</v>
      </c>
      <c r="T16" s="13">
        <v>3800.0</v>
      </c>
      <c r="U16" s="9"/>
      <c r="V16" s="9"/>
      <c r="W16" s="9"/>
      <c r="X16" s="9"/>
      <c r="Y16" s="9"/>
      <c r="Z16" s="9"/>
    </row>
    <row r="17" ht="15.75" customHeight="1">
      <c r="A17" s="9" t="s">
        <v>134</v>
      </c>
      <c r="B17" s="104">
        <f>(1+(B14/100))*((B10*((1-(B20/100))*(1-(B3/100))*(1-(C6/100)))*(100/100)*((B22+100)/100))+(B10*(1-(B20/100))*(1-(B3/100))*(1-(C6/100))*((100-100)/100)))*((1-(B24/100))*1+0.4*(B24/100))*((1-(B26/100))*1+0.6*(B26/100))*((1-(B25/100))*1+0*(B25/100))</f>
        <v>1409.305453</v>
      </c>
      <c r="C17" s="9"/>
      <c r="D17" s="106"/>
      <c r="E17" s="9" t="s">
        <v>134</v>
      </c>
      <c r="F17" s="104">
        <f>(1+(F14/100))*((F10*((1-(F20/100))*(1-(F3/100))*(1-(G6/100)))*(100/100)*((F22+100)/100))+(F10*(1-(F20/100))*(1-(F3/100))*(1-(G6/100))*((100-100)/100)))*((1-(F24/100))*1+0.4*(F24/100))*((1-(F26/100))*1+0.6*(F26/100))*((1-(F25/100))*1+0*(F25/100))</f>
        <v>1728.925141</v>
      </c>
      <c r="G17" s="106"/>
      <c r="H17" s="106"/>
      <c r="I17" s="9" t="s">
        <v>134</v>
      </c>
      <c r="J17" s="104">
        <f>(1+(J14/100))*((J10*((1-(J20/100))*(1-(J3/100))*(1-(K6/100)))*(100/100)*((J22+100)/100))+(J10*(1-(J20/100))*(1-(J3/100))*(1-(K6/100))*((100-100)/100)))*((1-(J24/100))*1+0.4*(J24/100))*((1-(J26/100))*1+0.6*(J26/100))*((1-(J25/100))*1+0*(J25/100))</f>
        <v>1443.278264</v>
      </c>
      <c r="K17" s="13"/>
      <c r="L17" s="13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 t="s">
        <v>140</v>
      </c>
      <c r="B18" s="109" t="str">
        <f>concat(concat("+",ROUND((100*((B15-(MIN($B$15,$F$15)))/MIN($B$15,$F$15))),2)),"%")</f>
        <v>+0%</v>
      </c>
      <c r="C18" s="9"/>
      <c r="D18" s="9"/>
      <c r="E18" s="9" t="s">
        <v>140</v>
      </c>
      <c r="F18" s="110" t="str">
        <f>concat(concat("+",ROUND((100*((F15-(MIN($B$15,$F$15)))/MIN($B$15,$F$15))),2)),"%")</f>
        <v>+23,15%</v>
      </c>
      <c r="G18" s="9"/>
      <c r="H18" s="9"/>
      <c r="I18" s="9" t="s">
        <v>140</v>
      </c>
      <c r="J18" s="110" t="str">
        <f>concat(concat("+",ROUND((100*((J15-(MIN($B$15,$F$15,$J$15)))/MIN($B$15,$F$15,$J$15))),2)),"%")</f>
        <v>+1,8%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 t="s">
        <v>154</v>
      </c>
      <c r="B19" s="112">
        <f>B22*0.01</f>
        <v>1.489</v>
      </c>
      <c r="C19" s="9"/>
      <c r="D19" s="9"/>
      <c r="E19" s="9" t="s">
        <v>154</v>
      </c>
      <c r="F19" s="112">
        <f>F22*0.01</f>
        <v>1.849</v>
      </c>
      <c r="G19" s="9"/>
      <c r="H19" s="9"/>
      <c r="I19" s="9" t="s">
        <v>154</v>
      </c>
      <c r="J19" s="112">
        <f>J22*0.01</f>
        <v>1.549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hidden="1" customHeight="1">
      <c r="A20" s="12" t="s">
        <v>159</v>
      </c>
      <c r="B20" s="12">
        <f>IF(B13&gt;=B2,0,100*(B2-B13)/((B2-B13)+7900))</f>
        <v>52.40103633</v>
      </c>
      <c r="C20" s="9"/>
      <c r="D20" s="9"/>
      <c r="E20" s="12" t="s">
        <v>159</v>
      </c>
      <c r="F20" s="114">
        <f>IF(F13&gt;=F2,0,100*(F2-F13)/((F2-F13)+7900))</f>
        <v>51.01382774</v>
      </c>
      <c r="G20" s="9"/>
      <c r="H20" s="9"/>
      <c r="I20" s="12" t="s">
        <v>159</v>
      </c>
      <c r="J20" s="12">
        <f>IF(J13&gt;=J2,0,100*(J2-J13)/((J2-J13)+7900))</f>
        <v>52.40103633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hidden="1" customHeight="1">
      <c r="A21" s="12" t="s">
        <v>165</v>
      </c>
      <c r="B21" s="12">
        <f>MAX(0,((B11-C4)*(1-(B24/100))*(1-(B26/100))))</f>
        <v>54.3</v>
      </c>
      <c r="C21" s="9"/>
      <c r="D21" s="9"/>
      <c r="E21" s="12" t="s">
        <v>165</v>
      </c>
      <c r="F21" s="12">
        <f>MAX(0,((F11-G4)*(1-(F24/100))*(1-(F26/100))))</f>
        <v>58.3</v>
      </c>
      <c r="G21" s="9"/>
      <c r="H21" s="9"/>
      <c r="I21" s="12" t="s">
        <v>165</v>
      </c>
      <c r="J21" s="12">
        <f>MAX(0,((J11-K4)*(1-(J24/100))*(1-(J26/100))))</f>
        <v>54.3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hidden="1" customHeight="1">
      <c r="A22" s="12" t="s">
        <v>167</v>
      </c>
      <c r="B22" s="115">
        <f>IF(B12-C5&lt;50,50,B12-C5)</f>
        <v>148.9</v>
      </c>
      <c r="C22" s="9"/>
      <c r="D22" s="9"/>
      <c r="E22" s="12" t="s">
        <v>167</v>
      </c>
      <c r="F22" s="115">
        <f>IF(F12-G5&lt;50,50,F12-G5)</f>
        <v>184.9</v>
      </c>
      <c r="G22" s="9"/>
      <c r="H22" s="9"/>
      <c r="I22" s="12" t="s">
        <v>167</v>
      </c>
      <c r="J22" s="115">
        <f>IF(J12-K5&lt;50,50,J12-K5)</f>
        <v>154.9</v>
      </c>
      <c r="K22" s="9"/>
      <c r="L22" s="9"/>
      <c r="M22" s="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hidden="1" customHeight="1">
      <c r="A23" s="12" t="s">
        <v>168</v>
      </c>
      <c r="B23" s="12" t="str">
        <f>IF(#REF!="Yes",VLOOKUP(#REF!,archetypes A:I,9,0),0,TRUE()))</f>
        <v>#ERROR!</v>
      </c>
      <c r="C23" s="9"/>
      <c r="D23" s="9"/>
      <c r="E23" s="12" t="s">
        <v>168</v>
      </c>
      <c r="F23" s="114" t="str">
        <f>IF(#REF!="Yes",VLOOKUP(#REF!,archetypes A:I,9,0),0,TRUE()))</f>
        <v>#ERROR!</v>
      </c>
      <c r="G23" s="9"/>
      <c r="H23" s="9"/>
      <c r="I23" s="12" t="s">
        <v>168</v>
      </c>
      <c r="J23" s="114" t="str">
        <f>IF(#REF!="Yes",VLOOKUP(#REF!,archetypes A:I,9,0),0,TRUE()))</f>
        <v>#ERROR!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hidden="1" customHeight="1">
      <c r="A24" s="12" t="s">
        <v>173</v>
      </c>
      <c r="B24" s="12">
        <f>MAX(0,((1-0.01*B25)*B7)-0.0027*$M$1)</f>
        <v>0</v>
      </c>
      <c r="C24" s="9"/>
      <c r="D24" s="9"/>
      <c r="E24" s="12" t="s">
        <v>173</v>
      </c>
      <c r="F24" s="114">
        <f>MAX(0,((1-0.01*B25)*F7)-0.0027*$M$1)</f>
        <v>0</v>
      </c>
      <c r="G24" s="9"/>
      <c r="H24" s="9"/>
      <c r="I24" s="12" t="s">
        <v>173</v>
      </c>
      <c r="J24" s="12">
        <f>MAX(0,((1-0.01*B25)*J7)-0.0027*$M$1)</f>
        <v>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hidden="1" customHeight="1">
      <c r="A25" s="12" t="s">
        <v>176</v>
      </c>
      <c r="B25" s="12">
        <f>MAX(0,B8-0.0027*$M$1)</f>
        <v>0</v>
      </c>
      <c r="C25" s="9"/>
      <c r="D25" s="9"/>
      <c r="E25" s="12" t="s">
        <v>176</v>
      </c>
      <c r="F25" s="114">
        <f>MAX(0,F8-0.0027*$M$1)</f>
        <v>0</v>
      </c>
      <c r="G25" s="9"/>
      <c r="H25" s="9"/>
      <c r="I25" s="12" t="s">
        <v>176</v>
      </c>
      <c r="J25" s="12">
        <f>MAX(0,J8-0.0027*$M$1)</f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hidden="1" customHeight="1">
      <c r="A26" s="12" t="s">
        <v>179</v>
      </c>
      <c r="B26" s="12">
        <f>MAX(0,((1-0.01*B25)*(1-0.01*B24)*B9)-0.0027*$M$1)</f>
        <v>0</v>
      </c>
      <c r="C26" s="9"/>
      <c r="D26" s="9"/>
      <c r="E26" s="12" t="s">
        <v>179</v>
      </c>
      <c r="F26" s="114">
        <f>MAX(0,((1-0.01*F25)*(1-0.01*F24)*F9)-0.0027*$M$1)</f>
        <v>0</v>
      </c>
      <c r="G26" s="9"/>
      <c r="H26" s="9"/>
      <c r="I26" s="12" t="s">
        <v>179</v>
      </c>
      <c r="J26" s="12">
        <f>MAX(0,((1-0.01*J25)*(1-0.01*J24)*J9)-0.0027*$M$1)</f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114"/>
      <c r="C27" s="9"/>
      <c r="D27" s="9"/>
      <c r="E27" s="9"/>
      <c r="F27" s="11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12"/>
      <c r="I28" s="12"/>
      <c r="J28" s="12"/>
      <c r="K28" s="12"/>
      <c r="L28" s="12"/>
      <c r="M28" s="12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16" t="s">
        <v>184</v>
      </c>
      <c r="B29" s="117">
        <v>25000.0</v>
      </c>
      <c r="C29" s="9"/>
      <c r="D29" s="9"/>
      <c r="E29" s="9"/>
      <c r="F29" s="9"/>
      <c r="G29" s="9"/>
      <c r="H29" s="9"/>
      <c r="I29" s="12"/>
      <c r="J29" s="12"/>
      <c r="K29" s="12"/>
      <c r="L29" s="12"/>
      <c r="M29" s="12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18" t="s">
        <v>123</v>
      </c>
      <c r="B30" s="119">
        <f t="shared" ref="B30:B31" si="4">SUM(D46)</f>
        <v>7984.404862</v>
      </c>
      <c r="C30" s="9"/>
      <c r="D30" s="12">
        <f t="shared" ref="D30:D31" si="5">B16/B30</f>
        <v>0.07091493109</v>
      </c>
      <c r="E30" s="9"/>
      <c r="F30" s="11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18" t="s">
        <v>134</v>
      </c>
      <c r="B31" s="119">
        <f t="shared" si="4"/>
        <v>18795.28905</v>
      </c>
      <c r="C31" s="9"/>
      <c r="D31" s="12">
        <f t="shared" si="5"/>
        <v>0.07498184515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hidden="1" customHeight="1">
      <c r="A32" s="9"/>
      <c r="B32" s="9"/>
      <c r="C32" s="120" t="s">
        <v>185</v>
      </c>
      <c r="D32" s="121" t="s">
        <v>186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hidden="1" customHeight="1">
      <c r="A33" s="122" t="s">
        <v>187</v>
      </c>
      <c r="B33" s="123" t="s">
        <v>188</v>
      </c>
      <c r="C33" s="124" t="s">
        <v>94</v>
      </c>
      <c r="D33" s="125">
        <f>B13</f>
        <v>2303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hidden="1" customHeight="1">
      <c r="A34" s="126" t="s">
        <v>96</v>
      </c>
      <c r="B34" s="127">
        <f>B14*0.01</f>
        <v>0.211</v>
      </c>
      <c r="C34" s="124" t="s">
        <v>189</v>
      </c>
      <c r="D34" s="128">
        <f>SUM(B34,B35,B36,B37,B38,B39,B40,B41,B42,B43,B44,B45,B46,B47,B48)</f>
        <v>0.361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hidden="1" customHeight="1">
      <c r="A35" s="126" t="s">
        <v>190</v>
      </c>
      <c r="B35" s="127">
        <v>0.15</v>
      </c>
      <c r="C35" s="124" t="s">
        <v>154</v>
      </c>
      <c r="D35" s="129">
        <f>B12*0.01</f>
        <v>2.614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hidden="1" customHeight="1">
      <c r="A36" s="126"/>
      <c r="B36" s="130"/>
      <c r="C36" s="131" t="s">
        <v>191</v>
      </c>
      <c r="D36" s="132" t="s">
        <v>186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hidden="1" customHeight="1">
      <c r="A37" s="126"/>
      <c r="B37" s="130"/>
      <c r="C37" s="133" t="s">
        <v>192</v>
      </c>
      <c r="D37" s="134">
        <f>B2</f>
        <v>11000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hidden="1" customHeight="1">
      <c r="A38" s="126"/>
      <c r="B38" s="130"/>
      <c r="C38" s="133" t="s">
        <v>193</v>
      </c>
      <c r="D38" s="134">
        <f>B4</f>
        <v>9000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hidden="1" customHeight="1">
      <c r="A39" s="126"/>
      <c r="B39" s="127"/>
      <c r="C39" s="133" t="s">
        <v>63</v>
      </c>
      <c r="D39" s="134">
        <f>B6</f>
        <v>3000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hidden="1" customHeight="1">
      <c r="A40" s="126"/>
      <c r="B40" s="127"/>
      <c r="C40" s="133" t="s">
        <v>194</v>
      </c>
      <c r="D40" s="135">
        <f>B3*0.01</f>
        <v>0.15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hidden="1" customHeight="1">
      <c r="A41" s="126"/>
      <c r="B41" s="127"/>
      <c r="C41" s="136" t="s">
        <v>195</v>
      </c>
      <c r="D41" s="9"/>
      <c r="E41" s="9"/>
      <c r="F41" s="132" t="s">
        <v>196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hidden="1" customHeight="1">
      <c r="A42" s="126"/>
      <c r="B42" s="127"/>
      <c r="C42" s="137" t="s">
        <v>197</v>
      </c>
      <c r="D42" s="138">
        <f>SUM(B29+(B29*D34))</f>
        <v>34025</v>
      </c>
      <c r="E42" s="139">
        <f>MAX(0.5,D35-(D38*0.00014))</f>
        <v>1.354</v>
      </c>
      <c r="F42" s="140" t="s">
        <v>198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hidden="1" customHeight="1">
      <c r="A43" s="126"/>
      <c r="B43" s="127"/>
      <c r="C43" s="137" t="s">
        <v>199</v>
      </c>
      <c r="D43" s="138">
        <f>SUM(D37-D33)</f>
        <v>8697</v>
      </c>
      <c r="E43" s="141">
        <f>SUM(D39*0.00014)</f>
        <v>0.42</v>
      </c>
      <c r="F43" s="140" t="s">
        <v>200</v>
      </c>
      <c r="G43" s="142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hidden="1" customHeight="1">
      <c r="A44" s="126"/>
      <c r="B44" s="127"/>
      <c r="C44" s="137" t="s">
        <v>201</v>
      </c>
      <c r="D44" s="138">
        <f>SUM(D42-(D42*E44))</f>
        <v>16195.54739</v>
      </c>
      <c r="E44" s="143">
        <f>100*(D43/(D43+7900))*0.01</f>
        <v>0.5240103633</v>
      </c>
      <c r="F44" s="140" t="s">
        <v>202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hidden="1" customHeight="1">
      <c r="A45" s="126"/>
      <c r="B45" s="127"/>
      <c r="C45" s="137" t="s">
        <v>203</v>
      </c>
      <c r="D45" s="138">
        <f>SUM(D44-(D44*E43))</f>
        <v>9393.417485</v>
      </c>
      <c r="E45" s="144"/>
      <c r="F45" s="12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hidden="1" customHeight="1">
      <c r="A46" s="126"/>
      <c r="B46" s="127"/>
      <c r="C46" s="137" t="s">
        <v>204</v>
      </c>
      <c r="D46" s="138">
        <f>SUM(D45-(D45*D40))</f>
        <v>7984.404862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hidden="1" customHeight="1">
      <c r="A47" s="126"/>
      <c r="B47" s="127"/>
      <c r="C47" s="137" t="s">
        <v>205</v>
      </c>
      <c r="D47" s="138">
        <f>SUM(D46+(D46*E42))</f>
        <v>18795.28905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hidden="1" customHeight="1">
      <c r="A48" s="126"/>
      <c r="B48" s="12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2" t="s">
        <v>206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45" t="s">
        <v>206</v>
      </c>
      <c r="B51" s="12">
        <v>30623.0</v>
      </c>
      <c r="C51" s="9"/>
      <c r="D51" s="9"/>
      <c r="E51" s="145" t="s">
        <v>207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45" t="s">
        <v>208</v>
      </c>
      <c r="B52" s="12">
        <v>3818.0</v>
      </c>
      <c r="C52" s="146">
        <f t="shared" ref="C52:C53" si="6">B52/(B52+7900)</f>
        <v>0.3258235194</v>
      </c>
      <c r="D52" s="9"/>
      <c r="E52" s="147">
        <f>B51*(1+C52)*(1+B54)*(1+C57)</f>
        <v>57077.44296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45" t="s">
        <v>209</v>
      </c>
      <c r="B53" s="12">
        <v>16460.0</v>
      </c>
      <c r="C53" s="146">
        <f t="shared" si="6"/>
        <v>0.6756978654</v>
      </c>
      <c r="D53" s="9"/>
      <c r="E53" s="145" t="s">
        <v>210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45" t="s">
        <v>211</v>
      </c>
      <c r="B54" s="148">
        <v>0.127</v>
      </c>
      <c r="C54" s="9"/>
      <c r="D54" s="9"/>
      <c r="E54" s="147">
        <f>B51*(1+C52)*(1+B55)*(1+C57)</f>
        <v>57077.44296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45" t="s">
        <v>212</v>
      </c>
      <c r="B55" s="148">
        <v>0.127</v>
      </c>
      <c r="C55" s="9"/>
      <c r="D55" s="9"/>
      <c r="E55" s="145" t="s">
        <v>213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45" t="s">
        <v>211</v>
      </c>
      <c r="B56" s="148">
        <v>0.127</v>
      </c>
      <c r="C56" s="9"/>
      <c r="D56" s="9"/>
      <c r="E56" s="147">
        <f>B51*(1+C53)*(1+B56)*(1+C57)</f>
        <v>72139.72895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45" t="s">
        <v>214</v>
      </c>
      <c r="B57" s="12">
        <v>2597.0</v>
      </c>
      <c r="C57" s="146">
        <f>B57/(B57+7900)</f>
        <v>0.2474040202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145" t="s">
        <v>215</v>
      </c>
      <c r="B58" s="148">
        <v>0.204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145" t="s">
        <v>216</v>
      </c>
      <c r="B59" s="148">
        <v>0.0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145" t="s">
        <v>217</v>
      </c>
      <c r="B60" s="148">
        <v>0.041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145" t="s">
        <v>24</v>
      </c>
      <c r="B61" s="12">
        <v>4417.0</v>
      </c>
      <c r="C61" s="147">
        <f>0.000027*B61</f>
        <v>0.119259</v>
      </c>
      <c r="D61" s="12" t="s">
        <v>88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147">
        <f>B61/(100000/12.5)</f>
        <v>0.552125</v>
      </c>
      <c r="D62" s="12" t="s">
        <v>91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145" t="s">
        <v>218</v>
      </c>
      <c r="B63" s="9"/>
      <c r="C63" s="146">
        <f>1-(1-B58)*(1-B59)*(1-B60)</f>
        <v>0.236636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9">
    <mergeCell ref="F15:H15"/>
    <mergeCell ref="J15:L15"/>
    <mergeCell ref="A1:D1"/>
    <mergeCell ref="E1:H1"/>
    <mergeCell ref="I1:L1"/>
    <mergeCell ref="A4:A5"/>
    <mergeCell ref="E4:E5"/>
    <mergeCell ref="I4:I5"/>
    <mergeCell ref="B15:D15"/>
  </mergeCells>
  <dataValidations>
    <dataValidation type="list" allowBlank="1" showErrorMessage="1" sqref="A1 I1">
      <formula1>Combat!$P$2:$P$16</formula1>
    </dataValidation>
  </dataValidation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7" width="7.29"/>
    <col customWidth="1" min="8" max="9" width="8.71"/>
    <col customWidth="1" min="10" max="12" width="14.43"/>
    <col customWidth="1" min="13" max="26" width="8.71"/>
  </cols>
  <sheetData>
    <row r="1" ht="15.75" customHeight="1">
      <c r="A1" s="1" t="s">
        <v>1</v>
      </c>
      <c r="B1" s="5" t="s">
        <v>7</v>
      </c>
      <c r="C1" s="5" t="s">
        <v>8</v>
      </c>
      <c r="D1" s="7" t="s">
        <v>9</v>
      </c>
      <c r="E1" s="1" t="s">
        <v>11</v>
      </c>
      <c r="F1" s="1" t="s">
        <v>12</v>
      </c>
      <c r="G1" s="1" t="s">
        <v>5</v>
      </c>
      <c r="H1" s="9"/>
      <c r="I1" s="1" t="s">
        <v>13</v>
      </c>
      <c r="J1" s="1" t="s">
        <v>14</v>
      </c>
      <c r="K1" s="1" t="s">
        <v>15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1" t="s">
        <v>16</v>
      </c>
      <c r="B2" s="11">
        <f t="shared" ref="B2:B5" si="1">F2-C2</f>
        <v>1150</v>
      </c>
      <c r="C2" s="11"/>
      <c r="D2" s="17">
        <f t="shared" ref="D2:D5" si="2">C2/F2</f>
        <v>0</v>
      </c>
      <c r="E2" s="11">
        <v>2.7</v>
      </c>
      <c r="F2" s="11">
        <f>B6*10</f>
        <v>1150</v>
      </c>
      <c r="G2" s="11">
        <f t="shared" ref="G2:G5" si="3">B2*E2</f>
        <v>3105</v>
      </c>
      <c r="H2" s="9"/>
      <c r="I2" s="1" t="s">
        <v>27</v>
      </c>
      <c r="J2" s="11">
        <v>3000.0</v>
      </c>
      <c r="K2" s="11">
        <v>3.0</v>
      </c>
      <c r="L2" s="1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1" t="s">
        <v>30</v>
      </c>
      <c r="B3" s="11">
        <f t="shared" si="1"/>
        <v>1725</v>
      </c>
      <c r="C3" s="11"/>
      <c r="D3" s="17">
        <f t="shared" si="2"/>
        <v>0</v>
      </c>
      <c r="E3" s="11">
        <v>2.85</v>
      </c>
      <c r="F3" s="11">
        <f>B6*15</f>
        <v>1725</v>
      </c>
      <c r="G3" s="11">
        <f t="shared" si="3"/>
        <v>4916.25</v>
      </c>
      <c r="H3" s="9"/>
      <c r="I3" s="1" t="s">
        <v>31</v>
      </c>
      <c r="J3" s="11">
        <v>4500.0</v>
      </c>
      <c r="K3" s="11">
        <v>5.0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1" t="s">
        <v>32</v>
      </c>
      <c r="B4" s="11">
        <f t="shared" si="1"/>
        <v>345</v>
      </c>
      <c r="C4" s="11"/>
      <c r="D4" s="17">
        <f t="shared" si="2"/>
        <v>0</v>
      </c>
      <c r="E4" s="11">
        <v>19.0</v>
      </c>
      <c r="F4" s="11">
        <f>B6*3</f>
        <v>345</v>
      </c>
      <c r="G4" s="11">
        <f t="shared" si="3"/>
        <v>6555</v>
      </c>
      <c r="H4" s="9"/>
      <c r="I4" s="1" t="s">
        <v>38</v>
      </c>
      <c r="J4" s="11">
        <v>6000.0</v>
      </c>
      <c r="K4" s="11">
        <v>10.0</v>
      </c>
      <c r="L4" s="1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1" t="s">
        <v>39</v>
      </c>
      <c r="B5" s="11">
        <f t="shared" si="1"/>
        <v>345</v>
      </c>
      <c r="C5" s="11"/>
      <c r="D5" s="17">
        <f t="shared" si="2"/>
        <v>0</v>
      </c>
      <c r="E5" s="11">
        <v>9.0</v>
      </c>
      <c r="F5" s="11">
        <f>B6*3</f>
        <v>345</v>
      </c>
      <c r="G5" s="11">
        <f t="shared" si="3"/>
        <v>3105</v>
      </c>
      <c r="H5" s="9"/>
      <c r="I5" s="1" t="s">
        <v>40</v>
      </c>
      <c r="J5" s="11">
        <v>9000.0</v>
      </c>
      <c r="K5" s="11">
        <v>20.0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34" t="s">
        <v>5</v>
      </c>
      <c r="B6" s="34">
        <v>115.0</v>
      </c>
      <c r="C6" s="34"/>
      <c r="D6" s="37">
        <f>SUM(D1:D5)/4</f>
        <v>0</v>
      </c>
      <c r="E6" s="34"/>
      <c r="F6" s="34" t="s">
        <v>5</v>
      </c>
      <c r="G6" s="40">
        <f>SUM(G2:G5)</f>
        <v>17681.25</v>
      </c>
      <c r="H6" s="9"/>
      <c r="I6" s="41" t="s">
        <v>43</v>
      </c>
      <c r="J6" s="41">
        <f t="shared" ref="J6:K6" si="4">J4*24</f>
        <v>144000</v>
      </c>
      <c r="K6" s="41">
        <f t="shared" si="4"/>
        <v>240</v>
      </c>
      <c r="L6" s="1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44" t="s">
        <v>51</v>
      </c>
      <c r="B8" s="5" t="s">
        <v>7</v>
      </c>
      <c r="C8" s="5" t="s">
        <v>8</v>
      </c>
      <c r="D8" s="7" t="s">
        <v>9</v>
      </c>
      <c r="E8" s="44" t="s">
        <v>11</v>
      </c>
      <c r="F8" s="44" t="s">
        <v>12</v>
      </c>
      <c r="G8" s="44" t="s">
        <v>5</v>
      </c>
      <c r="H8" s="9"/>
      <c r="I8" s="12" t="s">
        <v>52</v>
      </c>
      <c r="J8" s="9"/>
      <c r="K8" s="12" t="s">
        <v>53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1" t="s">
        <v>54</v>
      </c>
      <c r="B9" s="11">
        <f t="shared" ref="B9:B11" si="5">F9-C9-C14*3</f>
        <v>45</v>
      </c>
      <c r="C9" s="11"/>
      <c r="D9" s="17">
        <f t="shared" ref="D9:D11" si="6">C9/F9</f>
        <v>0</v>
      </c>
      <c r="E9" s="11">
        <v>1.1</v>
      </c>
      <c r="F9" s="11">
        <f>(45*B12)</f>
        <v>45</v>
      </c>
      <c r="G9" s="49">
        <f t="shared" ref="G9:G11" si="7">E9*B9</f>
        <v>49.5</v>
      </c>
      <c r="H9" s="9"/>
      <c r="I9" s="1" t="s">
        <v>57</v>
      </c>
      <c r="J9" s="11">
        <v>62.0</v>
      </c>
      <c r="K9" s="1" t="s">
        <v>29</v>
      </c>
      <c r="L9" s="11">
        <v>25.0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11" t="s">
        <v>59</v>
      </c>
      <c r="B10" s="11">
        <f t="shared" si="5"/>
        <v>24</v>
      </c>
      <c r="C10" s="11"/>
      <c r="D10" s="17">
        <f t="shared" si="6"/>
        <v>0</v>
      </c>
      <c r="E10" s="11">
        <v>0.08</v>
      </c>
      <c r="F10" s="11">
        <f>(24*B12)</f>
        <v>24</v>
      </c>
      <c r="G10" s="49">
        <f t="shared" si="7"/>
        <v>1.92</v>
      </c>
      <c r="H10" s="9"/>
      <c r="I10" s="1" t="s">
        <v>62</v>
      </c>
      <c r="J10" s="11">
        <v>15.0</v>
      </c>
      <c r="K10" s="1" t="s">
        <v>0</v>
      </c>
      <c r="L10" s="11">
        <v>10.0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11" t="s">
        <v>64</v>
      </c>
      <c r="B11" s="11">
        <f t="shared" si="5"/>
        <v>54</v>
      </c>
      <c r="C11" s="11"/>
      <c r="D11" s="17">
        <f t="shared" si="6"/>
        <v>0</v>
      </c>
      <c r="E11" s="11">
        <v>1.65</v>
      </c>
      <c r="F11" s="11">
        <f>(54*B12)</f>
        <v>54</v>
      </c>
      <c r="G11" s="49">
        <f t="shared" si="7"/>
        <v>89.1</v>
      </c>
      <c r="H11" s="9"/>
      <c r="I11" s="1" t="s">
        <v>49</v>
      </c>
      <c r="J11" s="11">
        <v>9.0</v>
      </c>
      <c r="K11" s="1" t="s">
        <v>49</v>
      </c>
      <c r="L11" s="11">
        <v>12.0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34" t="s">
        <v>5</v>
      </c>
      <c r="B12" s="34">
        <v>1.0</v>
      </c>
      <c r="C12" s="34"/>
      <c r="D12" s="37">
        <f>SUM(D8:D10)/5</f>
        <v>0</v>
      </c>
      <c r="E12" s="58" t="s">
        <v>68</v>
      </c>
      <c r="F12" s="58"/>
      <c r="G12" s="60">
        <f>SUM(G9:G11)</f>
        <v>140.52</v>
      </c>
      <c r="H12" s="9"/>
      <c r="I12" s="1" t="s">
        <v>71</v>
      </c>
      <c r="J12" s="64">
        <f>(((J11*25)*0.9)-J9)/J10</f>
        <v>9.366666667</v>
      </c>
      <c r="K12" s="1" t="s">
        <v>71</v>
      </c>
      <c r="L12" s="64">
        <f>(((L11*8)*0.9)-L9)/L10</f>
        <v>6.14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5" t="s">
        <v>79</v>
      </c>
      <c r="B13" s="5" t="s">
        <v>7</v>
      </c>
      <c r="C13" s="5" t="s">
        <v>8</v>
      </c>
      <c r="D13" s="7" t="s">
        <v>9</v>
      </c>
      <c r="E13" s="44" t="s">
        <v>11</v>
      </c>
      <c r="F13" s="44" t="s">
        <v>12</v>
      </c>
      <c r="G13" s="44" t="s">
        <v>5</v>
      </c>
      <c r="H13" s="9"/>
      <c r="I13" s="12" t="s">
        <v>81</v>
      </c>
      <c r="J13" s="9"/>
      <c r="K13" s="12" t="s">
        <v>82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1" t="s">
        <v>85</v>
      </c>
      <c r="B14" s="11">
        <f t="shared" ref="B14:B16" si="8">F14-C14-(C9/3)</f>
        <v>15</v>
      </c>
      <c r="C14" s="11">
        <v>0.0</v>
      </c>
      <c r="D14" s="17">
        <f t="shared" ref="D14:D16" si="9">C14/F14</f>
        <v>0</v>
      </c>
      <c r="E14" s="77">
        <f t="shared" ref="E14:E16" si="10">(E9*3)</f>
        <v>3.3</v>
      </c>
      <c r="F14" s="11">
        <f t="shared" ref="F14:F16" si="11">F9/3</f>
        <v>15</v>
      </c>
      <c r="G14" s="49">
        <f t="shared" ref="G14:G16" si="12">E14*B14</f>
        <v>49.5</v>
      </c>
      <c r="H14" s="9"/>
      <c r="I14" s="1" t="s">
        <v>89</v>
      </c>
      <c r="J14" s="11">
        <v>320.0</v>
      </c>
      <c r="K14" s="1" t="s">
        <v>89</v>
      </c>
      <c r="L14" s="11">
        <v>409.0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1" t="s">
        <v>92</v>
      </c>
      <c r="B15" s="11">
        <f t="shared" si="8"/>
        <v>8</v>
      </c>
      <c r="C15" s="11">
        <v>0.0</v>
      </c>
      <c r="D15" s="17">
        <f t="shared" si="9"/>
        <v>0</v>
      </c>
      <c r="E15" s="77">
        <f t="shared" si="10"/>
        <v>0.24</v>
      </c>
      <c r="F15" s="11">
        <f t="shared" si="11"/>
        <v>8</v>
      </c>
      <c r="G15" s="49">
        <f t="shared" si="12"/>
        <v>1.92</v>
      </c>
      <c r="H15" s="9"/>
      <c r="I15" s="1" t="s">
        <v>0</v>
      </c>
      <c r="J15" s="11">
        <v>88.0</v>
      </c>
      <c r="K15" s="1" t="s">
        <v>0</v>
      </c>
      <c r="L15" s="11">
        <v>88.0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1" t="s">
        <v>98</v>
      </c>
      <c r="B16" s="11">
        <f t="shared" si="8"/>
        <v>18</v>
      </c>
      <c r="C16" s="11">
        <v>0.0</v>
      </c>
      <c r="D16" s="17">
        <f t="shared" si="9"/>
        <v>0</v>
      </c>
      <c r="E16" s="77">
        <f t="shared" si="10"/>
        <v>4.95</v>
      </c>
      <c r="F16" s="11">
        <f t="shared" si="11"/>
        <v>18</v>
      </c>
      <c r="G16" s="49">
        <f t="shared" si="12"/>
        <v>89.1</v>
      </c>
      <c r="H16" s="9"/>
      <c r="I16" s="1" t="s">
        <v>71</v>
      </c>
      <c r="J16" s="64">
        <f>J14/J15</f>
        <v>3.636363636</v>
      </c>
      <c r="K16" s="1" t="s">
        <v>71</v>
      </c>
      <c r="L16" s="64">
        <f>L14/L15</f>
        <v>4.647727273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34" t="s">
        <v>5</v>
      </c>
      <c r="B17" s="34">
        <f>B12*5</f>
        <v>5</v>
      </c>
      <c r="C17" s="34"/>
      <c r="D17" s="37"/>
      <c r="E17" s="58" t="s">
        <v>68</v>
      </c>
      <c r="F17" s="58"/>
      <c r="G17" s="60">
        <f>SUM(G13:G16)</f>
        <v>140.52</v>
      </c>
      <c r="H17" s="9"/>
      <c r="I17" s="12" t="s">
        <v>104</v>
      </c>
      <c r="J17" s="9"/>
      <c r="K17" s="12" t="s">
        <v>105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2" t="s">
        <v>0</v>
      </c>
      <c r="B18" s="12">
        <v>500.0</v>
      </c>
      <c r="C18" s="12">
        <f>B18*Farm!F4</f>
        <v>37.5</v>
      </c>
      <c r="D18" s="9"/>
      <c r="E18" s="9"/>
      <c r="F18" s="9"/>
      <c r="G18" s="13">
        <f>SUM(C18*B12+G17)</f>
        <v>178.02</v>
      </c>
      <c r="H18" s="9"/>
      <c r="I18" s="1" t="s">
        <v>89</v>
      </c>
      <c r="J18" s="11">
        <v>30.0</v>
      </c>
      <c r="K18" s="1" t="s">
        <v>89</v>
      </c>
      <c r="L18" s="11">
        <v>12.0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2" t="s">
        <v>107</v>
      </c>
      <c r="B19" s="9"/>
      <c r="C19" s="12">
        <f>(G18/(5*B12))</f>
        <v>35.604</v>
      </c>
      <c r="D19" s="9"/>
      <c r="E19" s="9"/>
      <c r="F19" s="9"/>
      <c r="G19" s="9"/>
      <c r="H19" s="9"/>
      <c r="I19" s="1" t="s">
        <v>0</v>
      </c>
      <c r="J19" s="11">
        <v>7.0</v>
      </c>
      <c r="K19" s="1" t="s">
        <v>0</v>
      </c>
      <c r="L19" s="11">
        <v>4.0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1" t="s">
        <v>71</v>
      </c>
      <c r="J20" s="64">
        <f>J18/J19</f>
        <v>4.285714286</v>
      </c>
      <c r="K20" s="1" t="s">
        <v>71</v>
      </c>
      <c r="L20" s="64">
        <f>L18/L19</f>
        <v>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4" t="s">
        <v>109</v>
      </c>
      <c r="B21" s="44" t="s">
        <v>11</v>
      </c>
      <c r="C21" s="44" t="s">
        <v>12</v>
      </c>
      <c r="D21" s="44" t="s">
        <v>5</v>
      </c>
      <c r="E21" s="9"/>
      <c r="F21" s="9"/>
      <c r="G21" s="9"/>
      <c r="H21" s="9"/>
      <c r="I21" s="12" t="s">
        <v>110</v>
      </c>
      <c r="J21" s="12" t="s">
        <v>19</v>
      </c>
      <c r="K21" s="13" t="s">
        <v>21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1" t="s">
        <v>112</v>
      </c>
      <c r="B22" s="11">
        <v>0.12</v>
      </c>
      <c r="C22" s="11">
        <v>150.0</v>
      </c>
      <c r="D22" s="11">
        <f t="shared" ref="D22:D25" si="13">B22*C22</f>
        <v>18</v>
      </c>
      <c r="E22" s="9"/>
      <c r="F22" s="9"/>
      <c r="G22" s="9"/>
      <c r="H22" s="9"/>
      <c r="I22" s="1" t="s">
        <v>29</v>
      </c>
      <c r="J22" s="11">
        <v>64.0</v>
      </c>
      <c r="K22" s="49">
        <f>J22*J23</f>
        <v>5632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1" t="s">
        <v>115</v>
      </c>
      <c r="B23" s="11">
        <v>8.0</v>
      </c>
      <c r="C23" s="11">
        <v>15.0</v>
      </c>
      <c r="D23" s="11">
        <f t="shared" si="13"/>
        <v>120</v>
      </c>
      <c r="E23" s="9"/>
      <c r="F23" s="9"/>
      <c r="G23" s="9"/>
      <c r="H23" s="9"/>
      <c r="I23" s="1" t="s">
        <v>37</v>
      </c>
      <c r="J23" s="12">
        <v>88.0</v>
      </c>
      <c r="K23" s="11">
        <v>25.0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1" t="s">
        <v>116</v>
      </c>
      <c r="B24" s="11">
        <v>20.0</v>
      </c>
      <c r="C24" s="11">
        <v>15.0</v>
      </c>
      <c r="D24" s="11">
        <f t="shared" si="13"/>
        <v>300</v>
      </c>
      <c r="E24" s="9"/>
      <c r="F24" s="9"/>
      <c r="G24" s="9"/>
      <c r="H24" s="9"/>
      <c r="I24" s="1" t="s">
        <v>0</v>
      </c>
      <c r="J24" s="11">
        <v>13.0</v>
      </c>
      <c r="K24" s="49">
        <f>J24*J23</f>
        <v>1144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1" t="s">
        <v>117</v>
      </c>
      <c r="B25" s="11">
        <v>3.0</v>
      </c>
      <c r="C25" s="11">
        <v>10.0</v>
      </c>
      <c r="D25" s="11">
        <f t="shared" si="13"/>
        <v>30</v>
      </c>
      <c r="E25" s="9"/>
      <c r="F25" s="9"/>
      <c r="G25" s="9"/>
      <c r="H25" s="9"/>
      <c r="I25" s="1" t="s">
        <v>49</v>
      </c>
      <c r="J25" s="11">
        <v>9.0</v>
      </c>
      <c r="K25" s="49">
        <f>J25*(J23*K23)</f>
        <v>19800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4" t="s">
        <v>118</v>
      </c>
      <c r="B26" s="34"/>
      <c r="C26" s="34" t="s">
        <v>119</v>
      </c>
      <c r="D26" s="34">
        <f>SUM(D22:D25)</f>
        <v>468</v>
      </c>
      <c r="E26" s="9"/>
      <c r="F26" s="9"/>
      <c r="G26" s="9"/>
      <c r="H26" s="9"/>
      <c r="I26" s="1" t="s">
        <v>60</v>
      </c>
      <c r="J26" s="64">
        <f>(((J25*K23)*0.9)-J22)/J24</f>
        <v>10.65384615</v>
      </c>
      <c r="K26" s="49">
        <f>(K25*0.9)-K22</f>
        <v>12188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4" t="s">
        <v>120</v>
      </c>
      <c r="B28" s="95" t="s">
        <v>121</v>
      </c>
      <c r="C28" s="95" t="s">
        <v>124</v>
      </c>
      <c r="D28" s="95" t="s">
        <v>6</v>
      </c>
      <c r="E28" s="96" t="s"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7" t="s">
        <v>125</v>
      </c>
      <c r="B29" s="12">
        <f>2288-E31</f>
        <v>182</v>
      </c>
      <c r="C29" s="13">
        <f>B29/7</f>
        <v>26</v>
      </c>
      <c r="D29" s="13">
        <f>B29*D31</f>
        <v>780</v>
      </c>
      <c r="E29" s="98">
        <f>C29*32</f>
        <v>832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9" t="s">
        <v>127</v>
      </c>
      <c r="B30" s="44" t="s">
        <v>6</v>
      </c>
      <c r="C30" s="44" t="s">
        <v>128</v>
      </c>
      <c r="D30" s="44" t="s">
        <v>129</v>
      </c>
      <c r="E30" s="100" t="s">
        <v>130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01"/>
      <c r="B31" s="102">
        <v>30.0</v>
      </c>
      <c r="C31" s="103">
        <v>7.0</v>
      </c>
      <c r="D31" s="103">
        <f>B31/C31</f>
        <v>4.285714286</v>
      </c>
      <c r="E31" s="105">
        <v>2106.0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4" t="s">
        <v>31</v>
      </c>
      <c r="B33" s="5" t="s">
        <v>7</v>
      </c>
      <c r="C33" s="5" t="s">
        <v>8</v>
      </c>
      <c r="D33" s="7" t="s">
        <v>9</v>
      </c>
      <c r="E33" s="44" t="s">
        <v>11</v>
      </c>
      <c r="F33" s="44" t="s">
        <v>12</v>
      </c>
      <c r="G33" s="44" t="s">
        <v>5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1" t="s">
        <v>126</v>
      </c>
      <c r="B34" s="11">
        <f t="shared" ref="B34:B36" si="14">F34-C34-(C43/3)</f>
        <v>320</v>
      </c>
      <c r="C34" s="11">
        <v>0.0</v>
      </c>
      <c r="D34" s="17">
        <f t="shared" ref="D34:D38" si="15">C34/F34</f>
        <v>0</v>
      </c>
      <c r="E34" s="77">
        <f>(E43*3)+F18*5</f>
        <v>0.18</v>
      </c>
      <c r="F34" s="11">
        <f t="shared" ref="F34:F36" si="16">F43/3</f>
        <v>320</v>
      </c>
      <c r="G34" s="49">
        <f t="shared" ref="G34:G38" si="17">E34*B34</f>
        <v>57.6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1" t="s">
        <v>98</v>
      </c>
      <c r="B35" s="11">
        <f t="shared" si="14"/>
        <v>40</v>
      </c>
      <c r="C35" s="11">
        <v>0.0</v>
      </c>
      <c r="D35" s="17">
        <f t="shared" si="15"/>
        <v>0</v>
      </c>
      <c r="E35" s="77">
        <f>(E44*3)+F18*5</f>
        <v>5.25</v>
      </c>
      <c r="F35" s="11">
        <f t="shared" si="16"/>
        <v>40</v>
      </c>
      <c r="G35" s="49">
        <f t="shared" si="17"/>
        <v>210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1" t="s">
        <v>92</v>
      </c>
      <c r="B36" s="11">
        <f t="shared" si="14"/>
        <v>40</v>
      </c>
      <c r="C36" s="11">
        <v>0.0</v>
      </c>
      <c r="D36" s="17">
        <f t="shared" si="15"/>
        <v>0</v>
      </c>
      <c r="E36" s="77">
        <f>(E45*3)+F18*9</f>
        <v>0.3</v>
      </c>
      <c r="F36" s="11">
        <f t="shared" si="16"/>
        <v>40</v>
      </c>
      <c r="G36" s="49">
        <f t="shared" si="17"/>
        <v>12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1" t="s">
        <v>131</v>
      </c>
      <c r="B37" s="11">
        <f t="shared" ref="B37:B38" si="18">F37-C37</f>
        <v>120</v>
      </c>
      <c r="C37" s="11">
        <v>0.0</v>
      </c>
      <c r="D37" s="17">
        <f t="shared" si="15"/>
        <v>0</v>
      </c>
      <c r="E37" s="11">
        <v>2.85</v>
      </c>
      <c r="F37" s="11">
        <f>(40*B39)*3</f>
        <v>120</v>
      </c>
      <c r="G37" s="49">
        <f t="shared" si="17"/>
        <v>342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1" t="s">
        <v>132</v>
      </c>
      <c r="B38" s="11">
        <f t="shared" si="18"/>
        <v>70</v>
      </c>
      <c r="C38" s="11">
        <v>0.0</v>
      </c>
      <c r="D38" s="17">
        <f t="shared" si="15"/>
        <v>0</v>
      </c>
      <c r="E38" s="11">
        <v>10.0</v>
      </c>
      <c r="F38" s="11">
        <f>(B39)*70</f>
        <v>70</v>
      </c>
      <c r="G38" s="49">
        <f t="shared" si="17"/>
        <v>700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4" t="s">
        <v>5</v>
      </c>
      <c r="B39" s="108">
        <v>1.0</v>
      </c>
      <c r="C39" s="34"/>
      <c r="D39" s="37">
        <f>SUM(D33:D38)/5</f>
        <v>0</v>
      </c>
      <c r="E39" s="58" t="s">
        <v>68</v>
      </c>
      <c r="F39" s="58"/>
      <c r="G39" s="60">
        <f>SUM(G34:G38,G40,G41)</f>
        <v>1401.6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1" t="s">
        <v>17</v>
      </c>
      <c r="B40" s="11">
        <f t="shared" ref="B40:B41" si="19">F40-C40</f>
        <v>800</v>
      </c>
      <c r="C40" s="11">
        <v>0.0</v>
      </c>
      <c r="D40" s="17">
        <f t="shared" ref="D40:D41" si="20">C40/F40</f>
        <v>0</v>
      </c>
      <c r="E40" s="11">
        <v>0.05</v>
      </c>
      <c r="F40" s="11">
        <f>(40*B39)*20</f>
        <v>800</v>
      </c>
      <c r="G40" s="49">
        <f t="shared" ref="G40:G41" si="21">E40*B40</f>
        <v>40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1" t="s">
        <v>135</v>
      </c>
      <c r="B41" s="11">
        <f t="shared" si="19"/>
        <v>800</v>
      </c>
      <c r="C41" s="11">
        <v>0.0</v>
      </c>
      <c r="D41" s="17">
        <f t="shared" si="20"/>
        <v>0</v>
      </c>
      <c r="E41" s="11">
        <v>0.05</v>
      </c>
      <c r="F41" s="11">
        <f>(40*B39)*20</f>
        <v>800</v>
      </c>
      <c r="G41" s="49">
        <f t="shared" si="21"/>
        <v>40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5" t="s">
        <v>79</v>
      </c>
      <c r="B42" s="5" t="s">
        <v>7</v>
      </c>
      <c r="C42" s="5" t="s">
        <v>8</v>
      </c>
      <c r="D42" s="7" t="s">
        <v>9</v>
      </c>
      <c r="E42" s="44" t="s">
        <v>11</v>
      </c>
      <c r="F42" s="44" t="s">
        <v>12</v>
      </c>
      <c r="G42" s="44" t="s">
        <v>5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1" t="s">
        <v>136</v>
      </c>
      <c r="B43" s="11">
        <f t="shared" ref="B43:B45" si="22">F43-C43-C34*3</f>
        <v>960</v>
      </c>
      <c r="C43" s="11">
        <v>0.0</v>
      </c>
      <c r="D43" s="17">
        <f t="shared" ref="D43:D45" si="23">C43/F43</f>
        <v>0</v>
      </c>
      <c r="E43" s="11">
        <v>0.06</v>
      </c>
      <c r="F43" s="11">
        <f>(40*B39)*24</f>
        <v>960</v>
      </c>
      <c r="G43" s="49">
        <f t="shared" ref="G43:G45" si="24">E43*B43</f>
        <v>57.6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1" t="s">
        <v>64</v>
      </c>
      <c r="B44" s="11">
        <f t="shared" si="22"/>
        <v>120</v>
      </c>
      <c r="C44" s="11">
        <v>0.0</v>
      </c>
      <c r="D44" s="17">
        <f t="shared" si="23"/>
        <v>0</v>
      </c>
      <c r="E44" s="11">
        <v>1.75</v>
      </c>
      <c r="F44" s="11">
        <f>(40*B39)*3</f>
        <v>120</v>
      </c>
      <c r="G44" s="49">
        <f t="shared" si="24"/>
        <v>210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1" t="s">
        <v>59</v>
      </c>
      <c r="B45" s="11">
        <f t="shared" si="22"/>
        <v>120</v>
      </c>
      <c r="C45" s="11">
        <v>0.0</v>
      </c>
      <c r="D45" s="17">
        <f t="shared" si="23"/>
        <v>0</v>
      </c>
      <c r="E45" s="11">
        <v>0.1</v>
      </c>
      <c r="F45" s="11">
        <f>(40*B39)*3</f>
        <v>120</v>
      </c>
      <c r="G45" s="49">
        <f t="shared" si="24"/>
        <v>12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34" t="s">
        <v>5</v>
      </c>
      <c r="B46" s="34"/>
      <c r="C46" s="34"/>
      <c r="D46" s="37"/>
      <c r="E46" s="58" t="s">
        <v>68</v>
      </c>
      <c r="F46" s="58"/>
      <c r="G46" s="60">
        <f>SUM(G43:G45,G37,G38,G40,G41)</f>
        <v>1401.6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12" t="s">
        <v>137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12" t="s">
        <v>138</v>
      </c>
      <c r="B49" s="12">
        <v>177.0</v>
      </c>
      <c r="C49" s="12">
        <v>3.0</v>
      </c>
      <c r="D49" s="12">
        <f t="shared" ref="D49:D57" si="25">B49*C49</f>
        <v>531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2" t="s">
        <v>139</v>
      </c>
      <c r="B50" s="12">
        <v>129.0</v>
      </c>
      <c r="C50" s="12">
        <f>C49+((5*B60)+9)/10</f>
        <v>5.25</v>
      </c>
      <c r="D50" s="12">
        <f t="shared" si="25"/>
        <v>677.25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2" t="s">
        <v>141</v>
      </c>
      <c r="B51" s="12">
        <v>31.0</v>
      </c>
      <c r="C51" s="12">
        <f>(C50*10+5*B60+B61+9)/10</f>
        <v>9.5</v>
      </c>
      <c r="D51" s="12">
        <f t="shared" si="25"/>
        <v>294.5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2" t="s">
        <v>142</v>
      </c>
      <c r="B52" s="12">
        <v>21.0</v>
      </c>
      <c r="C52" s="12">
        <f>(C51*10+5*B60+9+B61*2)/10</f>
        <v>15.75</v>
      </c>
      <c r="D52" s="12">
        <f t="shared" si="25"/>
        <v>330.75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2" t="s">
        <v>143</v>
      </c>
      <c r="B53" s="12">
        <v>85.0</v>
      </c>
      <c r="C53" s="12">
        <v>1.0</v>
      </c>
      <c r="D53" s="12">
        <f t="shared" si="25"/>
        <v>85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2" t="s">
        <v>144</v>
      </c>
      <c r="B54" s="12">
        <v>120.0</v>
      </c>
      <c r="C54" s="12">
        <v>1.0</v>
      </c>
      <c r="D54" s="12">
        <f t="shared" si="25"/>
        <v>120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2" t="s">
        <v>146</v>
      </c>
      <c r="B55" s="12">
        <v>62.0</v>
      </c>
      <c r="C55" s="12">
        <v>1.0</v>
      </c>
      <c r="D55" s="12">
        <f t="shared" si="25"/>
        <v>62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2" t="s">
        <v>150</v>
      </c>
      <c r="B56" s="12">
        <v>96.0</v>
      </c>
      <c r="C56" s="12">
        <v>1.0</v>
      </c>
      <c r="D56" s="12">
        <f t="shared" si="25"/>
        <v>96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2" t="s">
        <v>151</v>
      </c>
      <c r="B57" s="12">
        <v>4.0</v>
      </c>
      <c r="C57" s="12">
        <f>29*30</f>
        <v>870</v>
      </c>
      <c r="D57" s="12">
        <f t="shared" si="25"/>
        <v>3480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12">
        <f>SUM(B49:B57)</f>
        <v>725</v>
      </c>
      <c r="C58" s="9"/>
      <c r="D58" s="12">
        <f>SUM(D49:D57)/B58</f>
        <v>7.829655172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12" t="s">
        <v>156</v>
      </c>
      <c r="B60" s="12">
        <v>2.7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12" t="s">
        <v>158</v>
      </c>
      <c r="B61" s="12">
        <v>20.0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984027777777778" footer="0.0" header="0.0" left="0.747916666666667" right="0.747916666666667" top="0.984027777777778"/>
  <pageSetup orientation="portrait"/>
  <drawing r:id="rId1"/>
</worksheet>
</file>