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V Market Analysis\"/>
    </mc:Choice>
  </mc:AlternateContent>
  <xr:revisionPtr revIDLastSave="0" documentId="13_ncr:1_{C4BF305B-248C-47C3-AB5E-914F2CA507FA}" xr6:coauthVersionLast="47" xr6:coauthVersionMax="47" xr10:uidLastSave="{00000000-0000-0000-0000-000000000000}"/>
  <bookViews>
    <workbookView xWindow="38280" yWindow="-120" windowWidth="38640" windowHeight="21120" tabRatio="736" activeTab="6" xr2:uid="{51C94CC5-0C2F-6D4D-9C41-E0029B3FD163}"/>
  </bookViews>
  <sheets>
    <sheet name="1. Income Statement" sheetId="1" r:id="rId1"/>
    <sheet name="2. Balance Sheet" sheetId="4" r:id="rId2"/>
    <sheet name="3. Statement of Cashflow" sheetId="6" r:id="rId3"/>
    <sheet name="4. Fixed Assets" sheetId="5" r:id="rId4"/>
    <sheet name="5. Capital Budgeting Analysis" sheetId="7" r:id="rId5"/>
    <sheet name="6. Sensitivity Analysis" sheetId="9" r:id="rId6"/>
    <sheet name="7. Scenario Analysi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9" l="1"/>
  <c r="D19" i="1"/>
  <c r="D21" i="9"/>
  <c r="D16" i="9"/>
  <c r="D17" i="9"/>
  <c r="D18" i="9"/>
  <c r="D19" i="9"/>
  <c r="C14" i="9"/>
  <c r="B60" i="9"/>
  <c r="B61" i="9" s="1"/>
  <c r="B58" i="9"/>
  <c r="B57" i="9" s="1"/>
  <c r="F56" i="9"/>
  <c r="G56" i="9" s="1"/>
  <c r="D56" i="9"/>
  <c r="C56" i="9"/>
  <c r="B51" i="9"/>
  <c r="B52" i="9" s="1"/>
  <c r="B49" i="9"/>
  <c r="B48" i="9" s="1"/>
  <c r="F47" i="9"/>
  <c r="G47" i="9" s="1"/>
  <c r="D47" i="9"/>
  <c r="C47" i="9" s="1"/>
  <c r="B31" i="9"/>
  <c r="B32" i="9" s="1"/>
  <c r="B29" i="9"/>
  <c r="B28" i="9" s="1"/>
  <c r="D27" i="9"/>
  <c r="C27" i="9" s="1"/>
  <c r="F27" i="9"/>
  <c r="G27" i="9" s="1"/>
  <c r="G6" i="9"/>
  <c r="G10" i="9"/>
  <c r="G11" i="9" s="1"/>
  <c r="G12" i="9" s="1"/>
  <c r="G13" i="9" s="1"/>
  <c r="G15" i="9" s="1"/>
  <c r="G16" i="9" s="1"/>
  <c r="G17" i="9" s="1"/>
  <c r="G18" i="9" s="1"/>
  <c r="G9" i="9"/>
  <c r="C19" i="9"/>
  <c r="C9" i="9"/>
  <c r="C21" i="9" s="1"/>
  <c r="E5" i="10"/>
  <c r="F5" i="10"/>
  <c r="G5" i="10"/>
  <c r="H5" i="10"/>
  <c r="I5" i="10"/>
  <c r="J5" i="10"/>
  <c r="D5" i="10"/>
  <c r="E38" i="10"/>
  <c r="F38" i="10"/>
  <c r="G38" i="10"/>
  <c r="H38" i="10"/>
  <c r="I38" i="10"/>
  <c r="J38" i="10"/>
  <c r="D38" i="10"/>
  <c r="E37" i="10"/>
  <c r="F37" i="10"/>
  <c r="G37" i="10"/>
  <c r="H37" i="10"/>
  <c r="I37" i="10"/>
  <c r="J37" i="10"/>
  <c r="D37" i="10"/>
  <c r="E36" i="10"/>
  <c r="F36" i="10"/>
  <c r="G36" i="10"/>
  <c r="H36" i="10"/>
  <c r="I36" i="10"/>
  <c r="J36" i="10"/>
  <c r="D36" i="10"/>
  <c r="D4" i="10" s="1"/>
  <c r="C15" i="10"/>
  <c r="C16" i="10" s="1"/>
  <c r="C17" i="10" s="1"/>
  <c r="C18" i="10" s="1"/>
  <c r="C20" i="10" s="1"/>
  <c r="C21" i="10" s="1"/>
  <c r="C22" i="10" s="1"/>
  <c r="C23" i="10" s="1"/>
  <c r="C25" i="10" s="1"/>
  <c r="C26" i="10" s="1"/>
  <c r="C27" i="10" s="1"/>
  <c r="C28" i="10" s="1"/>
  <c r="C4" i="10"/>
  <c r="C5" i="10" s="1"/>
  <c r="C31" i="10" s="1"/>
  <c r="C32" i="10" s="1"/>
  <c r="C33" i="10" s="1"/>
  <c r="C36" i="10" s="1"/>
  <c r="C37" i="10" s="1"/>
  <c r="C38" i="10" s="1"/>
  <c r="C41" i="10" s="1"/>
  <c r="C42" i="10" s="1"/>
  <c r="C43" i="10" s="1"/>
  <c r="E3" i="10"/>
  <c r="F3" i="10" s="1"/>
  <c r="G3" i="10" s="1"/>
  <c r="H3" i="10" s="1"/>
  <c r="I3" i="10" s="1"/>
  <c r="J3" i="10" s="1"/>
  <c r="C16" i="6"/>
  <c r="E59" i="1"/>
  <c r="F59" i="1"/>
  <c r="G59" i="1"/>
  <c r="H59" i="1"/>
  <c r="I59" i="1"/>
  <c r="J59" i="1"/>
  <c r="D59" i="1"/>
  <c r="C18" i="6"/>
  <c r="C8" i="7" s="1"/>
  <c r="C10" i="6"/>
  <c r="D17" i="6"/>
  <c r="E17" i="6"/>
  <c r="F17" i="6"/>
  <c r="G17" i="6"/>
  <c r="H17" i="6"/>
  <c r="I17" i="6"/>
  <c r="J17" i="6"/>
  <c r="C17" i="6"/>
  <c r="D16" i="6"/>
  <c r="E16" i="6"/>
  <c r="F16" i="6"/>
  <c r="G16" i="6"/>
  <c r="H16" i="6"/>
  <c r="I16" i="6"/>
  <c r="J16" i="6"/>
  <c r="D13" i="6"/>
  <c r="E13" i="6"/>
  <c r="F13" i="6"/>
  <c r="G13" i="6"/>
  <c r="H13" i="6"/>
  <c r="I13" i="6"/>
  <c r="J13" i="6"/>
  <c r="C13" i="6"/>
  <c r="D12" i="6"/>
  <c r="E12" i="6"/>
  <c r="F12" i="6"/>
  <c r="G12" i="6"/>
  <c r="H12" i="6"/>
  <c r="I12" i="6"/>
  <c r="J12" i="6"/>
  <c r="C12" i="6"/>
  <c r="K21" i="5"/>
  <c r="K20" i="5"/>
  <c r="K19" i="5"/>
  <c r="K18" i="5"/>
  <c r="K16" i="5"/>
  <c r="K15" i="5"/>
  <c r="K14" i="5"/>
  <c r="E14" i="5"/>
  <c r="E15" i="5" s="1"/>
  <c r="E16" i="5" s="1"/>
  <c r="F14" i="5"/>
  <c r="G14" i="5"/>
  <c r="H14" i="5"/>
  <c r="I14" i="5"/>
  <c r="I15" i="5" s="1"/>
  <c r="I16" i="5" s="1"/>
  <c r="J14" i="5"/>
  <c r="J15" i="5" s="1"/>
  <c r="J16" i="5" s="1"/>
  <c r="D14" i="5"/>
  <c r="D15" i="5" s="1"/>
  <c r="H39" i="4"/>
  <c r="G15" i="6" s="1"/>
  <c r="F39" i="4"/>
  <c r="G39" i="4"/>
  <c r="E39" i="4"/>
  <c r="I39" i="4"/>
  <c r="J39" i="4"/>
  <c r="K39" i="4"/>
  <c r="J15" i="6" s="1"/>
  <c r="F15" i="6"/>
  <c r="D15" i="6"/>
  <c r="E15" i="6"/>
  <c r="H15" i="6"/>
  <c r="I15" i="6"/>
  <c r="E7" i="6"/>
  <c r="F7" i="6"/>
  <c r="G7" i="6"/>
  <c r="H7" i="6"/>
  <c r="I7" i="6"/>
  <c r="J7" i="6"/>
  <c r="D7" i="6"/>
  <c r="D21" i="4"/>
  <c r="D18" i="4"/>
  <c r="D11" i="4"/>
  <c r="D12" i="4" s="1"/>
  <c r="C40" i="4"/>
  <c r="E9" i="4"/>
  <c r="D38" i="4"/>
  <c r="C5" i="4"/>
  <c r="C13" i="4" s="1"/>
  <c r="B33" i="4"/>
  <c r="B34" i="4"/>
  <c r="B35" i="4"/>
  <c r="D18" i="5"/>
  <c r="J4" i="10" l="1"/>
  <c r="J6" i="10" s="1"/>
  <c r="I4" i="10"/>
  <c r="I6" i="10" s="1"/>
  <c r="G4" i="10"/>
  <c r="G6" i="10" s="1"/>
  <c r="F4" i="10"/>
  <c r="F6" i="10" s="1"/>
  <c r="E4" i="10"/>
  <c r="E6" i="10" s="1"/>
  <c r="H4" i="10"/>
  <c r="H6" i="10" s="1"/>
  <c r="C8" i="10"/>
  <c r="C9" i="10" s="1"/>
  <c r="C6" i="10"/>
  <c r="B42" i="9"/>
  <c r="B43" i="9" s="1"/>
  <c r="B40" i="9"/>
  <c r="B39" i="9" s="1"/>
  <c r="H11" i="9"/>
  <c r="C20" i="9"/>
  <c r="D6" i="10"/>
  <c r="C9" i="7"/>
  <c r="D5" i="4"/>
  <c r="D7" i="4" s="1"/>
  <c r="K22" i="5"/>
  <c r="H15" i="5"/>
  <c r="H16" i="5" s="1"/>
  <c r="G15" i="5"/>
  <c r="G16" i="5" s="1"/>
  <c r="D16" i="5"/>
  <c r="F15" i="5"/>
  <c r="F16" i="5" s="1"/>
  <c r="D13" i="4"/>
  <c r="E20" i="4"/>
  <c r="F20" i="4" s="1"/>
  <c r="G20" i="4" s="1"/>
  <c r="D22" i="4"/>
  <c r="C20" i="4"/>
  <c r="C16" i="4"/>
  <c r="C17" i="4"/>
  <c r="C18" i="4"/>
  <c r="C12" i="4"/>
  <c r="C31" i="4"/>
  <c r="C41" i="4" s="1"/>
  <c r="C32" i="4"/>
  <c r="C38" i="4"/>
  <c r="F9" i="4"/>
  <c r="C39" i="4"/>
  <c r="C9" i="4"/>
  <c r="C6" i="4"/>
  <c r="C7" i="4" s="1"/>
  <c r="C11" i="4"/>
  <c r="C10" i="4"/>
  <c r="D3" i="6"/>
  <c r="E3" i="6" s="1"/>
  <c r="F3" i="6" s="1"/>
  <c r="G3" i="6" s="1"/>
  <c r="H3" i="6" s="1"/>
  <c r="I3" i="6" s="1"/>
  <c r="J3" i="6" s="1"/>
  <c r="F3" i="4"/>
  <c r="G3" i="4" s="1"/>
  <c r="H3" i="4" s="1"/>
  <c r="I3" i="4" s="1"/>
  <c r="J3" i="4" s="1"/>
  <c r="K3" i="4" s="1"/>
  <c r="I21" i="5"/>
  <c r="J21" i="5"/>
  <c r="E21" i="5"/>
  <c r="F21" i="5"/>
  <c r="G21" i="5"/>
  <c r="H21" i="5"/>
  <c r="D21" i="5"/>
  <c r="J20" i="5"/>
  <c r="H20" i="5"/>
  <c r="I20" i="5"/>
  <c r="G20" i="5"/>
  <c r="E20" i="5"/>
  <c r="F20" i="5"/>
  <c r="D20" i="5"/>
  <c r="E18" i="5"/>
  <c r="F18" i="5"/>
  <c r="G18" i="5"/>
  <c r="H18" i="5"/>
  <c r="I18" i="5"/>
  <c r="J18" i="5"/>
  <c r="G19" i="5"/>
  <c r="H19" i="5"/>
  <c r="I19" i="5"/>
  <c r="J19" i="5"/>
  <c r="E19" i="5"/>
  <c r="F19" i="5"/>
  <c r="D19" i="5"/>
  <c r="B21" i="5"/>
  <c r="B20" i="5"/>
  <c r="B19" i="5"/>
  <c r="B18" i="5"/>
  <c r="D25" i="1"/>
  <c r="H8" i="10" l="1"/>
  <c r="H9" i="10" s="1"/>
  <c r="E8" i="10"/>
  <c r="E9" i="10" s="1"/>
  <c r="F8" i="10"/>
  <c r="F9" i="10" s="1"/>
  <c r="I8" i="10"/>
  <c r="I9" i="10" s="1"/>
  <c r="J8" i="10"/>
  <c r="J9" i="10" s="1"/>
  <c r="G8" i="10"/>
  <c r="G9" i="10" s="1"/>
  <c r="D8" i="10"/>
  <c r="D9" i="10" s="1"/>
  <c r="H13" i="9"/>
  <c r="H15" i="9" s="1"/>
  <c r="B38" i="9" s="1"/>
  <c r="H16" i="9"/>
  <c r="B47" i="9" s="1"/>
  <c r="D24" i="4"/>
  <c r="D25" i="4" s="1"/>
  <c r="D26" i="4" s="1"/>
  <c r="D28" i="4" s="1"/>
  <c r="D22" i="5"/>
  <c r="D6" i="6" s="1"/>
  <c r="K38" i="4"/>
  <c r="J38" i="4"/>
  <c r="I38" i="4"/>
  <c r="H38" i="4"/>
  <c r="H22" i="5"/>
  <c r="H6" i="6" s="1"/>
  <c r="G22" i="5"/>
  <c r="G6" i="6" s="1"/>
  <c r="F22" i="5"/>
  <c r="F6" i="6" s="1"/>
  <c r="J22" i="5"/>
  <c r="J6" i="6" s="1"/>
  <c r="I22" i="5"/>
  <c r="I6" i="6" s="1"/>
  <c r="E22" i="5"/>
  <c r="E6" i="6" s="1"/>
  <c r="E41" i="4"/>
  <c r="E21" i="4"/>
  <c r="C21" i="4"/>
  <c r="C24" i="4"/>
  <c r="F21" i="4"/>
  <c r="G9" i="4"/>
  <c r="F41" i="4"/>
  <c r="F3" i="5"/>
  <c r="G3" i="5" s="1"/>
  <c r="H3" i="5" s="1"/>
  <c r="I3" i="5" s="1"/>
  <c r="J3" i="5" s="1"/>
  <c r="K3" i="5" s="1"/>
  <c r="E3" i="1"/>
  <c r="F3" i="1" s="1"/>
  <c r="G3" i="1" s="1"/>
  <c r="H3" i="1" s="1"/>
  <c r="I3" i="1" s="1"/>
  <c r="J3" i="1" s="1"/>
  <c r="E25" i="1"/>
  <c r="F25" i="1"/>
  <c r="G25" i="1"/>
  <c r="H25" i="1"/>
  <c r="I25" i="1"/>
  <c r="J25" i="1"/>
  <c r="E58" i="1"/>
  <c r="F58" i="1" s="1"/>
  <c r="G58" i="1" s="1"/>
  <c r="H58" i="1" s="1"/>
  <c r="I58" i="1" s="1"/>
  <c r="J58" i="1" s="1"/>
  <c r="D14" i="1"/>
  <c r="E34" i="1"/>
  <c r="F34" i="1" s="1"/>
  <c r="G34" i="1" s="1"/>
  <c r="H34" i="1" s="1"/>
  <c r="I34" i="1" s="1"/>
  <c r="J34" i="1" s="1"/>
  <c r="E33" i="1"/>
  <c r="F33" i="1" s="1"/>
  <c r="G33" i="1" s="1"/>
  <c r="H33" i="1" s="1"/>
  <c r="I33" i="1" s="1"/>
  <c r="J33" i="1" s="1"/>
  <c r="E31" i="1"/>
  <c r="E30" i="1"/>
  <c r="F30" i="1" s="1"/>
  <c r="G30" i="1" s="1"/>
  <c r="H30" i="1" s="1"/>
  <c r="I30" i="1" s="1"/>
  <c r="E29" i="1"/>
  <c r="F29" i="1" s="1"/>
  <c r="G29" i="1" s="1"/>
  <c r="H29" i="1" s="1"/>
  <c r="I29" i="1" s="1"/>
  <c r="J29" i="1" s="1"/>
  <c r="D36" i="1"/>
  <c r="E38" i="1"/>
  <c r="F38" i="1" s="1"/>
  <c r="G38" i="1" s="1"/>
  <c r="H38" i="1" s="1"/>
  <c r="I38" i="1" s="1"/>
  <c r="J38" i="1" s="1"/>
  <c r="E39" i="1"/>
  <c r="F39" i="1" s="1"/>
  <c r="G39" i="1" s="1"/>
  <c r="H39" i="1" s="1"/>
  <c r="I39" i="1" s="1"/>
  <c r="J39" i="1" s="1"/>
  <c r="E40" i="1"/>
  <c r="F40" i="1" s="1"/>
  <c r="G40" i="1" s="1"/>
  <c r="H40" i="1" s="1"/>
  <c r="I40" i="1" s="1"/>
  <c r="J40" i="1" s="1"/>
  <c r="B27" i="9" l="1"/>
  <c r="F38" i="9"/>
  <c r="G38" i="9" s="1"/>
  <c r="D38" i="9"/>
  <c r="C38" i="9" s="1"/>
  <c r="H17" i="9"/>
  <c r="H18" i="9" s="1"/>
  <c r="B56" i="9" s="1"/>
  <c r="D60" i="1"/>
  <c r="E10" i="4"/>
  <c r="F10" i="4" s="1"/>
  <c r="H20" i="4"/>
  <c r="I20" i="4" s="1"/>
  <c r="J20" i="4" s="1"/>
  <c r="K20" i="4" s="1"/>
  <c r="E60" i="1"/>
  <c r="F60" i="1"/>
  <c r="G21" i="4"/>
  <c r="C22" i="4"/>
  <c r="C26" i="4"/>
  <c r="C25" i="4"/>
  <c r="G41" i="4"/>
  <c r="H9" i="4"/>
  <c r="D47" i="1"/>
  <c r="E32" i="4" s="1"/>
  <c r="E16" i="4" s="1"/>
  <c r="E36" i="1"/>
  <c r="F31" i="1"/>
  <c r="J30" i="1"/>
  <c r="C23" i="1"/>
  <c r="C24" i="1" s="1"/>
  <c r="C25" i="1" s="1"/>
  <c r="C22" i="1"/>
  <c r="C16" i="1"/>
  <c r="B15" i="1"/>
  <c r="E14" i="1"/>
  <c r="E19" i="1" s="1"/>
  <c r="F14" i="1"/>
  <c r="F19" i="1" s="1"/>
  <c r="G14" i="1"/>
  <c r="G19" i="1" s="1"/>
  <c r="H14" i="1"/>
  <c r="H19" i="1" s="1"/>
  <c r="I14" i="1"/>
  <c r="I19" i="1" s="1"/>
  <c r="J14" i="1"/>
  <c r="J19" i="1" s="1"/>
  <c r="D52" i="1"/>
  <c r="E6" i="1"/>
  <c r="F6" i="1"/>
  <c r="G6" i="1"/>
  <c r="H6" i="1"/>
  <c r="I6" i="1"/>
  <c r="J6" i="1"/>
  <c r="E7" i="1"/>
  <c r="F7" i="1"/>
  <c r="G7" i="1"/>
  <c r="H7" i="1"/>
  <c r="I7" i="1"/>
  <c r="J7" i="1"/>
  <c r="E8" i="1"/>
  <c r="F8" i="1"/>
  <c r="G8" i="1"/>
  <c r="H8" i="1"/>
  <c r="I8" i="1"/>
  <c r="J8" i="1"/>
  <c r="D8" i="1"/>
  <c r="D7" i="1"/>
  <c r="D6" i="1"/>
  <c r="E11" i="4" l="1"/>
  <c r="E12" i="4" s="1"/>
  <c r="G10" i="4"/>
  <c r="F11" i="4"/>
  <c r="F12" i="4" s="1"/>
  <c r="D8" i="6"/>
  <c r="H21" i="4"/>
  <c r="H41" i="4"/>
  <c r="I9" i="4"/>
  <c r="F36" i="1"/>
  <c r="G31" i="1"/>
  <c r="G60" i="1"/>
  <c r="H60" i="1"/>
  <c r="J60" i="1"/>
  <c r="I60" i="1"/>
  <c r="I13" i="1"/>
  <c r="D12" i="1"/>
  <c r="J13" i="1"/>
  <c r="G13" i="1"/>
  <c r="E13" i="1"/>
  <c r="F13" i="1"/>
  <c r="H13" i="1"/>
  <c r="C29" i="1"/>
  <c r="C46" i="1"/>
  <c r="D11" i="1"/>
  <c r="D13" i="1"/>
  <c r="J11" i="1"/>
  <c r="H11" i="1"/>
  <c r="H12" i="1"/>
  <c r="I11" i="1"/>
  <c r="G11" i="1"/>
  <c r="F11" i="1"/>
  <c r="E11" i="1"/>
  <c r="J12" i="1"/>
  <c r="I12" i="1"/>
  <c r="G12" i="1"/>
  <c r="F12" i="1"/>
  <c r="E12" i="1"/>
  <c r="H10" i="4" l="1"/>
  <c r="G11" i="4"/>
  <c r="G12" i="4" s="1"/>
  <c r="I21" i="4"/>
  <c r="I41" i="4"/>
  <c r="J9" i="4"/>
  <c r="G36" i="1"/>
  <c r="G47" i="1" s="1"/>
  <c r="H32" i="4" s="1"/>
  <c r="H16" i="4" s="1"/>
  <c r="H31" i="1"/>
  <c r="E47" i="1"/>
  <c r="F32" i="4" s="1"/>
  <c r="F16" i="4" s="1"/>
  <c r="E52" i="1"/>
  <c r="E53" i="1" s="1"/>
  <c r="F47" i="1"/>
  <c r="G32" i="4" s="1"/>
  <c r="G16" i="4" s="1"/>
  <c r="G8" i="6" s="1"/>
  <c r="F52" i="1"/>
  <c r="F53" i="1" s="1"/>
  <c r="G52" i="1"/>
  <c r="G53" i="1" s="1"/>
  <c r="H52" i="1"/>
  <c r="H53" i="1" s="1"/>
  <c r="I52" i="1"/>
  <c r="I53" i="1" s="1"/>
  <c r="J52" i="1"/>
  <c r="J53" i="1" s="1"/>
  <c r="D53" i="1"/>
  <c r="D62" i="1" s="1"/>
  <c r="C31" i="1"/>
  <c r="C30" i="1"/>
  <c r="C32" i="1" s="1"/>
  <c r="C62" i="1"/>
  <c r="C59" i="1"/>
  <c r="C53" i="1"/>
  <c r="C47" i="1"/>
  <c r="I16" i="1"/>
  <c r="I17" i="1"/>
  <c r="I18" i="1"/>
  <c r="G16" i="1"/>
  <c r="G17" i="1"/>
  <c r="G18" i="1"/>
  <c r="J16" i="1"/>
  <c r="J17" i="1"/>
  <c r="J18" i="1"/>
  <c r="D18" i="1"/>
  <c r="D17" i="1"/>
  <c r="D16" i="1"/>
  <c r="E17" i="1"/>
  <c r="E18" i="1"/>
  <c r="E16" i="1"/>
  <c r="F17" i="1"/>
  <c r="F18" i="1"/>
  <c r="F16" i="1"/>
  <c r="H16" i="1"/>
  <c r="H17" i="1"/>
  <c r="H18" i="1"/>
  <c r="D24" i="1" l="1"/>
  <c r="I10" i="4"/>
  <c r="H11" i="4"/>
  <c r="H12" i="4" s="1"/>
  <c r="F8" i="6"/>
  <c r="E8" i="6"/>
  <c r="J21" i="4"/>
  <c r="J41" i="4"/>
  <c r="K9" i="4"/>
  <c r="G24" i="1"/>
  <c r="E24" i="1"/>
  <c r="J24" i="1"/>
  <c r="I24" i="1"/>
  <c r="H24" i="1"/>
  <c r="F24" i="1"/>
  <c r="I31" i="1"/>
  <c r="H36" i="1"/>
  <c r="H47" i="1" s="1"/>
  <c r="C36" i="1"/>
  <c r="C33" i="1"/>
  <c r="E62" i="1"/>
  <c r="F62" i="1"/>
  <c r="G62" i="1"/>
  <c r="C39" i="1"/>
  <c r="C40" i="1" s="1"/>
  <c r="C63" i="1"/>
  <c r="C65" i="1" s="1"/>
  <c r="C58" i="1"/>
  <c r="C60" i="1" s="1"/>
  <c r="C54" i="1"/>
  <c r="C52" i="1"/>
  <c r="C48" i="1"/>
  <c r="C66" i="1" s="1"/>
  <c r="C38" i="1"/>
  <c r="B11" i="1"/>
  <c r="B16" i="1" s="1"/>
  <c r="B13" i="1"/>
  <c r="B18" i="1" s="1"/>
  <c r="B12" i="1"/>
  <c r="B17" i="1" s="1"/>
  <c r="J10" i="4" l="1"/>
  <c r="I11" i="4"/>
  <c r="I12" i="4" s="1"/>
  <c r="K21" i="4"/>
  <c r="K41" i="4"/>
  <c r="H62" i="1"/>
  <c r="I32" i="4"/>
  <c r="I16" i="4" s="1"/>
  <c r="F46" i="1"/>
  <c r="F48" i="1" s="1"/>
  <c r="F49" i="1" s="1"/>
  <c r="G31" i="4"/>
  <c r="I46" i="1"/>
  <c r="J31" i="4"/>
  <c r="G46" i="1"/>
  <c r="G48" i="1" s="1"/>
  <c r="G49" i="1" s="1"/>
  <c r="H31" i="4"/>
  <c r="H46" i="1"/>
  <c r="H48" i="1" s="1"/>
  <c r="H49" i="1" s="1"/>
  <c r="I31" i="4"/>
  <c r="J46" i="1"/>
  <c r="K31" i="4"/>
  <c r="E46" i="1"/>
  <c r="F31" i="4"/>
  <c r="D46" i="1"/>
  <c r="D48" i="1" s="1"/>
  <c r="D54" i="1" s="1"/>
  <c r="D55" i="1" s="1"/>
  <c r="E31" i="4"/>
  <c r="J31" i="1"/>
  <c r="J36" i="1" s="1"/>
  <c r="J47" i="1" s="1"/>
  <c r="I36" i="1"/>
  <c r="I47" i="1" s="1"/>
  <c r="E48" i="1"/>
  <c r="E54" i="1" s="1"/>
  <c r="C34" i="1"/>
  <c r="C35" i="1"/>
  <c r="C41" i="1"/>
  <c r="C42" i="1" s="1"/>
  <c r="D63" i="1" l="1"/>
  <c r="D65" i="1" s="1"/>
  <c r="D66" i="1" s="1"/>
  <c r="D4" i="6" s="1"/>
  <c r="D49" i="1"/>
  <c r="K10" i="4"/>
  <c r="K11" i="4" s="1"/>
  <c r="K12" i="4" s="1"/>
  <c r="J11" i="4"/>
  <c r="J12" i="4" s="1"/>
  <c r="H8" i="6"/>
  <c r="E17" i="4"/>
  <c r="E33" i="4"/>
  <c r="F33" i="4"/>
  <c r="F17" i="4"/>
  <c r="K17" i="4"/>
  <c r="K33" i="4"/>
  <c r="I17" i="4"/>
  <c r="I18" i="4" s="1"/>
  <c r="I22" i="4" s="1"/>
  <c r="I33" i="4"/>
  <c r="H17" i="4"/>
  <c r="H33" i="4"/>
  <c r="J17" i="4"/>
  <c r="J9" i="6" s="1"/>
  <c r="J33" i="4"/>
  <c r="G17" i="4"/>
  <c r="G33" i="4"/>
  <c r="I62" i="1"/>
  <c r="J32" i="4"/>
  <c r="J16" i="4" s="1"/>
  <c r="J62" i="1"/>
  <c r="K32" i="4"/>
  <c r="K16" i="4" s="1"/>
  <c r="K18" i="4" s="1"/>
  <c r="K22" i="4" s="1"/>
  <c r="E55" i="1"/>
  <c r="E63" i="1"/>
  <c r="E65" i="1" s="1"/>
  <c r="E66" i="1" s="1"/>
  <c r="E4" i="6" s="1"/>
  <c r="E49" i="1"/>
  <c r="J48" i="1"/>
  <c r="F54" i="1"/>
  <c r="H54" i="1"/>
  <c r="I48" i="1"/>
  <c r="G54" i="1"/>
  <c r="J8" i="6" l="1"/>
  <c r="J10" i="6"/>
  <c r="I8" i="6"/>
  <c r="H9" i="6"/>
  <c r="H10" i="6" s="1"/>
  <c r="H18" i="4"/>
  <c r="H22" i="4" s="1"/>
  <c r="G9" i="6"/>
  <c r="G10" i="6" s="1"/>
  <c r="G18" i="4"/>
  <c r="G22" i="4" s="1"/>
  <c r="J18" i="4"/>
  <c r="J22" i="4" s="1"/>
  <c r="I9" i="6"/>
  <c r="F9" i="6"/>
  <c r="F18" i="4"/>
  <c r="F22" i="4" s="1"/>
  <c r="E9" i="6"/>
  <c r="D9" i="6"/>
  <c r="E18" i="4"/>
  <c r="E22" i="4" s="1"/>
  <c r="G55" i="1"/>
  <c r="G63" i="1"/>
  <c r="G65" i="1" s="1"/>
  <c r="G66" i="1" s="1"/>
  <c r="G4" i="6" s="1"/>
  <c r="H55" i="1"/>
  <c r="H63" i="1"/>
  <c r="H65" i="1" s="1"/>
  <c r="H66" i="1" s="1"/>
  <c r="H4" i="6" s="1"/>
  <c r="F55" i="1"/>
  <c r="F63" i="1"/>
  <c r="F65" i="1" s="1"/>
  <c r="F66" i="1" s="1"/>
  <c r="F4" i="6" s="1"/>
  <c r="J49" i="1"/>
  <c r="J54" i="1"/>
  <c r="I54" i="1"/>
  <c r="I49" i="1"/>
  <c r="H18" i="6" l="1"/>
  <c r="H8" i="7" s="1"/>
  <c r="G18" i="6"/>
  <c r="G8" i="7"/>
  <c r="H5" i="4"/>
  <c r="I10" i="6"/>
  <c r="D10" i="6"/>
  <c r="D18" i="6" s="1"/>
  <c r="E10" i="6"/>
  <c r="E18" i="6" s="1"/>
  <c r="F10" i="6"/>
  <c r="F18" i="6" s="1"/>
  <c r="I55" i="1"/>
  <c r="I63" i="1"/>
  <c r="I65" i="1" s="1"/>
  <c r="I66" i="1" s="1"/>
  <c r="I4" i="6" s="1"/>
  <c r="I18" i="6" s="1"/>
  <c r="J55" i="1"/>
  <c r="J63" i="1"/>
  <c r="J65" i="1" s="1"/>
  <c r="J66" i="1" s="1"/>
  <c r="J4" i="6" s="1"/>
  <c r="J18" i="6" s="1"/>
  <c r="I5" i="4" l="1"/>
  <c r="F8" i="7"/>
  <c r="G5" i="4"/>
  <c r="J8" i="7"/>
  <c r="K5" i="4"/>
  <c r="I8" i="7"/>
  <c r="J5" i="4"/>
  <c r="E8" i="7"/>
  <c r="F5" i="4"/>
  <c r="F7" i="4" s="1"/>
  <c r="F13" i="4" s="1"/>
  <c r="D8" i="7"/>
  <c r="D13" i="7" s="1"/>
  <c r="E5" i="4"/>
  <c r="I7" i="4"/>
  <c r="I13" i="4" s="1"/>
  <c r="I24" i="4" s="1"/>
  <c r="I25" i="4" s="1"/>
  <c r="I26" i="4" s="1"/>
  <c r="I28" i="4" s="1"/>
  <c r="G7" i="4"/>
  <c r="G13" i="4" s="1"/>
  <c r="H7" i="4"/>
  <c r="H13" i="4" s="1"/>
  <c r="D15" i="7" l="1"/>
  <c r="D9" i="7"/>
  <c r="E9" i="7" s="1"/>
  <c r="F9" i="7" s="1"/>
  <c r="K7" i="4"/>
  <c r="K13" i="4" s="1"/>
  <c r="K24" i="4" s="1"/>
  <c r="K25" i="4" s="1"/>
  <c r="K26" i="4" s="1"/>
  <c r="K28" i="4" s="1"/>
  <c r="J7" i="4"/>
  <c r="J13" i="4" s="1"/>
  <c r="J24" i="4" s="1"/>
  <c r="J25" i="4" s="1"/>
  <c r="J26" i="4" s="1"/>
  <c r="J28" i="4" s="1"/>
  <c r="H24" i="4"/>
  <c r="H25" i="4" s="1"/>
  <c r="H26" i="4" s="1"/>
  <c r="H28" i="4" s="1"/>
  <c r="F24" i="4"/>
  <c r="F25" i="4" s="1"/>
  <c r="F26" i="4" s="1"/>
  <c r="F28" i="4" s="1"/>
  <c r="G24" i="4"/>
  <c r="G25" i="4" s="1"/>
  <c r="G26" i="4" s="1"/>
  <c r="G28" i="4" s="1"/>
  <c r="D17" i="7" l="1"/>
  <c r="G9" i="7"/>
  <c r="H9" i="7" s="1"/>
  <c r="I9" i="7" s="1"/>
  <c r="J9" i="7" s="1"/>
  <c r="E7" i="4"/>
  <c r="E13" i="4" s="1"/>
  <c r="E24" i="4" l="1"/>
  <c r="E25" i="4" s="1"/>
  <c r="E26" i="4" s="1"/>
  <c r="E28" i="4" s="1"/>
</calcChain>
</file>

<file path=xl/sharedStrings.xml><?xml version="1.0" encoding="utf-8"?>
<sst xmlns="http://schemas.openxmlformats.org/spreadsheetml/2006/main" count="252" uniqueCount="154">
  <si>
    <t>Income Statement</t>
  </si>
  <si>
    <t>Assumptions</t>
  </si>
  <si>
    <t>Order Details</t>
  </si>
  <si>
    <t>COGS</t>
  </si>
  <si>
    <t>Revenue Assumptions</t>
  </si>
  <si>
    <t>Cost Assumptions</t>
  </si>
  <si>
    <t>Variable</t>
  </si>
  <si>
    <t>Fixed</t>
  </si>
  <si>
    <t>Total Variable Costs</t>
  </si>
  <si>
    <t>Total Fixed Costs</t>
  </si>
  <si>
    <t>Revenue</t>
  </si>
  <si>
    <t>Gross Profit</t>
  </si>
  <si>
    <t>Gross Profit Margin</t>
  </si>
  <si>
    <t>Variable Costs</t>
  </si>
  <si>
    <t>Contribution Margin</t>
  </si>
  <si>
    <t>Fixed Costs</t>
  </si>
  <si>
    <t>EBT</t>
  </si>
  <si>
    <t>Tax</t>
  </si>
  <si>
    <t>Tax Rate</t>
  </si>
  <si>
    <t>General &amp; Administrative</t>
  </si>
  <si>
    <t>Contribution Margin %</t>
  </si>
  <si>
    <t>x</t>
  </si>
  <si>
    <t>Profit / (Loss)</t>
  </si>
  <si>
    <t>#</t>
  </si>
  <si>
    <t>Unit</t>
  </si>
  <si>
    <t>%</t>
  </si>
  <si>
    <t>Total Costs</t>
  </si>
  <si>
    <t>Revenues vs. Costs</t>
  </si>
  <si>
    <t>Customer Type</t>
  </si>
  <si>
    <t>Mobility Innovation/Early Adopter</t>
  </si>
  <si>
    <t>Micromobility Enthusiast</t>
  </si>
  <si>
    <t>Cost Constrained</t>
  </si>
  <si>
    <t>Total Addressable Market</t>
  </si>
  <si>
    <t>Serviceable Addressable Market</t>
  </si>
  <si>
    <t>Serviceable Obtainable Market</t>
  </si>
  <si>
    <t>E-Ventura Flex</t>
  </si>
  <si>
    <t>E-Ventura Edge</t>
  </si>
  <si>
    <t>E-Ventura Lite</t>
  </si>
  <si>
    <t>₹</t>
  </si>
  <si>
    <t>Total Revenue</t>
  </si>
  <si>
    <t>Average Revenue</t>
  </si>
  <si>
    <t>Maintenance &amp; Testing</t>
  </si>
  <si>
    <t>Logistics</t>
  </si>
  <si>
    <t>Packaging</t>
  </si>
  <si>
    <t>Warranties &amp; After Sales</t>
  </si>
  <si>
    <t>Total Variable Cost Per Scooter</t>
  </si>
  <si>
    <t xml:space="preserve">Utilities </t>
  </si>
  <si>
    <t xml:space="preserve">Labour Cost </t>
  </si>
  <si>
    <t>Marketing &amp; Sales</t>
  </si>
  <si>
    <t>Utilities (Facilities)</t>
  </si>
  <si>
    <t>Insurance</t>
  </si>
  <si>
    <t>Showroom Expenses</t>
  </si>
  <si>
    <t>Customer Support</t>
  </si>
  <si>
    <t>Depreciation</t>
  </si>
  <si>
    <t>Manufacturing</t>
  </si>
  <si>
    <t>Income Forecast</t>
  </si>
  <si>
    <t>Net Income</t>
  </si>
  <si>
    <t>Operating Activities</t>
  </si>
  <si>
    <t>Investing Activities</t>
  </si>
  <si>
    <t>Fixed Assets</t>
  </si>
  <si>
    <t>Asset Life (Years)</t>
  </si>
  <si>
    <t>CapEx</t>
  </si>
  <si>
    <t>Total CapEx</t>
  </si>
  <si>
    <t>Total D&amp;A</t>
  </si>
  <si>
    <t>Land Acquisiton</t>
  </si>
  <si>
    <t>Construction Costs</t>
  </si>
  <si>
    <t>Machinery &amp; Equipment</t>
  </si>
  <si>
    <t>Design &amp; Engineering</t>
  </si>
  <si>
    <t>Licensing &amp; Permits</t>
  </si>
  <si>
    <t>Technology Costs (ERP/Software)</t>
  </si>
  <si>
    <t>R&amp;D Investments</t>
  </si>
  <si>
    <t>Land Development</t>
  </si>
  <si>
    <t>PEB (Pre-Engineered Builidings)</t>
  </si>
  <si>
    <t>Depreciation &amp; Amortization</t>
  </si>
  <si>
    <t>Balance Sheet</t>
  </si>
  <si>
    <t>Historical</t>
  </si>
  <si>
    <t>Current Assets</t>
  </si>
  <si>
    <t>Cash</t>
  </si>
  <si>
    <t>Accounts Receivable</t>
  </si>
  <si>
    <t>Total Current Assets</t>
  </si>
  <si>
    <t>Non Current Assets</t>
  </si>
  <si>
    <t>Accumulated Depreciation</t>
  </si>
  <si>
    <t>Net Fixed Assets</t>
  </si>
  <si>
    <t>Total Non Current Assets</t>
  </si>
  <si>
    <t>Total Assets</t>
  </si>
  <si>
    <t>Current Liabilities</t>
  </si>
  <si>
    <t>Accounts Payable</t>
  </si>
  <si>
    <t>Deferred Revenue</t>
  </si>
  <si>
    <t>Total Current Liabilitites</t>
  </si>
  <si>
    <t>Non Current Liabilities</t>
  </si>
  <si>
    <t>Debt</t>
  </si>
  <si>
    <t>Total Non Current Liabilitites</t>
  </si>
  <si>
    <t>Total Liabilitites</t>
  </si>
  <si>
    <t>Equity</t>
  </si>
  <si>
    <t>Common Stock</t>
  </si>
  <si>
    <t>Total Equity</t>
  </si>
  <si>
    <t>Total Liabilities &amp; Equity</t>
  </si>
  <si>
    <t>Balance Check</t>
  </si>
  <si>
    <t>Assumptions:</t>
  </si>
  <si>
    <t>Net Revenue</t>
  </si>
  <si>
    <t>Net Borrowing</t>
  </si>
  <si>
    <t>Debt Repayment</t>
  </si>
  <si>
    <t>Interest Rate</t>
  </si>
  <si>
    <t>Interest Payment</t>
  </si>
  <si>
    <t>Statement of Cashflows</t>
  </si>
  <si>
    <t>Operating Cash Flow</t>
  </si>
  <si>
    <t>Investing Cash Flow</t>
  </si>
  <si>
    <t>Financing Activities</t>
  </si>
  <si>
    <t>Net Borrowings</t>
  </si>
  <si>
    <t>Financing Cash Flow</t>
  </si>
  <si>
    <t>Net Cash Flow</t>
  </si>
  <si>
    <t>Change in Accounts Receivable</t>
  </si>
  <si>
    <t>Change in Accounts Payable</t>
  </si>
  <si>
    <t>Change in Deferred Revenue</t>
  </si>
  <si>
    <t>Dec-24A</t>
  </si>
  <si>
    <t>Sub-Total</t>
  </si>
  <si>
    <t>Contigency Cost</t>
  </si>
  <si>
    <t>Capital Budgeting Analysis</t>
  </si>
  <si>
    <t>NPV, IRR, and Payback Period</t>
  </si>
  <si>
    <t>Period</t>
  </si>
  <si>
    <t>E-Ventura Market Entry</t>
  </si>
  <si>
    <t>2024A</t>
  </si>
  <si>
    <t>-</t>
  </si>
  <si>
    <t>Cumulative Cash Flow</t>
  </si>
  <si>
    <t>Discount Rate -&gt;</t>
  </si>
  <si>
    <t>NPV -&gt;</t>
  </si>
  <si>
    <t>IRR-&gt;</t>
  </si>
  <si>
    <t>Payback Period-&gt;</t>
  </si>
  <si>
    <t>1. Best Case</t>
  </si>
  <si>
    <t>2. Base Case</t>
  </si>
  <si>
    <t>3. Worst Case</t>
  </si>
  <si>
    <t>Units Sold</t>
  </si>
  <si>
    <t>Scenario Analysis</t>
  </si>
  <si>
    <t>Cost</t>
  </si>
  <si>
    <t>Choose Scenario -&gt;</t>
  </si>
  <si>
    <t>Revenue Scenarios</t>
  </si>
  <si>
    <t>Cost Scenarios</t>
  </si>
  <si>
    <t>SOM Scenarios</t>
  </si>
  <si>
    <t>1. Best Case (7% SOM)</t>
  </si>
  <si>
    <t xml:space="preserve">1. Best Case </t>
  </si>
  <si>
    <t>2. Base Case (2% SOM)</t>
  </si>
  <si>
    <t>3. Worst Case (1% SOM)</t>
  </si>
  <si>
    <t>Revenue vs Cost</t>
  </si>
  <si>
    <t>Senstivity Analysis</t>
  </si>
  <si>
    <t>Gross Profit, Gross Profit Margin, Contribution Margin, Contribution Margin %, EBT, Profit/Loss</t>
  </si>
  <si>
    <t>Logistics Cost/Unit</t>
  </si>
  <si>
    <t>Cost/Unit</t>
  </si>
  <si>
    <t>Total Fixed Cost</t>
  </si>
  <si>
    <t>Profit/Loss</t>
  </si>
  <si>
    <t>Gross Profit Sensitivity Analysis</t>
  </si>
  <si>
    <t>Contribution Margin Sensitivity Analysis</t>
  </si>
  <si>
    <t>EBT Sensitivity Analysis</t>
  </si>
  <si>
    <t>Profit/Loss Sensitivity Analysis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</si>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</sst>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£&quot;#,##0.00;[Red]\-&quot;£&quot;#,##0.00"/>
    <numFmt numFmtId="43" formatCode="_-* #,##0.00_-;\-* #,##0.00_-;_-* &quot;-&quot;??_-;_-@_-"/>
    <numFmt numFmtId="164" formatCode="_(* #,##0_);_(* \(#,##0\);_(* &quot;-&quot;??_);_(@_)"/>
    <numFmt numFmtId="165" formatCode="0.0%"/>
    <numFmt numFmtId="166" formatCode="[$$-409]#,##0.00;[Red][$$-409]#,##0.00"/>
    <numFmt numFmtId="167" formatCode="_-* #,##0.0_-;\-* #,##0.0_-;_-* &quot;-&quot;??_-;_-@_-"/>
    <numFmt numFmtId="168" formatCode="_-* #,##0_-;\-* #,##0_-;_-* &quot;-&quot;??_-;_-@_-"/>
    <numFmt numFmtId="169" formatCode="[$₹-4009]\ #,##0.00;[Red][$₹-4009]\ #,##0.00"/>
    <numFmt numFmtId="170" formatCode="yyyy\E"/>
    <numFmt numFmtId="171" formatCode="_(&quot;₹&quot;* #,##0_);_(&quot;$&quot;* \(#,##0\);_(&quot;$&quot;* &quot;-&quot;??_);_(@_)"/>
    <numFmt numFmtId="172" formatCode="[$₹-4009]\ #,##0"/>
    <numFmt numFmtId="173" formatCode="_-* #,##0.000_-;\-* #,##0.000_-;_-* &quot;-&quot;???_-;_-@_-"/>
    <numFmt numFmtId="174" formatCode="mmm\-yy\E"/>
    <numFmt numFmtId="175" formatCode="_(&quot;₹&quot;* #,##0_);_(&quot;₹&quot;* \(#,##0\);_(&quot;₹&quot;* &quot;-&quot;??_);_(@_)"/>
    <numFmt numFmtId="176" formatCode="#.##\ &quot;years&quot;"/>
  </numFmts>
  <fonts count="6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432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1"/>
      <name val="Calibri"/>
      <family val="2"/>
    </font>
    <font>
      <sz val="11"/>
      <color rgb="FF0432FF"/>
      <name val="Calibri"/>
      <family val="2"/>
    </font>
    <font>
      <sz val="11"/>
      <color rgb="FF2741EE"/>
      <name val="Calibri"/>
      <family val="2"/>
    </font>
    <font>
      <b/>
      <sz val="11"/>
      <color theme="0"/>
      <name val="Calibri"/>
      <family val="2"/>
    </font>
    <font>
      <b/>
      <i/>
      <sz val="11"/>
      <color theme="0"/>
      <name val="Calibri"/>
      <family val="2"/>
    </font>
    <font>
      <sz val="11"/>
      <color rgb="FF0000FF"/>
      <name val="Calibri"/>
      <family val="2"/>
    </font>
    <font>
      <b/>
      <sz val="11"/>
      <color theme="1"/>
      <name val="Calibri"/>
      <family val="2"/>
    </font>
    <font>
      <sz val="11"/>
      <color theme="4"/>
      <name val="Calibri"/>
      <family val="2"/>
    </font>
    <font>
      <i/>
      <sz val="11"/>
      <color theme="0"/>
      <name val="Calibri"/>
      <family val="2"/>
    </font>
    <font>
      <b/>
      <sz val="11"/>
      <color theme="2"/>
      <name val="Calibri"/>
      <family val="2"/>
    </font>
    <font>
      <b/>
      <i/>
      <sz val="11"/>
      <color theme="2"/>
      <name val="Calibri"/>
      <family val="2"/>
    </font>
    <font>
      <b/>
      <sz val="11"/>
      <color rgb="FF0432FF"/>
      <name val="Calibri"/>
      <family val="2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000037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293D68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05496"/>
        <bgColor rgb="FFD9E2F3"/>
      </patternFill>
    </fill>
    <fill>
      <patternFill patternType="solid">
        <fgColor rgb="FF293D68"/>
        <bgColor rgb="FFD9E2F3"/>
      </patternFill>
    </fill>
    <fill>
      <patternFill patternType="solid">
        <fgColor theme="0"/>
        <bgColor rgb="FFE7E6E6"/>
      </patternFill>
    </fill>
    <fill>
      <patternFill patternType="solid">
        <fgColor rgb="FFE7E6E6"/>
        <bgColor rgb="FFE7E6E6"/>
      </patternFill>
    </fill>
    <fill>
      <patternFill patternType="solid">
        <fgColor rgb="FF30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</cellStyleXfs>
  <cellXfs count="248">
    <xf numFmtId="0" fontId="0" fillId="0" borderId="0" xfId="0"/>
    <xf numFmtId="0" fontId="23" fillId="2" borderId="0" xfId="0" applyFont="1" applyFill="1"/>
    <xf numFmtId="0" fontId="23" fillId="2" borderId="0" xfId="0" applyFont="1" applyFill="1" applyAlignment="1">
      <alignment horizontal="center"/>
    </xf>
    <xf numFmtId="164" fontId="24" fillId="0" borderId="0" xfId="0" applyNumberFormat="1" applyFont="1"/>
    <xf numFmtId="0" fontId="25" fillId="0" borderId="0" xfId="0" applyFont="1"/>
    <xf numFmtId="0" fontId="26" fillId="4" borderId="0" xfId="0" applyFont="1" applyFill="1"/>
    <xf numFmtId="0" fontId="25" fillId="0" borderId="0" xfId="0" applyFont="1" applyAlignment="1">
      <alignment horizontal="left" indent="1"/>
    </xf>
    <xf numFmtId="0" fontId="26" fillId="0" borderId="1" xfId="0" applyFont="1" applyBorder="1"/>
    <xf numFmtId="0" fontId="26" fillId="0" borderId="0" xfId="0" applyFont="1"/>
    <xf numFmtId="167" fontId="27" fillId="0" borderId="0" xfId="1" applyNumberFormat="1" applyFont="1"/>
    <xf numFmtId="166" fontId="26" fillId="0" borderId="0" xfId="0" applyNumberFormat="1" applyFont="1"/>
    <xf numFmtId="0" fontId="26" fillId="0" borderId="2" xfId="0" applyFont="1" applyBorder="1"/>
    <xf numFmtId="164" fontId="26" fillId="0" borderId="2" xfId="0" applyNumberFormat="1" applyFont="1" applyBorder="1"/>
    <xf numFmtId="0" fontId="26" fillId="5" borderId="2" xfId="0" applyFont="1" applyFill="1" applyBorder="1"/>
    <xf numFmtId="164" fontId="26" fillId="0" borderId="0" xfId="0" applyNumberFormat="1" applyFont="1"/>
    <xf numFmtId="0" fontId="23" fillId="3" borderId="0" xfId="0" applyFont="1" applyFill="1"/>
    <xf numFmtId="0" fontId="23" fillId="3" borderId="0" xfId="0" applyFont="1" applyFill="1" applyAlignment="1">
      <alignment horizontal="center"/>
    </xf>
    <xf numFmtId="0" fontId="26" fillId="4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6" fillId="0" borderId="2" xfId="0" applyFont="1" applyBorder="1" applyAlignment="1">
      <alignment horizontal="center"/>
    </xf>
    <xf numFmtId="0" fontId="26" fillId="5" borderId="2" xfId="0" applyFont="1" applyFill="1" applyBorder="1" applyAlignment="1">
      <alignment horizontal="center"/>
    </xf>
    <xf numFmtId="0" fontId="29" fillId="0" borderId="0" xfId="0" applyFont="1" applyAlignment="1">
      <alignment horizontal="center"/>
    </xf>
    <xf numFmtId="0" fontId="26" fillId="0" borderId="0" xfId="0" applyFont="1" applyAlignment="1">
      <alignment horizontal="left" indent="1"/>
    </xf>
    <xf numFmtId="0" fontId="21" fillId="0" borderId="0" xfId="0" applyFont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0" xfId="0" applyFont="1" applyAlignment="1">
      <alignment horizontal="center"/>
    </xf>
    <xf numFmtId="168" fontId="26" fillId="0" borderId="0" xfId="1" applyNumberFormat="1" applyFont="1"/>
    <xf numFmtId="168" fontId="27" fillId="0" borderId="0" xfId="1" applyNumberFormat="1" applyFont="1"/>
    <xf numFmtId="168" fontId="27" fillId="0" borderId="3" xfId="1" applyNumberFormat="1" applyFont="1" applyBorder="1"/>
    <xf numFmtId="169" fontId="26" fillId="0" borderId="1" xfId="0" applyNumberFormat="1" applyFont="1" applyBorder="1"/>
    <xf numFmtId="168" fontId="24" fillId="0" borderId="0" xfId="1" applyNumberFormat="1" applyFont="1"/>
    <xf numFmtId="168" fontId="26" fillId="0" borderId="1" xfId="1" applyNumberFormat="1" applyFont="1" applyBorder="1"/>
    <xf numFmtId="168" fontId="25" fillId="0" borderId="0" xfId="1" applyNumberFormat="1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 indent="1"/>
    </xf>
    <xf numFmtId="0" fontId="18" fillId="0" borderId="3" xfId="0" applyFont="1" applyBorder="1" applyAlignment="1">
      <alignment horizontal="center"/>
    </xf>
    <xf numFmtId="0" fontId="26" fillId="0" borderId="3" xfId="0" applyFont="1" applyBorder="1" applyAlignment="1">
      <alignment horizontal="left" indent="1"/>
    </xf>
    <xf numFmtId="167" fontId="31" fillId="0" borderId="3" xfId="1" applyNumberFormat="1" applyFont="1" applyBorder="1"/>
    <xf numFmtId="164" fontId="27" fillId="0" borderId="0" xfId="0" applyNumberFormat="1" applyFont="1"/>
    <xf numFmtId="165" fontId="32" fillId="0" borderId="0" xfId="2" applyNumberFormat="1" applyFont="1"/>
    <xf numFmtId="0" fontId="17" fillId="0" borderId="0" xfId="0" applyFont="1" applyAlignment="1">
      <alignment horizontal="left" indent="1"/>
    </xf>
    <xf numFmtId="9" fontId="25" fillId="0" borderId="0" xfId="2" applyFont="1" applyAlignment="1">
      <alignment horizontal="center"/>
    </xf>
    <xf numFmtId="43" fontId="25" fillId="0" borderId="0" xfId="1" applyFont="1"/>
    <xf numFmtId="164" fontId="26" fillId="5" borderId="2" xfId="1" applyNumberFormat="1" applyFont="1" applyFill="1" applyBorder="1"/>
    <xf numFmtId="0" fontId="25" fillId="0" borderId="0" xfId="0" applyFont="1" applyAlignment="1">
      <alignment horizontal="left" indent="2"/>
    </xf>
    <xf numFmtId="0" fontId="21" fillId="0" borderId="0" xfId="0" applyFont="1" applyAlignment="1">
      <alignment horizontal="left" indent="2"/>
    </xf>
    <xf numFmtId="0" fontId="21" fillId="0" borderId="0" xfId="0" applyFont="1" applyAlignment="1">
      <alignment horizontal="left" indent="3"/>
    </xf>
    <xf numFmtId="0" fontId="25" fillId="0" borderId="3" xfId="0" applyFont="1" applyBorder="1" applyAlignment="1">
      <alignment horizontal="left" indent="2"/>
    </xf>
    <xf numFmtId="0" fontId="20" fillId="0" borderId="0" xfId="0" applyFont="1" applyAlignment="1">
      <alignment horizontal="left" indent="1"/>
    </xf>
    <xf numFmtId="0" fontId="16" fillId="0" borderId="0" xfId="0" applyFont="1" applyAlignment="1">
      <alignment horizontal="left" indent="2"/>
    </xf>
    <xf numFmtId="0" fontId="18" fillId="0" borderId="0" xfId="0" applyFont="1" applyAlignment="1">
      <alignment horizontal="left" indent="2"/>
    </xf>
    <xf numFmtId="0" fontId="15" fillId="0" borderId="0" xfId="0" applyFont="1" applyAlignment="1">
      <alignment horizontal="left" indent="2"/>
    </xf>
    <xf numFmtId="0" fontId="17" fillId="0" borderId="0" xfId="0" applyFont="1" applyAlignment="1">
      <alignment horizontal="left" indent="2"/>
    </xf>
    <xf numFmtId="9" fontId="33" fillId="0" borderId="0" xfId="0" applyNumberFormat="1" applyFont="1"/>
    <xf numFmtId="0" fontId="32" fillId="0" borderId="0" xfId="0" applyFont="1"/>
    <xf numFmtId="0" fontId="34" fillId="0" borderId="0" xfId="0" applyFont="1"/>
    <xf numFmtId="0" fontId="38" fillId="8" borderId="4" xfId="0" applyFont="1" applyFill="1" applyBorder="1" applyAlignment="1">
      <alignment horizontal="center"/>
    </xf>
    <xf numFmtId="0" fontId="35" fillId="10" borderId="0" xfId="0" applyFont="1" applyFill="1" applyAlignment="1">
      <alignment horizontal="center"/>
    </xf>
    <xf numFmtId="170" fontId="23" fillId="3" borderId="0" xfId="0" applyNumberFormat="1" applyFont="1" applyFill="1" applyAlignment="1">
      <alignment horizontal="right"/>
    </xf>
    <xf numFmtId="170" fontId="37" fillId="8" borderId="4" xfId="0" applyNumberFormat="1" applyFont="1" applyFill="1" applyBorder="1" applyAlignment="1">
      <alignment horizontal="center"/>
    </xf>
    <xf numFmtId="168" fontId="31" fillId="0" borderId="0" xfId="1" applyNumberFormat="1" applyFont="1"/>
    <xf numFmtId="0" fontId="14" fillId="0" borderId="0" xfId="0" applyFont="1"/>
    <xf numFmtId="0" fontId="14" fillId="0" borderId="0" xfId="0" applyFont="1" applyAlignment="1">
      <alignment horizontal="left" indent="1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171" fontId="26" fillId="0" borderId="2" xfId="0" applyNumberFormat="1" applyFont="1" applyBorder="1"/>
    <xf numFmtId="171" fontId="36" fillId="0" borderId="0" xfId="0" applyNumberFormat="1" applyFont="1"/>
    <xf numFmtId="171" fontId="39" fillId="0" borderId="0" xfId="0" applyNumberFormat="1" applyFont="1"/>
    <xf numFmtId="171" fontId="27" fillId="0" borderId="0" xfId="0" applyNumberFormat="1" applyFont="1"/>
    <xf numFmtId="0" fontId="13" fillId="0" borderId="0" xfId="0" applyFont="1" applyAlignment="1">
      <alignment horizontal="left" indent="1"/>
    </xf>
    <xf numFmtId="0" fontId="12" fillId="0" borderId="0" xfId="0" applyFont="1"/>
    <xf numFmtId="0" fontId="40" fillId="11" borderId="0" xfId="0" applyFont="1" applyFill="1"/>
    <xf numFmtId="0" fontId="37" fillId="9" borderId="0" xfId="0" applyFont="1" applyFill="1"/>
    <xf numFmtId="0" fontId="42" fillId="9" borderId="0" xfId="0" applyFont="1" applyFill="1" applyAlignment="1">
      <alignment horizontal="right"/>
    </xf>
    <xf numFmtId="0" fontId="11" fillId="0" borderId="0" xfId="0" applyFont="1"/>
    <xf numFmtId="0" fontId="26" fillId="0" borderId="3" xfId="0" applyFont="1" applyBorder="1"/>
    <xf numFmtId="0" fontId="11" fillId="0" borderId="0" xfId="0" applyFont="1" applyAlignment="1">
      <alignment horizontal="left" indent="1"/>
    </xf>
    <xf numFmtId="0" fontId="11" fillId="0" borderId="3" xfId="0" applyFont="1" applyBorder="1" applyAlignment="1">
      <alignment horizontal="left" indent="1"/>
    </xf>
    <xf numFmtId="0" fontId="40" fillId="0" borderId="0" xfId="0" applyFont="1"/>
    <xf numFmtId="0" fontId="34" fillId="0" borderId="2" xfId="0" applyFont="1" applyBorder="1"/>
    <xf numFmtId="0" fontId="40" fillId="0" borderId="1" xfId="0" applyFont="1" applyBorder="1"/>
    <xf numFmtId="0" fontId="40" fillId="0" borderId="3" xfId="0" applyFont="1" applyBorder="1"/>
    <xf numFmtId="0" fontId="44" fillId="8" borderId="4" xfId="0" applyFont="1" applyFill="1" applyBorder="1"/>
    <xf numFmtId="170" fontId="43" fillId="8" borderId="4" xfId="0" applyNumberFormat="1" applyFont="1" applyFill="1" applyBorder="1" applyAlignment="1">
      <alignment horizontal="center"/>
    </xf>
    <xf numFmtId="164" fontId="11" fillId="0" borderId="0" xfId="0" applyNumberFormat="1" applyFont="1"/>
    <xf numFmtId="0" fontId="11" fillId="0" borderId="0" xfId="0" applyFont="1" applyAlignment="1">
      <alignment horizontal="left"/>
    </xf>
    <xf numFmtId="164" fontId="11" fillId="0" borderId="3" xfId="0" applyNumberFormat="1" applyFont="1" applyBorder="1"/>
    <xf numFmtId="0" fontId="26" fillId="0" borderId="0" xfId="0" applyFont="1" applyAlignment="1">
      <alignment horizontal="left"/>
    </xf>
    <xf numFmtId="0" fontId="26" fillId="0" borderId="2" xfId="0" applyFont="1" applyBorder="1" applyAlignment="1">
      <alignment horizontal="left"/>
    </xf>
    <xf numFmtId="164" fontId="26" fillId="0" borderId="3" xfId="0" applyNumberFormat="1" applyFont="1" applyBorder="1"/>
    <xf numFmtId="172" fontId="27" fillId="0" borderId="0" xfId="0" applyNumberFormat="1" applyFont="1"/>
    <xf numFmtId="172" fontId="36" fillId="0" borderId="0" xfId="0" applyNumberFormat="1" applyFont="1"/>
    <xf numFmtId="172" fontId="14" fillId="0" borderId="0" xfId="0" applyNumberFormat="1" applyFont="1"/>
    <xf numFmtId="172" fontId="26" fillId="0" borderId="2" xfId="0" applyNumberFormat="1" applyFont="1" applyBorder="1"/>
    <xf numFmtId="0" fontId="38" fillId="8" borderId="4" xfId="0" applyFont="1" applyFill="1" applyBorder="1"/>
    <xf numFmtId="0" fontId="40" fillId="0" borderId="2" xfId="0" applyFont="1" applyBorder="1"/>
    <xf numFmtId="0" fontId="10" fillId="0" borderId="0" xfId="0" applyFont="1"/>
    <xf numFmtId="0" fontId="10" fillId="0" borderId="0" xfId="0" applyFont="1" applyAlignment="1">
      <alignment horizontal="left" indent="1"/>
    </xf>
    <xf numFmtId="0" fontId="10" fillId="0" borderId="3" xfId="0" applyFont="1" applyBorder="1" applyAlignment="1">
      <alignment horizontal="left" indent="1"/>
    </xf>
    <xf numFmtId="0" fontId="10" fillId="11" borderId="0" xfId="0" applyFont="1" applyFill="1"/>
    <xf numFmtId="0" fontId="10" fillId="11" borderId="0" xfId="0" applyFont="1" applyFill="1" applyAlignment="1">
      <alignment horizontal="left" indent="1"/>
    </xf>
    <xf numFmtId="0" fontId="10" fillId="11" borderId="0" xfId="0" applyFont="1" applyFill="1" applyAlignment="1">
      <alignment horizontal="left"/>
    </xf>
    <xf numFmtId="164" fontId="27" fillId="11" borderId="0" xfId="0" applyNumberFormat="1" applyFont="1" applyFill="1"/>
    <xf numFmtId="164" fontId="35" fillId="0" borderId="0" xfId="0" applyNumberFormat="1" applyFont="1" applyAlignment="1">
      <alignment horizontal="right"/>
    </xf>
    <xf numFmtId="164" fontId="35" fillId="0" borderId="3" xfId="0" applyNumberFormat="1" applyFont="1" applyBorder="1" applyAlignment="1">
      <alignment horizontal="right"/>
    </xf>
    <xf numFmtId="0" fontId="10" fillId="0" borderId="0" xfId="0" applyFont="1" applyAlignment="1">
      <alignment horizontal="right"/>
    </xf>
    <xf numFmtId="173" fontId="35" fillId="0" borderId="0" xfId="0" applyNumberFormat="1" applyFont="1" applyAlignment="1">
      <alignment horizontal="right"/>
    </xf>
    <xf numFmtId="43" fontId="35" fillId="0" borderId="0" xfId="0" applyNumberFormat="1" applyFont="1" applyAlignment="1">
      <alignment horizontal="right"/>
    </xf>
    <xf numFmtId="164" fontId="35" fillId="11" borderId="0" xfId="0" applyNumberFormat="1" applyFont="1" applyFill="1" applyAlignment="1">
      <alignment horizontal="right"/>
    </xf>
    <xf numFmtId="164" fontId="36" fillId="11" borderId="0" xfId="0" applyNumberFormat="1" applyFont="1" applyFill="1" applyAlignment="1">
      <alignment horizontal="right"/>
    </xf>
    <xf numFmtId="165" fontId="27" fillId="11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right"/>
    </xf>
    <xf numFmtId="164" fontId="27" fillId="11" borderId="0" xfId="0" applyNumberFormat="1" applyFont="1" applyFill="1" applyAlignment="1">
      <alignment horizontal="right"/>
    </xf>
    <xf numFmtId="0" fontId="41" fillId="11" borderId="0" xfId="0" applyFont="1" applyFill="1" applyAlignment="1">
      <alignment horizontal="right"/>
    </xf>
    <xf numFmtId="164" fontId="39" fillId="0" borderId="0" xfId="0" applyNumberFormat="1" applyFont="1" applyAlignment="1">
      <alignment horizontal="right"/>
    </xf>
    <xf numFmtId="0" fontId="26" fillId="0" borderId="3" xfId="0" applyFont="1" applyBorder="1" applyAlignment="1">
      <alignment horizontal="left"/>
    </xf>
    <xf numFmtId="174" fontId="37" fillId="8" borderId="4" xfId="0" applyNumberFormat="1" applyFont="1" applyFill="1" applyBorder="1"/>
    <xf numFmtId="164" fontId="40" fillId="0" borderId="0" xfId="0" applyNumberFormat="1" applyFont="1"/>
    <xf numFmtId="0" fontId="10" fillId="0" borderId="3" xfId="0" applyFont="1" applyBorder="1"/>
    <xf numFmtId="0" fontId="40" fillId="0" borderId="1" xfId="0" applyFont="1" applyBorder="1" applyAlignment="1">
      <alignment horizontal="left"/>
    </xf>
    <xf numFmtId="9" fontId="27" fillId="11" borderId="0" xfId="2" applyFont="1" applyFill="1" applyAlignment="1">
      <alignment horizontal="right"/>
    </xf>
    <xf numFmtId="164" fontId="27" fillId="11" borderId="0" xfId="0" applyNumberFormat="1" applyFont="1" applyFill="1" applyAlignment="1">
      <alignment horizontal="left"/>
    </xf>
    <xf numFmtId="0" fontId="9" fillId="11" borderId="0" xfId="0" applyFont="1" applyFill="1"/>
    <xf numFmtId="164" fontId="34" fillId="0" borderId="2" xfId="0" applyNumberFormat="1" applyFont="1" applyBorder="1"/>
    <xf numFmtId="164" fontId="26" fillId="0" borderId="3" xfId="0" applyNumberFormat="1" applyFont="1" applyBorder="1" applyAlignment="1">
      <alignment horizontal="left"/>
    </xf>
    <xf numFmtId="164" fontId="34" fillId="0" borderId="0" xfId="0" applyNumberFormat="1" applyFont="1"/>
    <xf numFmtId="168" fontId="40" fillId="0" borderId="3" xfId="1" applyNumberFormat="1" applyFont="1" applyBorder="1"/>
    <xf numFmtId="168" fontId="40" fillId="0" borderId="1" xfId="1" applyNumberFormat="1" applyFont="1" applyBorder="1"/>
    <xf numFmtId="168" fontId="40" fillId="0" borderId="2" xfId="1" applyNumberFormat="1" applyFont="1" applyBorder="1"/>
    <xf numFmtId="168" fontId="26" fillId="0" borderId="2" xfId="1" applyNumberFormat="1" applyFont="1" applyBorder="1"/>
    <xf numFmtId="168" fontId="27" fillId="11" borderId="0" xfId="1" applyNumberFormat="1" applyFont="1" applyFill="1" applyAlignment="1">
      <alignment horizontal="right"/>
    </xf>
    <xf numFmtId="168" fontId="34" fillId="0" borderId="0" xfId="1" applyNumberFormat="1" applyFont="1"/>
    <xf numFmtId="164" fontId="10" fillId="0" borderId="0" xfId="0" applyNumberFormat="1" applyFont="1" applyAlignment="1">
      <alignment horizontal="left" indent="1"/>
    </xf>
    <xf numFmtId="9" fontId="11" fillId="0" borderId="0" xfId="0" applyNumberFormat="1" applyFont="1"/>
    <xf numFmtId="9" fontId="25" fillId="0" borderId="0" xfId="0" applyNumberFormat="1" applyFont="1"/>
    <xf numFmtId="8" fontId="14" fillId="0" borderId="0" xfId="0" applyNumberFormat="1" applyFont="1"/>
    <xf numFmtId="9" fontId="14" fillId="0" borderId="0" xfId="0" applyNumberFormat="1" applyFont="1"/>
    <xf numFmtId="9" fontId="8" fillId="0" borderId="2" xfId="2" applyFont="1" applyBorder="1" applyAlignment="1">
      <alignment horizontal="left" indent="1"/>
    </xf>
    <xf numFmtId="0" fontId="35" fillId="10" borderId="2" xfId="0" applyFont="1" applyFill="1" applyBorder="1" applyAlignment="1">
      <alignment horizontal="center"/>
    </xf>
    <xf numFmtId="172" fontId="27" fillId="0" borderId="2" xfId="0" applyNumberFormat="1" applyFont="1" applyBorder="1"/>
    <xf numFmtId="0" fontId="45" fillId="10" borderId="2" xfId="0" applyFont="1" applyFill="1" applyBorder="1" applyAlignment="1">
      <alignment horizontal="center"/>
    </xf>
    <xf numFmtId="172" fontId="31" fillId="0" borderId="2" xfId="0" applyNumberFormat="1" applyFont="1" applyBorder="1"/>
    <xf numFmtId="9" fontId="26" fillId="0" borderId="2" xfId="2" applyFont="1" applyBorder="1" applyAlignment="1">
      <alignment horizontal="left"/>
    </xf>
    <xf numFmtId="0" fontId="46" fillId="0" borderId="0" xfId="0" applyFont="1"/>
    <xf numFmtId="0" fontId="47" fillId="0" borderId="0" xfId="0" applyFont="1"/>
    <xf numFmtId="0" fontId="0" fillId="0" borderId="1" xfId="0" applyBorder="1"/>
    <xf numFmtId="0" fontId="48" fillId="0" borderId="1" xfId="0" applyFont="1" applyBorder="1"/>
    <xf numFmtId="0" fontId="49" fillId="0" borderId="1" xfId="0" applyFont="1" applyBorder="1"/>
    <xf numFmtId="0" fontId="30" fillId="12" borderId="0" xfId="0" applyFont="1" applyFill="1"/>
    <xf numFmtId="0" fontId="47" fillId="0" borderId="2" xfId="0" applyFont="1" applyBorder="1"/>
    <xf numFmtId="175" fontId="47" fillId="0" borderId="2" xfId="0" applyNumberFormat="1" applyFont="1" applyBorder="1"/>
    <xf numFmtId="164" fontId="11" fillId="0" borderId="3" xfId="0" applyNumberFormat="1" applyFont="1" applyBorder="1" applyAlignment="1">
      <alignment horizontal="left" indent="1"/>
    </xf>
    <xf numFmtId="164" fontId="2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horizontal="left" indent="1"/>
    </xf>
    <xf numFmtId="164" fontId="26" fillId="0" borderId="2" xfId="0" applyNumberFormat="1" applyFont="1" applyBorder="1" applyAlignment="1">
      <alignment horizontal="left"/>
    </xf>
    <xf numFmtId="0" fontId="8" fillId="0" borderId="0" xfId="0" applyFont="1"/>
    <xf numFmtId="0" fontId="8" fillId="0" borderId="3" xfId="0" applyFont="1" applyBorder="1"/>
    <xf numFmtId="9" fontId="51" fillId="0" borderId="0" xfId="0" applyNumberFormat="1" applyFont="1"/>
    <xf numFmtId="8" fontId="51" fillId="0" borderId="0" xfId="0" applyNumberFormat="1" applyFont="1" applyAlignment="1">
      <alignment horizontal="right"/>
    </xf>
    <xf numFmtId="9" fontId="52" fillId="7" borderId="0" xfId="0" applyNumberFormat="1" applyFont="1" applyFill="1"/>
    <xf numFmtId="0" fontId="51" fillId="0" borderId="0" xfId="0" applyFont="1" applyAlignment="1">
      <alignment horizontal="right"/>
    </xf>
    <xf numFmtId="9" fontId="51" fillId="0" borderId="0" xfId="0" applyNumberFormat="1" applyFont="1" applyAlignment="1">
      <alignment horizontal="right"/>
    </xf>
    <xf numFmtId="43" fontId="53" fillId="13" borderId="5" xfId="0" applyNumberFormat="1" applyFont="1" applyFill="1" applyBorder="1" applyAlignment="1">
      <alignment horizontal="center"/>
    </xf>
    <xf numFmtId="9" fontId="53" fillId="13" borderId="5" xfId="0" applyNumberFormat="1" applyFont="1" applyFill="1" applyBorder="1" applyAlignment="1">
      <alignment horizontal="center"/>
    </xf>
    <xf numFmtId="9" fontId="52" fillId="7" borderId="5" xfId="0" applyNumberFormat="1" applyFont="1" applyFill="1" applyBorder="1" applyAlignment="1">
      <alignment horizontal="center"/>
    </xf>
    <xf numFmtId="176" fontId="53" fillId="13" borderId="5" xfId="0" applyNumberFormat="1" applyFont="1" applyFill="1" applyBorder="1" applyAlignment="1">
      <alignment horizontal="center"/>
    </xf>
    <xf numFmtId="175" fontId="0" fillId="0" borderId="0" xfId="0" applyNumberFormat="1"/>
    <xf numFmtId="0" fontId="7" fillId="0" borderId="0" xfId="0" applyFont="1"/>
    <xf numFmtId="170" fontId="0" fillId="0" borderId="0" xfId="0" applyNumberFormat="1"/>
    <xf numFmtId="170" fontId="30" fillId="12" borderId="0" xfId="0" applyNumberFormat="1" applyFont="1" applyFill="1"/>
    <xf numFmtId="0" fontId="6" fillId="0" borderId="0" xfId="0" applyFont="1"/>
    <xf numFmtId="0" fontId="26" fillId="14" borderId="0" xfId="0" applyFont="1" applyFill="1"/>
    <xf numFmtId="0" fontId="5" fillId="14" borderId="0" xfId="0" applyFont="1" applyFill="1"/>
    <xf numFmtId="168" fontId="27" fillId="14" borderId="0" xfId="1" applyNumberFormat="1" applyFont="1" applyFill="1"/>
    <xf numFmtId="0" fontId="20" fillId="14" borderId="0" xfId="0" applyFont="1" applyFill="1" applyAlignment="1">
      <alignment horizontal="left" indent="1"/>
    </xf>
    <xf numFmtId="168" fontId="27" fillId="14" borderId="0" xfId="1" applyNumberFormat="1" applyFont="1" applyFill="1" applyBorder="1"/>
    <xf numFmtId="0" fontId="55" fillId="14" borderId="0" xfId="0" applyFont="1" applyFill="1" applyAlignment="1">
      <alignment horizontal="left" indent="1"/>
    </xf>
    <xf numFmtId="168" fontId="27" fillId="14" borderId="0" xfId="0" applyNumberFormat="1" applyFont="1" applyFill="1"/>
    <xf numFmtId="0" fontId="4" fillId="14" borderId="0" xfId="0" applyFont="1" applyFill="1"/>
    <xf numFmtId="43" fontId="0" fillId="0" borderId="0" xfId="1" applyFont="1"/>
    <xf numFmtId="168" fontId="0" fillId="0" borderId="0" xfId="1" applyNumberFormat="1" applyFont="1"/>
    <xf numFmtId="168" fontId="0" fillId="0" borderId="0" xfId="0" applyNumberFormat="1"/>
    <xf numFmtId="164" fontId="0" fillId="0" borderId="0" xfId="0" applyNumberFormat="1"/>
    <xf numFmtId="0" fontId="3" fillId="0" borderId="0" xfId="0" applyFont="1"/>
    <xf numFmtId="164" fontId="0" fillId="0" borderId="0" xfId="1" applyNumberFormat="1" applyFont="1"/>
    <xf numFmtId="164" fontId="0" fillId="15" borderId="0" xfId="1" applyNumberFormat="1" applyFont="1" applyFill="1"/>
    <xf numFmtId="164" fontId="0" fillId="4" borderId="0" xfId="1" applyNumberFormat="1" applyFont="1" applyFill="1"/>
    <xf numFmtId="0" fontId="54" fillId="12" borderId="0" xfId="0" applyFont="1" applyFill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3" xfId="0" applyFont="1" applyBorder="1" applyAlignment="1">
      <alignment horizontal="left" indent="1"/>
    </xf>
    <xf numFmtId="168" fontId="26" fillId="0" borderId="0" xfId="0" applyNumberFormat="1" applyFont="1"/>
    <xf numFmtId="168" fontId="3" fillId="0" borderId="0" xfId="1" applyNumberFormat="1" applyFont="1"/>
    <xf numFmtId="167" fontId="27" fillId="0" borderId="0" xfId="1" applyNumberFormat="1" applyFont="1" applyBorder="1"/>
    <xf numFmtId="168" fontId="26" fillId="0" borderId="2" xfId="0" applyNumberFormat="1" applyFont="1" applyBorder="1"/>
    <xf numFmtId="164" fontId="3" fillId="0" borderId="2" xfId="0" applyNumberFormat="1" applyFont="1" applyBorder="1"/>
    <xf numFmtId="9" fontId="3" fillId="0" borderId="0" xfId="0" applyNumberFormat="1" applyFont="1"/>
    <xf numFmtId="0" fontId="26" fillId="0" borderId="3" xfId="0" applyFont="1" applyBorder="1" applyAlignment="1">
      <alignment horizontal="center"/>
    </xf>
    <xf numFmtId="168" fontId="56" fillId="0" borderId="0" xfId="0" applyNumberFormat="1" applyFont="1"/>
    <xf numFmtId="168" fontId="0" fillId="0" borderId="6" xfId="0" applyNumberFormat="1" applyBorder="1"/>
    <xf numFmtId="168" fontId="56" fillId="0" borderId="6" xfId="0" applyNumberFormat="1" applyFont="1" applyBorder="1"/>
    <xf numFmtId="43" fontId="0" fillId="0" borderId="2" xfId="0" applyNumberFormat="1" applyBorder="1" applyAlignment="1">
      <alignment horizontal="center"/>
    </xf>
    <xf numFmtId="168" fontId="56" fillId="0" borderId="2" xfId="0" applyNumberFormat="1" applyFont="1" applyBorder="1" applyAlignment="1">
      <alignment horizontal="center"/>
    </xf>
    <xf numFmtId="168" fontId="0" fillId="4" borderId="0" xfId="1" applyNumberFormat="1" applyFont="1" applyFill="1"/>
    <xf numFmtId="168" fontId="0" fillId="15" borderId="0" xfId="1" applyNumberFormat="1" applyFont="1" applyFill="1"/>
    <xf numFmtId="43" fontId="0" fillId="4" borderId="0" xfId="1" applyFont="1" applyFill="1"/>
    <xf numFmtId="43" fontId="0" fillId="15" borderId="0" xfId="1" applyFont="1" applyFill="1"/>
    <xf numFmtId="0" fontId="54" fillId="7" borderId="0" xfId="0" applyFont="1" applyFill="1" applyAlignment="1">
      <alignment horizontal="center"/>
    </xf>
    <xf numFmtId="43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8" fontId="27" fillId="0" borderId="0" xfId="1" applyNumberFormat="1" applyFont="1" applyBorder="1"/>
    <xf numFmtId="0" fontId="31" fillId="0" borderId="1" xfId="0" applyFont="1" applyBorder="1" applyAlignment="1">
      <alignment horizontal="center"/>
    </xf>
    <xf numFmtId="0" fontId="31" fillId="0" borderId="1" xfId="0" applyFont="1" applyBorder="1"/>
    <xf numFmtId="168" fontId="31" fillId="0" borderId="1" xfId="1" applyNumberFormat="1" applyFont="1" applyBorder="1"/>
    <xf numFmtId="168" fontId="0" fillId="0" borderId="2" xfId="0" applyNumberFormat="1" applyBorder="1" applyAlignment="1">
      <alignment horizontal="center"/>
    </xf>
    <xf numFmtId="0" fontId="1" fillId="7" borderId="0" xfId="0" applyFont="1" applyFill="1"/>
    <xf numFmtId="0" fontId="47" fillId="0" borderId="8" xfId="0" applyFont="1" applyBorder="1"/>
    <xf numFmtId="0" fontId="0" fillId="0" borderId="3" xfId="0" applyBorder="1"/>
    <xf numFmtId="164" fontId="59" fillId="0" borderId="2" xfId="0" applyNumberFormat="1" applyFont="1" applyBorder="1"/>
    <xf numFmtId="164" fontId="59" fillId="0" borderId="0" xfId="0" applyNumberFormat="1" applyFont="1"/>
    <xf numFmtId="0" fontId="6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59" fillId="0" borderId="2" xfId="0" applyNumberFormat="1" applyFont="1" applyBorder="1" applyAlignment="1">
      <alignment horizontal="center"/>
    </xf>
    <xf numFmtId="170" fontId="30" fillId="12" borderId="0" xfId="0" applyNumberFormat="1" applyFont="1" applyFill="1" applyAlignment="1">
      <alignment horizontal="center"/>
    </xf>
    <xf numFmtId="0" fontId="26" fillId="14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20" fillId="14" borderId="0" xfId="0" applyFont="1" applyFill="1" applyAlignment="1">
      <alignment horizontal="center"/>
    </xf>
    <xf numFmtId="43" fontId="56" fillId="0" borderId="0" xfId="1" applyFont="1" applyBorder="1" applyAlignment="1">
      <alignment horizontal="right"/>
    </xf>
    <xf numFmtId="168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26" fillId="5" borderId="2" xfId="1" applyNumberFormat="1" applyFont="1" applyFill="1" applyBorder="1" applyAlignment="1">
      <alignment horizontal="right"/>
    </xf>
    <xf numFmtId="9" fontId="27" fillId="7" borderId="0" xfId="2" applyFont="1" applyFill="1" applyBorder="1" applyAlignment="1">
      <alignment horizontal="right"/>
    </xf>
    <xf numFmtId="164" fontId="59" fillId="0" borderId="2" xfId="0" applyNumberFormat="1" applyFont="1" applyBorder="1" applyAlignment="1">
      <alignment horizontal="right"/>
    </xf>
    <xf numFmtId="0" fontId="26" fillId="13" borderId="2" xfId="0" applyFont="1" applyFill="1" applyBorder="1"/>
    <xf numFmtId="0" fontId="26" fillId="13" borderId="2" xfId="0" applyFont="1" applyFill="1" applyBorder="1" applyAlignment="1">
      <alignment horizontal="center"/>
    </xf>
    <xf numFmtId="164" fontId="26" fillId="13" borderId="2" xfId="0" applyNumberFormat="1" applyFont="1" applyFill="1" applyBorder="1"/>
    <xf numFmtId="0" fontId="23" fillId="2" borderId="0" xfId="0" applyFont="1" applyFill="1" applyAlignment="1">
      <alignment horizontal="center"/>
    </xf>
    <xf numFmtId="0" fontId="30" fillId="6" borderId="0" xfId="0" applyFont="1" applyFill="1" applyAlignment="1">
      <alignment horizontal="center"/>
    </xf>
    <xf numFmtId="0" fontId="37" fillId="9" borderId="0" xfId="0" applyFont="1" applyFill="1" applyAlignment="1">
      <alignment horizontal="center"/>
    </xf>
    <xf numFmtId="0" fontId="50" fillId="6" borderId="0" xfId="0" applyFont="1" applyFill="1" applyAlignment="1">
      <alignment horizontal="center"/>
    </xf>
    <xf numFmtId="0" fontId="54" fillId="6" borderId="0" xfId="0" applyFont="1" applyFill="1" applyAlignment="1">
      <alignment horizontal="center"/>
    </xf>
    <xf numFmtId="0" fontId="47" fillId="0" borderId="3" xfId="0" applyFont="1" applyBorder="1" applyAlignment="1">
      <alignment horizontal="center"/>
    </xf>
    <xf numFmtId="0" fontId="47" fillId="0" borderId="7" xfId="0" applyFont="1" applyBorder="1" applyAlignment="1">
      <alignment horizontal="right" vertical="center" textRotation="90"/>
    </xf>
    <xf numFmtId="0" fontId="57" fillId="0" borderId="3" xfId="0" applyFont="1" applyBorder="1" applyAlignment="1">
      <alignment horizontal="left"/>
    </xf>
    <xf numFmtId="0" fontId="58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293D68"/>
      <color rgb="FF0000FF"/>
      <color rgb="FF305496"/>
      <color rgb="FFFFFF99"/>
      <color rgb="FF0000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Income Statement'!$B$46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293D68"/>
            </a:solidFill>
            <a:ln>
              <a:noFill/>
            </a:ln>
            <a:effectLst/>
          </c:spPr>
          <c:invertIfNegative val="0"/>
          <c:cat>
            <c:numRef>
              <c:f>'1. Income Statement'!$D$3:$J$3</c:f>
              <c:numCache>
                <c:formatCode>yyyy\E</c:formatCode>
                <c:ptCount val="7"/>
                <c:pt idx="0">
                  <c:v>45658</c:v>
                </c:pt>
                <c:pt idx="1">
                  <c:v>46023</c:v>
                </c:pt>
                <c:pt idx="2">
                  <c:v>46388</c:v>
                </c:pt>
                <c:pt idx="3">
                  <c:v>46753</c:v>
                </c:pt>
                <c:pt idx="4">
                  <c:v>47119</c:v>
                </c:pt>
                <c:pt idx="5">
                  <c:v>47484</c:v>
                </c:pt>
                <c:pt idx="6">
                  <c:v>47849</c:v>
                </c:pt>
              </c:numCache>
            </c:numRef>
          </c:cat>
          <c:val>
            <c:numRef>
              <c:f>'1. Income Statement'!$D$46:$J$46</c:f>
              <c:numCache>
                <c:formatCode>_(* #,##0_);_(* \(#,##0\);_(* "-"??_);_(@_)</c:formatCode>
                <c:ptCount val="7"/>
                <c:pt idx="0">
                  <c:v>2043069696</c:v>
                </c:pt>
                <c:pt idx="1">
                  <c:v>2709603072</c:v>
                </c:pt>
                <c:pt idx="2">
                  <c:v>3260217600</c:v>
                </c:pt>
                <c:pt idx="3">
                  <c:v>4342609843.1999998</c:v>
                </c:pt>
                <c:pt idx="4">
                  <c:v>5777105587.1999998</c:v>
                </c:pt>
                <c:pt idx="5">
                  <c:v>7707154406.3999996</c:v>
                </c:pt>
                <c:pt idx="6">
                  <c:v>10263165004.799999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07-0B45-88F4-ED0267082B3C}"/>
            </c:ext>
          </c:extLst>
        </c:ser>
        <c:ser>
          <c:idx val="1"/>
          <c:order val="1"/>
          <c:tx>
            <c:strRef>
              <c:f>'1. Income Statement'!$B$62</c:f>
              <c:strCache>
                <c:ptCount val="1"/>
                <c:pt idx="0">
                  <c:v>Total Costs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'1. Income Statement'!$D$3:$J$3</c:f>
              <c:numCache>
                <c:formatCode>yyyy\E</c:formatCode>
                <c:ptCount val="7"/>
                <c:pt idx="0">
                  <c:v>45658</c:v>
                </c:pt>
                <c:pt idx="1">
                  <c:v>46023</c:v>
                </c:pt>
                <c:pt idx="2">
                  <c:v>46388</c:v>
                </c:pt>
                <c:pt idx="3">
                  <c:v>46753</c:v>
                </c:pt>
                <c:pt idx="4">
                  <c:v>47119</c:v>
                </c:pt>
                <c:pt idx="5">
                  <c:v>47484</c:v>
                </c:pt>
                <c:pt idx="6">
                  <c:v>47849</c:v>
                </c:pt>
              </c:numCache>
            </c:numRef>
          </c:cat>
          <c:val>
            <c:numRef>
              <c:f>'1. Income Statement'!$D$62:$J$62</c:f>
              <c:numCache>
                <c:formatCode>_(* #,##0_);_(* \(#,##0\);_(* "-"??_);_(@_)</c:formatCode>
                <c:ptCount val="7"/>
                <c:pt idx="0">
                  <c:v>2064654333.3333335</c:v>
                </c:pt>
                <c:pt idx="1">
                  <c:v>2586781543.3333335</c:v>
                </c:pt>
                <c:pt idx="2">
                  <c:v>2994909185.8333335</c:v>
                </c:pt>
                <c:pt idx="3">
                  <c:v>3811840014.5992332</c:v>
                </c:pt>
                <c:pt idx="4">
                  <c:v>4873823697.4376202</c:v>
                </c:pt>
                <c:pt idx="5">
                  <c:v>6276894711.1767864</c:v>
                </c:pt>
                <c:pt idx="6">
                  <c:v>8099717032.9019146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07-0B45-88F4-ED0267082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-10"/>
        <c:axId val="1273369040"/>
        <c:axId val="1272187392"/>
      </c:barChart>
      <c:dateAx>
        <c:axId val="1273369040"/>
        <c:scaling>
          <c:orientation val="minMax"/>
        </c:scaling>
        <c:delete val="0"/>
        <c:axPos val="b"/>
        <c:numFmt formatCode="yyyy\E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187392"/>
        <c:crosses val="autoZero"/>
        <c:auto val="1"/>
        <c:lblOffset val="100"/>
        <c:baseTimeUnit val="years"/>
      </c:dateAx>
      <c:valAx>
        <c:axId val="127218739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36904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'7. Scenario Analysis'!$B$4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293D68"/>
            </a:solidFill>
            <a:ln>
              <a:noFill/>
            </a:ln>
            <a:effectLst/>
          </c:spPr>
          <c:invertIfNegative val="0"/>
          <c:cat>
            <c:numRef>
              <c:f>'7. Scenario Analysis'!$D$3:$J$3</c:f>
              <c:numCache>
                <c:formatCode>yyyy\E</c:formatCode>
                <c:ptCount val="7"/>
                <c:pt idx="0">
                  <c:v>45658</c:v>
                </c:pt>
                <c:pt idx="1">
                  <c:v>46023</c:v>
                </c:pt>
                <c:pt idx="2">
                  <c:v>46388</c:v>
                </c:pt>
                <c:pt idx="3">
                  <c:v>46753</c:v>
                </c:pt>
                <c:pt idx="4">
                  <c:v>47119</c:v>
                </c:pt>
                <c:pt idx="5">
                  <c:v>47484</c:v>
                </c:pt>
                <c:pt idx="6">
                  <c:v>47849</c:v>
                </c:pt>
              </c:numCache>
            </c:numRef>
          </c:cat>
          <c:val>
            <c:numRef>
              <c:f>'7. Scenario Analysis'!$D$4:$J$4</c:f>
              <c:numCache>
                <c:formatCode>_-* #,##0_-;\-* #,##0_-;_-* "-"??_-;_-@_-</c:formatCode>
                <c:ptCount val="7"/>
                <c:pt idx="0">
                  <c:v>2043069696</c:v>
                </c:pt>
                <c:pt idx="1">
                  <c:v>2709603072</c:v>
                </c:pt>
                <c:pt idx="2">
                  <c:v>3260217600</c:v>
                </c:pt>
                <c:pt idx="3">
                  <c:v>4342609843.1999998</c:v>
                </c:pt>
                <c:pt idx="4">
                  <c:v>5777105587.1999998</c:v>
                </c:pt>
                <c:pt idx="5">
                  <c:v>7707154406.3999996</c:v>
                </c:pt>
                <c:pt idx="6">
                  <c:v>10263165004.799999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95-4F59-B4F7-8169741FB62E}"/>
            </c:ext>
          </c:extLst>
        </c:ser>
        <c:ser>
          <c:idx val="1"/>
          <c:order val="1"/>
          <c:tx>
            <c:strRef>
              <c:f>'7. Scenario Analysis'!$B$5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'7. Scenario Analysis'!$D$3:$J$3</c:f>
              <c:numCache>
                <c:formatCode>yyyy\E</c:formatCode>
                <c:ptCount val="7"/>
                <c:pt idx="0">
                  <c:v>45658</c:v>
                </c:pt>
                <c:pt idx="1">
                  <c:v>46023</c:v>
                </c:pt>
                <c:pt idx="2">
                  <c:v>46388</c:v>
                </c:pt>
                <c:pt idx="3">
                  <c:v>46753</c:v>
                </c:pt>
                <c:pt idx="4">
                  <c:v>47119</c:v>
                </c:pt>
                <c:pt idx="5">
                  <c:v>47484</c:v>
                </c:pt>
                <c:pt idx="6">
                  <c:v>47849</c:v>
                </c:pt>
              </c:numCache>
            </c:numRef>
          </c:cat>
          <c:val>
            <c:numRef>
              <c:f>'7. Scenario Analysis'!$D$5:$J$5</c:f>
              <c:numCache>
                <c:formatCode>_(* #,##0_);_(* \(#,##0\);_(* "-"??_);_(@_)</c:formatCode>
                <c:ptCount val="7"/>
                <c:pt idx="0">
                  <c:v>2064654333.3333335</c:v>
                </c:pt>
                <c:pt idx="1">
                  <c:v>2586781543.3333335</c:v>
                </c:pt>
                <c:pt idx="2">
                  <c:v>2994909185.8333335</c:v>
                </c:pt>
                <c:pt idx="3">
                  <c:v>3811840014.5992332</c:v>
                </c:pt>
                <c:pt idx="4">
                  <c:v>4873823697.4376202</c:v>
                </c:pt>
                <c:pt idx="5">
                  <c:v>6276894711.1767864</c:v>
                </c:pt>
                <c:pt idx="6">
                  <c:v>8099717032.9019146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95-4F59-B4F7-8169741FB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-10"/>
        <c:axId val="1774732559"/>
        <c:axId val="1774731119"/>
      </c:barChart>
      <c:dateAx>
        <c:axId val="1774732559"/>
        <c:scaling>
          <c:orientation val="minMax"/>
        </c:scaling>
        <c:delete val="0"/>
        <c:axPos val="b"/>
        <c:numFmt formatCode="yyyy\E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731119"/>
        <c:crosses val="autoZero"/>
        <c:auto val="1"/>
        <c:lblOffset val="100"/>
        <c:baseTimeUnit val="years"/>
      </c:dateAx>
      <c:valAx>
        <c:axId val="1774731119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73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371165</xdr:colOff>
      <xdr:row>68</xdr:row>
      <xdr:rowOff>91785</xdr:rowOff>
    </xdr:from>
    <xdr:to>
      <xdr:col>7</xdr:col>
      <xdr:colOff>133157</xdr:colOff>
      <xdr:row>83</xdr:row>
      <xdr:rowOff>15703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2153B3-DBC6-243B-6BA7-8A0021CB2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652318</xdr:colOff>
      <xdr:row>46</xdr:row>
      <xdr:rowOff>100446</xdr:rowOff>
    </xdr:from>
    <xdr:to>
      <xdr:col>5</xdr:col>
      <xdr:colOff>1183410</xdr:colOff>
      <xdr:row>61</xdr:row>
      <xdr:rowOff>63502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9FC21-F501-E37A-648E-3945BB110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F0A7-6C3E-5B41-B94B-78E46A3C64F1}">
  <dimension ref="A2:J73"/>
  <sheetViews>
    <sheetView showGridLines="0" zoomScale="110" zoomScaleNormal="110" workbookViewId="0">
      <pane ySplit="3" topLeftCell="A40" activePane="bottomLeft" state="frozenSplit"/>
      <selection activeCell="D60" sqref="D60"/>
      <selection pane="bottomLeft" activeCell="G92" sqref="G92"/>
    </sheetView>
  </sheetViews>
  <sheetFormatPr defaultColWidth="10.83203125" defaultRowHeight="14.5" x14ac:dyDescent="0.35"/>
  <cols>
    <col min="1" max="1" width="5.5" style="4" customWidth="1"/>
    <col min="2" max="2" width="29.75" style="4" bestFit="1" customWidth="1"/>
    <col min="3" max="3" width="7.08203125" style="18" bestFit="1" customWidth="1"/>
    <col min="4" max="6" width="12.58203125" style="4" bestFit="1" customWidth="1"/>
    <col min="7" max="9" width="13.4140625" style="4" bestFit="1" customWidth="1"/>
    <col min="10" max="10" width="13.58203125" style="4" bestFit="1" customWidth="1"/>
    <col min="11" max="16384" width="10.83203125" style="4"/>
  </cols>
  <sheetData>
    <row r="2" spans="1:10" ht="16" customHeight="1" x14ac:dyDescent="0.35">
      <c r="A2" s="4" t="s">
        <v>21</v>
      </c>
      <c r="B2" s="239" t="s">
        <v>55</v>
      </c>
      <c r="C2" s="239"/>
      <c r="D2" s="239"/>
      <c r="E2" s="239"/>
      <c r="F2" s="239"/>
      <c r="G2" s="239"/>
      <c r="H2" s="239"/>
      <c r="I2" s="239"/>
      <c r="J2" s="239"/>
    </row>
    <row r="3" spans="1:10" x14ac:dyDescent="0.35">
      <c r="B3" s="15" t="s">
        <v>1</v>
      </c>
      <c r="C3" s="16" t="s">
        <v>24</v>
      </c>
      <c r="D3" s="60">
        <v>45658</v>
      </c>
      <c r="E3" s="60">
        <f>EDATE(D3,12)</f>
        <v>46023</v>
      </c>
      <c r="F3" s="60">
        <f t="shared" ref="F3:J3" si="0">EDATE(E3,12)</f>
        <v>46388</v>
      </c>
      <c r="G3" s="60">
        <f t="shared" si="0"/>
        <v>46753</v>
      </c>
      <c r="H3" s="60">
        <f t="shared" si="0"/>
        <v>47119</v>
      </c>
      <c r="I3" s="60">
        <f t="shared" si="0"/>
        <v>47484</v>
      </c>
      <c r="J3" s="60">
        <f t="shared" si="0"/>
        <v>47849</v>
      </c>
    </row>
    <row r="4" spans="1:10" x14ac:dyDescent="0.35">
      <c r="B4" s="5" t="s">
        <v>4</v>
      </c>
      <c r="C4" s="17"/>
      <c r="D4" s="5"/>
      <c r="E4" s="5"/>
      <c r="F4" s="5"/>
      <c r="G4" s="5"/>
      <c r="H4" s="5"/>
      <c r="I4" s="5"/>
      <c r="J4" s="5"/>
    </row>
    <row r="5" spans="1:10" x14ac:dyDescent="0.35">
      <c r="B5" s="8" t="s">
        <v>28</v>
      </c>
    </row>
    <row r="6" spans="1:10" x14ac:dyDescent="0.35">
      <c r="B6" s="47" t="s">
        <v>29</v>
      </c>
      <c r="C6" s="25" t="s">
        <v>23</v>
      </c>
      <c r="D6" s="29">
        <f>0.2*D9</f>
        <v>282000</v>
      </c>
      <c r="E6" s="29">
        <f t="shared" ref="E6:J6" si="1">0.2*E9</f>
        <v>374000</v>
      </c>
      <c r="F6" s="29">
        <f t="shared" si="1"/>
        <v>450000</v>
      </c>
      <c r="G6" s="29">
        <f t="shared" si="1"/>
        <v>599400</v>
      </c>
      <c r="H6" s="29">
        <f t="shared" si="1"/>
        <v>797400</v>
      </c>
      <c r="I6" s="29">
        <f t="shared" si="1"/>
        <v>1063800</v>
      </c>
      <c r="J6" s="29">
        <f t="shared" si="1"/>
        <v>1416600</v>
      </c>
    </row>
    <row r="7" spans="1:10" x14ac:dyDescent="0.35">
      <c r="B7" s="48" t="s">
        <v>30</v>
      </c>
      <c r="C7" s="18" t="s">
        <v>23</v>
      </c>
      <c r="D7" s="32">
        <f>0.3*D9</f>
        <v>423000</v>
      </c>
      <c r="E7" s="32">
        <f t="shared" ref="E7:J7" si="2">0.3*E9</f>
        <v>561000</v>
      </c>
      <c r="F7" s="32">
        <f t="shared" si="2"/>
        <v>675000</v>
      </c>
      <c r="G7" s="32">
        <f t="shared" si="2"/>
        <v>899100</v>
      </c>
      <c r="H7" s="32">
        <f t="shared" si="2"/>
        <v>1196100</v>
      </c>
      <c r="I7" s="32">
        <f t="shared" si="2"/>
        <v>1595700</v>
      </c>
      <c r="J7" s="32">
        <f t="shared" si="2"/>
        <v>2124900</v>
      </c>
    </row>
    <row r="8" spans="1:10" x14ac:dyDescent="0.35">
      <c r="B8" s="48" t="s">
        <v>31</v>
      </c>
      <c r="C8" s="18" t="s">
        <v>23</v>
      </c>
      <c r="D8" s="32">
        <f>0.5*D9</f>
        <v>705000</v>
      </c>
      <c r="E8" s="32">
        <f t="shared" ref="E8:J8" si="3">0.5*E9</f>
        <v>935000</v>
      </c>
      <c r="F8" s="32">
        <f t="shared" si="3"/>
        <v>1125000</v>
      </c>
      <c r="G8" s="32">
        <f t="shared" si="3"/>
        <v>1498500</v>
      </c>
      <c r="H8" s="32">
        <f t="shared" si="3"/>
        <v>1993500</v>
      </c>
      <c r="I8" s="32">
        <f t="shared" si="3"/>
        <v>2659500</v>
      </c>
      <c r="J8" s="32">
        <f t="shared" si="3"/>
        <v>3541500</v>
      </c>
    </row>
    <row r="9" spans="1:10" s="8" customFormat="1" x14ac:dyDescent="0.35">
      <c r="B9" s="7" t="s">
        <v>32</v>
      </c>
      <c r="C9" s="19" t="s">
        <v>23</v>
      </c>
      <c r="D9" s="33">
        <v>1410000</v>
      </c>
      <c r="E9" s="33">
        <v>1870000</v>
      </c>
      <c r="F9" s="33">
        <v>2250000</v>
      </c>
      <c r="G9" s="33">
        <v>2997000</v>
      </c>
      <c r="H9" s="33">
        <v>3987000</v>
      </c>
      <c r="I9" s="33">
        <v>5319000</v>
      </c>
      <c r="J9" s="33">
        <v>7083000</v>
      </c>
    </row>
    <row r="10" spans="1:10" x14ac:dyDescent="0.35">
      <c r="B10" s="8" t="s">
        <v>28</v>
      </c>
      <c r="D10" s="34"/>
      <c r="E10" s="34"/>
      <c r="F10" s="34"/>
      <c r="G10" s="34"/>
      <c r="H10" s="34"/>
      <c r="I10" s="34"/>
      <c r="J10" s="34"/>
    </row>
    <row r="11" spans="1:10" x14ac:dyDescent="0.35">
      <c r="B11" s="6" t="str">
        <f>B6</f>
        <v>Mobility Innovation/Early Adopter</v>
      </c>
      <c r="C11" s="27" t="s">
        <v>23</v>
      </c>
      <c r="D11" s="29">
        <f>0.2*D14</f>
        <v>253800</v>
      </c>
      <c r="E11" s="29">
        <f t="shared" ref="E11:J11" si="4">0.2*E14</f>
        <v>336600</v>
      </c>
      <c r="F11" s="29">
        <f t="shared" si="4"/>
        <v>405000</v>
      </c>
      <c r="G11" s="29">
        <f t="shared" si="4"/>
        <v>539460</v>
      </c>
      <c r="H11" s="29">
        <f t="shared" si="4"/>
        <v>717660</v>
      </c>
      <c r="I11" s="29">
        <f t="shared" si="4"/>
        <v>957420</v>
      </c>
      <c r="J11" s="29">
        <f t="shared" si="4"/>
        <v>1274940</v>
      </c>
    </row>
    <row r="12" spans="1:10" x14ac:dyDescent="0.35">
      <c r="B12" s="46" t="str">
        <f>B7</f>
        <v>Micromobility Enthusiast</v>
      </c>
      <c r="C12" s="27" t="s">
        <v>23</v>
      </c>
      <c r="D12" s="29">
        <f>0.3*D14</f>
        <v>380700</v>
      </c>
      <c r="E12" s="29">
        <f t="shared" ref="E12:J12" si="5">0.3*E14</f>
        <v>504900</v>
      </c>
      <c r="F12" s="29">
        <f t="shared" si="5"/>
        <v>607500</v>
      </c>
      <c r="G12" s="29">
        <f t="shared" si="5"/>
        <v>809190</v>
      </c>
      <c r="H12" s="29">
        <f t="shared" si="5"/>
        <v>1076490</v>
      </c>
      <c r="I12" s="29">
        <f t="shared" si="5"/>
        <v>1436130</v>
      </c>
      <c r="J12" s="29">
        <f t="shared" si="5"/>
        <v>1912410</v>
      </c>
    </row>
    <row r="13" spans="1:10" x14ac:dyDescent="0.35">
      <c r="B13" s="49" t="str">
        <f>B8</f>
        <v>Cost Constrained</v>
      </c>
      <c r="C13" s="26" t="s">
        <v>23</v>
      </c>
      <c r="D13" s="30">
        <f>0.5*D14</f>
        <v>634500</v>
      </c>
      <c r="E13" s="30">
        <f t="shared" ref="E13:J13" si="6">0.5*E14</f>
        <v>841500</v>
      </c>
      <c r="F13" s="30">
        <f t="shared" si="6"/>
        <v>1012500</v>
      </c>
      <c r="G13" s="30">
        <f t="shared" si="6"/>
        <v>1348650</v>
      </c>
      <c r="H13" s="30">
        <f t="shared" si="6"/>
        <v>1794150</v>
      </c>
      <c r="I13" s="30">
        <f t="shared" si="6"/>
        <v>2393550</v>
      </c>
      <c r="J13" s="30">
        <f t="shared" si="6"/>
        <v>3187350</v>
      </c>
    </row>
    <row r="14" spans="1:10" x14ac:dyDescent="0.35">
      <c r="B14" s="24" t="s">
        <v>33</v>
      </c>
      <c r="C14" s="20"/>
      <c r="D14" s="28">
        <f>0.9*D9</f>
        <v>1269000</v>
      </c>
      <c r="E14" s="28">
        <f t="shared" ref="E14:J14" si="7">0.9*E9</f>
        <v>1683000</v>
      </c>
      <c r="F14" s="28">
        <f t="shared" si="7"/>
        <v>2025000</v>
      </c>
      <c r="G14" s="28">
        <f t="shared" si="7"/>
        <v>2697300</v>
      </c>
      <c r="H14" s="28">
        <f t="shared" si="7"/>
        <v>3588300</v>
      </c>
      <c r="I14" s="28">
        <f t="shared" si="7"/>
        <v>4787100</v>
      </c>
      <c r="J14" s="28">
        <f t="shared" si="7"/>
        <v>6374700</v>
      </c>
    </row>
    <row r="15" spans="1:10" x14ac:dyDescent="0.35">
      <c r="B15" s="8" t="str">
        <f>B10</f>
        <v>Customer Type</v>
      </c>
      <c r="D15" s="34"/>
      <c r="E15" s="34"/>
      <c r="F15" s="34"/>
      <c r="G15" s="34"/>
      <c r="H15" s="34"/>
      <c r="I15" s="34"/>
      <c r="J15" s="34"/>
    </row>
    <row r="16" spans="1:10" x14ac:dyDescent="0.35">
      <c r="B16" s="6" t="str">
        <f>B11</f>
        <v>Mobility Innovation/Early Adopter</v>
      </c>
      <c r="C16" s="18" t="str">
        <f>C17</f>
        <v>#</v>
      </c>
      <c r="D16" s="29">
        <f>0.2*D19</f>
        <v>5076</v>
      </c>
      <c r="E16" s="29">
        <f t="shared" ref="E16:J16" si="8">0.2*E19</f>
        <v>6732</v>
      </c>
      <c r="F16" s="29">
        <f t="shared" si="8"/>
        <v>8100</v>
      </c>
      <c r="G16" s="29">
        <f t="shared" si="8"/>
        <v>10789.2</v>
      </c>
      <c r="H16" s="29">
        <f t="shared" si="8"/>
        <v>14353.2</v>
      </c>
      <c r="I16" s="29">
        <f t="shared" si="8"/>
        <v>19148.400000000001</v>
      </c>
      <c r="J16" s="29">
        <f t="shared" si="8"/>
        <v>25498.800000000003</v>
      </c>
    </row>
    <row r="17" spans="2:10" x14ac:dyDescent="0.35">
      <c r="B17" s="46" t="str">
        <f>B12</f>
        <v>Micromobility Enthusiast</v>
      </c>
      <c r="C17" s="18" t="s">
        <v>23</v>
      </c>
      <c r="D17" s="29">
        <f>0.3*D19</f>
        <v>7614</v>
      </c>
      <c r="E17" s="29">
        <f t="shared" ref="E17:J17" si="9">0.3*E19</f>
        <v>10098</v>
      </c>
      <c r="F17" s="29">
        <f t="shared" si="9"/>
        <v>12150</v>
      </c>
      <c r="G17" s="29">
        <f t="shared" si="9"/>
        <v>16183.8</v>
      </c>
      <c r="H17" s="29">
        <f t="shared" si="9"/>
        <v>21529.8</v>
      </c>
      <c r="I17" s="29">
        <f t="shared" si="9"/>
        <v>28722.6</v>
      </c>
      <c r="J17" s="29">
        <f t="shared" si="9"/>
        <v>38248.199999999997</v>
      </c>
    </row>
    <row r="18" spans="2:10" x14ac:dyDescent="0.35">
      <c r="B18" s="46" t="str">
        <f>B13</f>
        <v>Cost Constrained</v>
      </c>
      <c r="C18" s="18" t="s">
        <v>23</v>
      </c>
      <c r="D18" s="29">
        <f>0.5*D19</f>
        <v>12690</v>
      </c>
      <c r="E18" s="29">
        <f t="shared" ref="E18:J18" si="10">0.5*E19</f>
        <v>16830</v>
      </c>
      <c r="F18" s="29">
        <f t="shared" si="10"/>
        <v>20250</v>
      </c>
      <c r="G18" s="29">
        <f t="shared" si="10"/>
        <v>26973</v>
      </c>
      <c r="H18" s="29">
        <f t="shared" si="10"/>
        <v>35883</v>
      </c>
      <c r="I18" s="29">
        <f t="shared" si="10"/>
        <v>47871</v>
      </c>
      <c r="J18" s="29">
        <f t="shared" si="10"/>
        <v>63747</v>
      </c>
    </row>
    <row r="19" spans="2:10" s="8" customFormat="1" x14ac:dyDescent="0.35">
      <c r="B19" s="7" t="s">
        <v>34</v>
      </c>
      <c r="C19" s="19" t="s">
        <v>23</v>
      </c>
      <c r="D19" s="33">
        <f>2%*D14</f>
        <v>25380</v>
      </c>
      <c r="E19" s="33">
        <f t="shared" ref="E19:J19" si="11">0.02*E14</f>
        <v>33660</v>
      </c>
      <c r="F19" s="33">
        <f t="shared" si="11"/>
        <v>40500</v>
      </c>
      <c r="G19" s="33">
        <f t="shared" si="11"/>
        <v>53946</v>
      </c>
      <c r="H19" s="33">
        <f t="shared" si="11"/>
        <v>71766</v>
      </c>
      <c r="I19" s="33">
        <f t="shared" si="11"/>
        <v>95742</v>
      </c>
      <c r="J19" s="33">
        <f t="shared" si="11"/>
        <v>127494</v>
      </c>
    </row>
    <row r="20" spans="2:10" x14ac:dyDescent="0.35">
      <c r="B20" s="8" t="s">
        <v>2</v>
      </c>
      <c r="D20" s="34"/>
      <c r="E20" s="34"/>
      <c r="F20" s="34"/>
      <c r="G20" s="34"/>
      <c r="H20" s="34"/>
      <c r="I20" s="34"/>
      <c r="J20" s="34"/>
    </row>
    <row r="21" spans="2:10" x14ac:dyDescent="0.35">
      <c r="B21" s="50" t="s">
        <v>35</v>
      </c>
      <c r="C21" s="66" t="s">
        <v>38</v>
      </c>
      <c r="D21" s="29">
        <v>69999</v>
      </c>
      <c r="E21" s="29">
        <v>69999</v>
      </c>
      <c r="F21" s="29">
        <v>69999</v>
      </c>
      <c r="G21" s="29">
        <v>69999</v>
      </c>
      <c r="H21" s="29">
        <v>69999</v>
      </c>
      <c r="I21" s="29">
        <v>69999</v>
      </c>
      <c r="J21" s="29">
        <v>69999</v>
      </c>
    </row>
    <row r="22" spans="2:10" x14ac:dyDescent="0.35">
      <c r="B22" s="50" t="s">
        <v>36</v>
      </c>
      <c r="C22" s="18" t="str">
        <f>C21</f>
        <v>₹</v>
      </c>
      <c r="D22" s="29">
        <v>140000</v>
      </c>
      <c r="E22" s="29">
        <v>140000</v>
      </c>
      <c r="F22" s="29">
        <v>140000</v>
      </c>
      <c r="G22" s="29">
        <v>140000</v>
      </c>
      <c r="H22" s="29">
        <v>140000</v>
      </c>
      <c r="I22" s="29">
        <v>140000</v>
      </c>
      <c r="J22" s="29">
        <v>140000</v>
      </c>
    </row>
    <row r="23" spans="2:10" x14ac:dyDescent="0.35">
      <c r="B23" s="50" t="s">
        <v>37</v>
      </c>
      <c r="C23" s="18" t="str">
        <f>C21</f>
        <v>₹</v>
      </c>
      <c r="D23" s="29">
        <v>62999</v>
      </c>
      <c r="E23" s="29">
        <v>62999</v>
      </c>
      <c r="F23" s="29">
        <v>62999</v>
      </c>
      <c r="G23" s="29">
        <v>62999</v>
      </c>
      <c r="H23" s="29">
        <v>62999</v>
      </c>
      <c r="I23" s="29">
        <v>62999</v>
      </c>
      <c r="J23" s="29">
        <v>62999</v>
      </c>
    </row>
    <row r="24" spans="2:10" x14ac:dyDescent="0.35">
      <c r="B24" s="8" t="s">
        <v>39</v>
      </c>
      <c r="C24" s="18" t="str">
        <f>C23</f>
        <v>₹</v>
      </c>
      <c r="D24" s="62">
        <f>D21*D17+D22*D16+D23*D18</f>
        <v>2043069696</v>
      </c>
      <c r="E24" s="62">
        <f t="shared" ref="E24:J24" si="12">E21*E17+E22*E16+E23*E18</f>
        <v>2709603072</v>
      </c>
      <c r="F24" s="62">
        <f t="shared" si="12"/>
        <v>3260217600</v>
      </c>
      <c r="G24" s="62">
        <f t="shared" si="12"/>
        <v>4342609843.1999998</v>
      </c>
      <c r="H24" s="62">
        <f t="shared" si="12"/>
        <v>5777105587.1999998</v>
      </c>
      <c r="I24" s="62">
        <f t="shared" si="12"/>
        <v>7707154406.3999996</v>
      </c>
      <c r="J24" s="62">
        <f t="shared" si="12"/>
        <v>10263165004.799999</v>
      </c>
    </row>
    <row r="25" spans="2:10" x14ac:dyDescent="0.35">
      <c r="B25" s="7" t="s">
        <v>40</v>
      </c>
      <c r="C25" s="19" t="str">
        <f>C24</f>
        <v>₹</v>
      </c>
      <c r="D25" s="31">
        <f>AVERAGE(D21:D23)</f>
        <v>90999.333333333328</v>
      </c>
      <c r="E25" s="31">
        <f t="shared" ref="E25:J25" si="13">AVERAGE(E21:E23)</f>
        <v>90999.333333333328</v>
      </c>
      <c r="F25" s="31">
        <f t="shared" si="13"/>
        <v>90999.333333333328</v>
      </c>
      <c r="G25" s="31">
        <f t="shared" si="13"/>
        <v>90999.333333333328</v>
      </c>
      <c r="H25" s="31">
        <f t="shared" si="13"/>
        <v>90999.333333333328</v>
      </c>
      <c r="I25" s="31">
        <f t="shared" si="13"/>
        <v>90999.333333333328</v>
      </c>
      <c r="J25" s="31">
        <f t="shared" si="13"/>
        <v>90999.333333333328</v>
      </c>
    </row>
    <row r="26" spans="2:10" x14ac:dyDescent="0.35">
      <c r="B26" s="8"/>
      <c r="C26" s="20"/>
      <c r="D26" s="10"/>
      <c r="E26" s="10"/>
      <c r="F26" s="10"/>
      <c r="G26" s="10"/>
      <c r="H26" s="10"/>
      <c r="I26" s="10"/>
      <c r="J26" s="10"/>
    </row>
    <row r="27" spans="2:10" x14ac:dyDescent="0.35">
      <c r="B27" s="5" t="s">
        <v>5</v>
      </c>
      <c r="C27" s="17"/>
      <c r="D27" s="5"/>
      <c r="E27" s="5"/>
      <c r="F27" s="5"/>
      <c r="G27" s="5"/>
      <c r="H27" s="5"/>
      <c r="I27" s="5"/>
      <c r="J27" s="5"/>
    </row>
    <row r="28" spans="2:10" x14ac:dyDescent="0.35">
      <c r="B28" s="8" t="s">
        <v>6</v>
      </c>
      <c r="C28" s="20"/>
      <c r="D28" s="8"/>
      <c r="E28" s="8"/>
      <c r="F28" s="8"/>
      <c r="G28" s="8"/>
      <c r="H28" s="8"/>
      <c r="I28" s="8"/>
      <c r="J28" s="8"/>
    </row>
    <row r="29" spans="2:10" x14ac:dyDescent="0.35">
      <c r="B29" s="51" t="s">
        <v>54</v>
      </c>
      <c r="C29" s="18" t="str">
        <f>C25</f>
        <v>₹</v>
      </c>
      <c r="D29" s="9">
        <v>49200</v>
      </c>
      <c r="E29" s="9">
        <f>0.98*D29</f>
        <v>48216</v>
      </c>
      <c r="F29" s="9">
        <f t="shared" ref="F29:J29" si="14">0.98*E29</f>
        <v>47251.68</v>
      </c>
      <c r="G29" s="9">
        <f t="shared" si="14"/>
        <v>46306.646399999998</v>
      </c>
      <c r="H29" s="9">
        <f t="shared" si="14"/>
        <v>45380.513471999999</v>
      </c>
      <c r="I29" s="9">
        <f t="shared" si="14"/>
        <v>44472.903202559995</v>
      </c>
      <c r="J29" s="9">
        <f t="shared" si="14"/>
        <v>43583.445138508796</v>
      </c>
    </row>
    <row r="30" spans="2:10" x14ac:dyDescent="0.35">
      <c r="B30" s="52" t="s">
        <v>47</v>
      </c>
      <c r="C30" s="18" t="str">
        <f>C29</f>
        <v>₹</v>
      </c>
      <c r="D30" s="9">
        <v>5000</v>
      </c>
      <c r="E30" s="9">
        <f>0.98*D30</f>
        <v>4900</v>
      </c>
      <c r="F30" s="9">
        <f t="shared" ref="F30:J30" si="15">0.98*E30</f>
        <v>4802</v>
      </c>
      <c r="G30" s="9">
        <f t="shared" si="15"/>
        <v>4705.96</v>
      </c>
      <c r="H30" s="9">
        <f t="shared" si="15"/>
        <v>4611.8407999999999</v>
      </c>
      <c r="I30" s="9">
        <f t="shared" si="15"/>
        <v>4519.6039840000003</v>
      </c>
      <c r="J30" s="9">
        <f t="shared" si="15"/>
        <v>4429.21190432</v>
      </c>
    </row>
    <row r="31" spans="2:10" x14ac:dyDescent="0.35">
      <c r="B31" s="52" t="s">
        <v>46</v>
      </c>
      <c r="C31" s="18" t="str">
        <f>C29</f>
        <v>₹</v>
      </c>
      <c r="D31" s="9">
        <v>1500</v>
      </c>
      <c r="E31" s="9">
        <f>0.99*D31</f>
        <v>1485</v>
      </c>
      <c r="F31" s="9">
        <f t="shared" ref="F31:J31" si="16">0.99*E31</f>
        <v>1470.15</v>
      </c>
      <c r="G31" s="9">
        <f t="shared" si="16"/>
        <v>1455.4485</v>
      </c>
      <c r="H31" s="9">
        <f t="shared" si="16"/>
        <v>1440.8940149999999</v>
      </c>
      <c r="I31" s="9">
        <f t="shared" si="16"/>
        <v>1426.4850748499998</v>
      </c>
      <c r="J31" s="9">
        <f t="shared" si="16"/>
        <v>1412.2202241014998</v>
      </c>
    </row>
    <row r="32" spans="2:10" x14ac:dyDescent="0.35">
      <c r="B32" s="52" t="s">
        <v>41</v>
      </c>
      <c r="C32" s="18" t="str">
        <f>C30</f>
        <v>₹</v>
      </c>
      <c r="D32" s="9">
        <v>2000</v>
      </c>
      <c r="E32" s="9">
        <v>2000</v>
      </c>
      <c r="F32" s="9">
        <v>2000</v>
      </c>
      <c r="G32" s="9">
        <v>2000</v>
      </c>
      <c r="H32" s="9">
        <v>2000</v>
      </c>
      <c r="I32" s="9">
        <v>2000</v>
      </c>
      <c r="J32" s="9">
        <v>2000</v>
      </c>
    </row>
    <row r="33" spans="1:10" x14ac:dyDescent="0.35">
      <c r="B33" s="52" t="s">
        <v>43</v>
      </c>
      <c r="C33" s="18" t="str">
        <f>C32</f>
        <v>₹</v>
      </c>
      <c r="D33" s="9">
        <v>750</v>
      </c>
      <c r="E33" s="9">
        <f>0.99*D33</f>
        <v>742.5</v>
      </c>
      <c r="F33" s="9">
        <f t="shared" ref="F33:J33" si="17">0.99*E33</f>
        <v>735.07500000000005</v>
      </c>
      <c r="G33" s="9">
        <f t="shared" si="17"/>
        <v>727.72424999999998</v>
      </c>
      <c r="H33" s="9">
        <f t="shared" si="17"/>
        <v>720.44700749999993</v>
      </c>
      <c r="I33" s="9">
        <f t="shared" si="17"/>
        <v>713.24253742499991</v>
      </c>
      <c r="J33" s="9">
        <f t="shared" si="17"/>
        <v>706.11011205074988</v>
      </c>
    </row>
    <row r="34" spans="1:10" x14ac:dyDescent="0.35">
      <c r="B34" s="52" t="s">
        <v>42</v>
      </c>
      <c r="C34" s="18" t="str">
        <f>C33</f>
        <v>₹</v>
      </c>
      <c r="D34" s="9">
        <v>7500</v>
      </c>
      <c r="E34" s="9">
        <f>0.98*D34</f>
        <v>7350</v>
      </c>
      <c r="F34" s="9">
        <f t="shared" ref="F34:J34" si="18">0.98*E34</f>
        <v>7203</v>
      </c>
      <c r="G34" s="9">
        <f t="shared" si="18"/>
        <v>7058.94</v>
      </c>
      <c r="H34" s="9">
        <f t="shared" si="18"/>
        <v>6917.7611999999999</v>
      </c>
      <c r="I34" s="9">
        <f t="shared" si="18"/>
        <v>6779.405976</v>
      </c>
      <c r="J34" s="9">
        <f t="shared" si="18"/>
        <v>6643.81785648</v>
      </c>
    </row>
    <row r="35" spans="1:10" x14ac:dyDescent="0.35">
      <c r="B35" s="52" t="s">
        <v>44</v>
      </c>
      <c r="C35" s="18" t="str">
        <f>C33</f>
        <v>₹</v>
      </c>
      <c r="D35" s="9">
        <v>2000</v>
      </c>
      <c r="E35" s="9">
        <v>2000</v>
      </c>
      <c r="F35" s="9">
        <v>2000</v>
      </c>
      <c r="G35" s="9">
        <v>2000</v>
      </c>
      <c r="H35" s="9">
        <v>2000</v>
      </c>
      <c r="I35" s="9">
        <v>2000</v>
      </c>
      <c r="J35" s="9">
        <v>2000</v>
      </c>
    </row>
    <row r="36" spans="1:10" x14ac:dyDescent="0.35">
      <c r="B36" s="38" t="s">
        <v>45</v>
      </c>
      <c r="C36" s="37" t="str">
        <f>C32</f>
        <v>₹</v>
      </c>
      <c r="D36" s="39">
        <f t="shared" ref="D36:J36" si="19">SUM(D29:D35)-D34</f>
        <v>60450</v>
      </c>
      <c r="E36" s="39">
        <f t="shared" si="19"/>
        <v>59343.5</v>
      </c>
      <c r="F36" s="39">
        <f t="shared" si="19"/>
        <v>58258.904999999999</v>
      </c>
      <c r="G36" s="39">
        <f t="shared" si="19"/>
        <v>57195.779149999995</v>
      </c>
      <c r="H36" s="39">
        <f t="shared" si="19"/>
        <v>56153.695294499994</v>
      </c>
      <c r="I36" s="39">
        <f t="shared" si="19"/>
        <v>55132.234798835001</v>
      </c>
      <c r="J36" s="39">
        <f t="shared" si="19"/>
        <v>54130.987378981037</v>
      </c>
    </row>
    <row r="37" spans="1:10" x14ac:dyDescent="0.35">
      <c r="B37" s="8" t="s">
        <v>7</v>
      </c>
      <c r="C37" s="20"/>
    </row>
    <row r="38" spans="1:10" x14ac:dyDescent="0.35">
      <c r="B38" s="53" t="s">
        <v>48</v>
      </c>
      <c r="C38" s="18" t="str">
        <f>C31</f>
        <v>₹</v>
      </c>
      <c r="D38" s="3">
        <v>12950000</v>
      </c>
      <c r="E38" s="3">
        <f>1.02*D38</f>
        <v>13209000</v>
      </c>
      <c r="F38" s="3">
        <f t="shared" ref="F38:J38" si="20">1.02*E38</f>
        <v>13473180</v>
      </c>
      <c r="G38" s="3">
        <f t="shared" si="20"/>
        <v>13742643.6</v>
      </c>
      <c r="H38" s="3">
        <f t="shared" si="20"/>
        <v>14017496.471999999</v>
      </c>
      <c r="I38" s="3">
        <f t="shared" si="20"/>
        <v>14297846.40144</v>
      </c>
      <c r="J38" s="3">
        <f t="shared" si="20"/>
        <v>14583803.3294688</v>
      </c>
    </row>
    <row r="39" spans="1:10" x14ac:dyDescent="0.35">
      <c r="B39" s="54" t="s">
        <v>49</v>
      </c>
      <c r="C39" s="18" t="str">
        <f>C30</f>
        <v>₹</v>
      </c>
      <c r="D39" s="3">
        <v>40800000</v>
      </c>
      <c r="E39" s="3">
        <f>1.02*D39</f>
        <v>41616000</v>
      </c>
      <c r="F39" s="3">
        <f t="shared" ref="F39:J39" si="21">1.02*E39</f>
        <v>42448320</v>
      </c>
      <c r="G39" s="3">
        <f t="shared" si="21"/>
        <v>43297286.399999999</v>
      </c>
      <c r="H39" s="3">
        <f t="shared" si="21"/>
        <v>44163232.127999999</v>
      </c>
      <c r="I39" s="3">
        <f t="shared" si="21"/>
        <v>45046496.770559996</v>
      </c>
      <c r="J39" s="3">
        <f t="shared" si="21"/>
        <v>45947426.705971196</v>
      </c>
    </row>
    <row r="40" spans="1:10" x14ac:dyDescent="0.35">
      <c r="B40" s="54" t="s">
        <v>50</v>
      </c>
      <c r="C40" s="35" t="str">
        <f>C39</f>
        <v>₹</v>
      </c>
      <c r="D40" s="3">
        <v>22500000</v>
      </c>
      <c r="E40" s="3">
        <f>D40*1.01</f>
        <v>22725000</v>
      </c>
      <c r="F40" s="3">
        <f t="shared" ref="F40:J40" si="22">E40*1.01</f>
        <v>22952250</v>
      </c>
      <c r="G40" s="3">
        <f t="shared" si="22"/>
        <v>23181772.5</v>
      </c>
      <c r="H40" s="3">
        <f t="shared" si="22"/>
        <v>23413590.225000001</v>
      </c>
      <c r="I40" s="3">
        <f t="shared" si="22"/>
        <v>23647726.127250001</v>
      </c>
      <c r="J40" s="3">
        <f t="shared" si="22"/>
        <v>23884203.388522502</v>
      </c>
    </row>
    <row r="41" spans="1:10" x14ac:dyDescent="0.35">
      <c r="B41" s="54" t="s">
        <v>51</v>
      </c>
      <c r="C41" s="35" t="str">
        <f>C40</f>
        <v>₹</v>
      </c>
      <c r="D41" s="3">
        <v>30000000</v>
      </c>
      <c r="E41" s="3">
        <v>30000000</v>
      </c>
      <c r="F41" s="3">
        <v>30000000</v>
      </c>
      <c r="G41" s="3">
        <v>30000000</v>
      </c>
      <c r="H41" s="3">
        <v>30000000</v>
      </c>
      <c r="I41" s="3">
        <v>30000000</v>
      </c>
      <c r="J41" s="3">
        <v>30000000</v>
      </c>
    </row>
    <row r="42" spans="1:10" x14ac:dyDescent="0.35">
      <c r="B42" s="54" t="s">
        <v>52</v>
      </c>
      <c r="C42" s="35" t="str">
        <f>C41</f>
        <v>₹</v>
      </c>
      <c r="D42" s="3">
        <v>20000000</v>
      </c>
      <c r="E42" s="3">
        <v>20000000</v>
      </c>
      <c r="F42" s="3">
        <v>20000000</v>
      </c>
      <c r="G42" s="3">
        <v>20000000</v>
      </c>
      <c r="H42" s="3">
        <v>20000000</v>
      </c>
      <c r="I42" s="3">
        <v>20000000</v>
      </c>
      <c r="J42" s="3">
        <v>20000000</v>
      </c>
    </row>
    <row r="43" spans="1:10" x14ac:dyDescent="0.35">
      <c r="B43" s="42"/>
      <c r="C43" s="35"/>
      <c r="D43" s="3"/>
      <c r="E43" s="3"/>
      <c r="F43" s="3"/>
      <c r="G43" s="3"/>
      <c r="H43" s="3"/>
      <c r="I43" s="3"/>
      <c r="J43" s="3"/>
    </row>
    <row r="44" spans="1:10" x14ac:dyDescent="0.35">
      <c r="B44" s="8" t="s">
        <v>18</v>
      </c>
      <c r="C44" s="20" t="s">
        <v>25</v>
      </c>
      <c r="D44" s="55">
        <v>0.25</v>
      </c>
      <c r="E44" s="55">
        <v>0.25</v>
      </c>
      <c r="F44" s="55">
        <v>0.25</v>
      </c>
      <c r="G44" s="55">
        <v>0.25</v>
      </c>
      <c r="H44" s="55">
        <v>0.25</v>
      </c>
      <c r="I44" s="55">
        <v>0.25</v>
      </c>
      <c r="J44" s="55">
        <v>0.25</v>
      </c>
    </row>
    <row r="45" spans="1:10" x14ac:dyDescent="0.35">
      <c r="A45" s="4" t="s">
        <v>21</v>
      </c>
      <c r="B45" s="1" t="s">
        <v>0</v>
      </c>
      <c r="C45" s="2"/>
      <c r="D45" s="1"/>
      <c r="E45" s="1"/>
      <c r="F45" s="1"/>
      <c r="G45" s="1"/>
      <c r="H45" s="1"/>
      <c r="I45" s="1"/>
      <c r="J45" s="1"/>
    </row>
    <row r="46" spans="1:10" x14ac:dyDescent="0.35">
      <c r="B46" s="4" t="s">
        <v>10</v>
      </c>
      <c r="C46" s="18" t="str">
        <f>C25</f>
        <v>₹</v>
      </c>
      <c r="D46" s="40">
        <f t="shared" ref="D46:J46" si="23">D24</f>
        <v>2043069696</v>
      </c>
      <c r="E46" s="40">
        <f t="shared" si="23"/>
        <v>2709603072</v>
      </c>
      <c r="F46" s="40">
        <f t="shared" si="23"/>
        <v>3260217600</v>
      </c>
      <c r="G46" s="40">
        <f t="shared" si="23"/>
        <v>4342609843.1999998</v>
      </c>
      <c r="H46" s="40">
        <f t="shared" si="23"/>
        <v>5777105587.1999998</v>
      </c>
      <c r="I46" s="40">
        <f t="shared" si="23"/>
        <v>7707154406.3999996</v>
      </c>
      <c r="J46" s="40">
        <f t="shared" si="23"/>
        <v>10263165004.799999</v>
      </c>
    </row>
    <row r="47" spans="1:10" x14ac:dyDescent="0.35">
      <c r="B47" s="4" t="s">
        <v>3</v>
      </c>
      <c r="C47" s="18" t="str">
        <f>C46</f>
        <v>₹</v>
      </c>
      <c r="D47" s="40">
        <f t="shared" ref="D47:J47" si="24">D36*D19</f>
        <v>1534221000</v>
      </c>
      <c r="E47" s="40">
        <f t="shared" si="24"/>
        <v>1997502210</v>
      </c>
      <c r="F47" s="40">
        <f t="shared" si="24"/>
        <v>2359485652.5</v>
      </c>
      <c r="G47" s="40">
        <f t="shared" si="24"/>
        <v>3085483502.0258999</v>
      </c>
      <c r="H47" s="40">
        <f t="shared" si="24"/>
        <v>4029926096.5050864</v>
      </c>
      <c r="I47" s="40">
        <f t="shared" si="24"/>
        <v>5278470424.1100607</v>
      </c>
      <c r="J47" s="40">
        <f t="shared" si="24"/>
        <v>6901376104.8958082</v>
      </c>
    </row>
    <row r="48" spans="1:10" x14ac:dyDescent="0.35">
      <c r="B48" s="11" t="s">
        <v>11</v>
      </c>
      <c r="C48" s="21" t="str">
        <f>C47</f>
        <v>₹</v>
      </c>
      <c r="D48" s="12">
        <f>D46-D47</f>
        <v>508848696</v>
      </c>
      <c r="E48" s="12">
        <f t="shared" ref="E48:J48" si="25">E46-E47</f>
        <v>712100862</v>
      </c>
      <c r="F48" s="12">
        <f t="shared" si="25"/>
        <v>900731947.5</v>
      </c>
      <c r="G48" s="12">
        <f t="shared" si="25"/>
        <v>1257126341.1740999</v>
      </c>
      <c r="H48" s="12">
        <f t="shared" si="25"/>
        <v>1747179490.6949134</v>
      </c>
      <c r="I48" s="12">
        <f t="shared" si="25"/>
        <v>2428683982.2899389</v>
      </c>
      <c r="J48" s="12">
        <f t="shared" si="25"/>
        <v>3361788899.904191</v>
      </c>
    </row>
    <row r="49" spans="2:10" x14ac:dyDescent="0.35">
      <c r="B49" s="56" t="s">
        <v>12</v>
      </c>
      <c r="C49" s="20" t="s">
        <v>25</v>
      </c>
      <c r="D49" s="41">
        <f>D48/D46</f>
        <v>0.24906086023215138</v>
      </c>
      <c r="E49" s="41">
        <f t="shared" ref="E49:J49" si="26">E48/E46</f>
        <v>0.26280633844808393</v>
      </c>
      <c r="F49" s="41">
        <f t="shared" si="26"/>
        <v>0.27627970215853076</v>
      </c>
      <c r="G49" s="41">
        <f t="shared" si="26"/>
        <v>0.28948636570301317</v>
      </c>
      <c r="H49" s="41">
        <f t="shared" si="26"/>
        <v>0.30243163541376816</v>
      </c>
      <c r="I49" s="41">
        <f t="shared" si="26"/>
        <v>0.31512071177309831</v>
      </c>
      <c r="J49" s="41">
        <f t="shared" si="26"/>
        <v>0.32755869152760475</v>
      </c>
    </row>
    <row r="51" spans="2:10" x14ac:dyDescent="0.35">
      <c r="B51" s="8" t="s">
        <v>13</v>
      </c>
      <c r="C51" s="20"/>
    </row>
    <row r="52" spans="2:10" x14ac:dyDescent="0.35">
      <c r="B52" s="36" t="s">
        <v>42</v>
      </c>
      <c r="C52" s="23" t="str">
        <f>C47</f>
        <v>₹</v>
      </c>
      <c r="D52" s="40">
        <f t="shared" ref="D52:J52" si="27">D34*D19</f>
        <v>190350000</v>
      </c>
      <c r="E52" s="40">
        <f t="shared" si="27"/>
        <v>247401000</v>
      </c>
      <c r="F52" s="40">
        <f t="shared" si="27"/>
        <v>291721500</v>
      </c>
      <c r="G52" s="40">
        <f t="shared" si="27"/>
        <v>380801577.23999995</v>
      </c>
      <c r="H52" s="40">
        <f t="shared" si="27"/>
        <v>496460050.27920002</v>
      </c>
      <c r="I52" s="40">
        <f t="shared" si="27"/>
        <v>649073886.95419204</v>
      </c>
      <c r="J52" s="40">
        <f t="shared" si="27"/>
        <v>847046913.79406118</v>
      </c>
    </row>
    <row r="53" spans="2:10" x14ac:dyDescent="0.35">
      <c r="B53" s="8" t="s">
        <v>8</v>
      </c>
      <c r="C53" s="20" t="str">
        <f>C46</f>
        <v>₹</v>
      </c>
      <c r="D53" s="14">
        <f>D52</f>
        <v>190350000</v>
      </c>
      <c r="E53" s="14">
        <f t="shared" ref="E53:J53" si="28">E52</f>
        <v>247401000</v>
      </c>
      <c r="F53" s="14">
        <f t="shared" si="28"/>
        <v>291721500</v>
      </c>
      <c r="G53" s="14">
        <f t="shared" si="28"/>
        <v>380801577.23999995</v>
      </c>
      <c r="H53" s="14">
        <f t="shared" si="28"/>
        <v>496460050.27920002</v>
      </c>
      <c r="I53" s="14">
        <f t="shared" si="28"/>
        <v>649073886.95419204</v>
      </c>
      <c r="J53" s="14">
        <f t="shared" si="28"/>
        <v>847046913.79406118</v>
      </c>
    </row>
    <row r="54" spans="2:10" x14ac:dyDescent="0.35">
      <c r="B54" s="11" t="s">
        <v>14</v>
      </c>
      <c r="C54" s="21" t="str">
        <f>C47</f>
        <v>₹</v>
      </c>
      <c r="D54" s="12">
        <f>D48-D53</f>
        <v>318498696</v>
      </c>
      <c r="E54" s="12">
        <f t="shared" ref="E54:J54" si="29">E48-E53</f>
        <v>464699862</v>
      </c>
      <c r="F54" s="12">
        <f t="shared" si="29"/>
        <v>609010447.5</v>
      </c>
      <c r="G54" s="12">
        <f t="shared" si="29"/>
        <v>876324763.93409991</v>
      </c>
      <c r="H54" s="12">
        <f t="shared" si="29"/>
        <v>1250719440.4157133</v>
      </c>
      <c r="I54" s="12">
        <f t="shared" si="29"/>
        <v>1779610095.3357468</v>
      </c>
      <c r="J54" s="12">
        <f t="shared" si="29"/>
        <v>2514741986.1101298</v>
      </c>
    </row>
    <row r="55" spans="2:10" x14ac:dyDescent="0.35">
      <c r="B55" s="56" t="s">
        <v>20</v>
      </c>
      <c r="C55" s="20" t="s">
        <v>25</v>
      </c>
      <c r="D55" s="41">
        <f>D54/D46</f>
        <v>0.15589223246939099</v>
      </c>
      <c r="E55" s="41">
        <f t="shared" ref="E55:J55" si="30">E54/E46</f>
        <v>0.17150108324057878</v>
      </c>
      <c r="F55" s="41">
        <f t="shared" si="30"/>
        <v>0.18680055205517571</v>
      </c>
      <c r="G55" s="41">
        <f t="shared" si="30"/>
        <v>0.20179679860172522</v>
      </c>
      <c r="H55" s="41">
        <f t="shared" si="30"/>
        <v>0.21649585965450593</v>
      </c>
      <c r="I55" s="41">
        <f t="shared" si="30"/>
        <v>0.23090365152902134</v>
      </c>
      <c r="J55" s="41">
        <f t="shared" si="30"/>
        <v>0.24502597248840932</v>
      </c>
    </row>
    <row r="57" spans="2:10" x14ac:dyDescent="0.35">
      <c r="B57" s="8" t="s">
        <v>15</v>
      </c>
      <c r="C57" s="20"/>
    </row>
    <row r="58" spans="2:10" x14ac:dyDescent="0.35">
      <c r="B58" s="42" t="s">
        <v>19</v>
      </c>
      <c r="C58" s="18" t="str">
        <f>C47</f>
        <v>₹</v>
      </c>
      <c r="D58" s="40">
        <v>49500000</v>
      </c>
      <c r="E58" s="40">
        <f>1.01*D58</f>
        <v>49995000</v>
      </c>
      <c r="F58" s="40">
        <f t="shared" ref="F58:J58" si="31">1.01*E58</f>
        <v>50494950</v>
      </c>
      <c r="G58" s="40">
        <f t="shared" si="31"/>
        <v>50999899.5</v>
      </c>
      <c r="H58" s="40">
        <f t="shared" si="31"/>
        <v>51509898.494999997</v>
      </c>
      <c r="I58" s="40">
        <f t="shared" si="31"/>
        <v>52024997.479949996</v>
      </c>
      <c r="J58" s="40">
        <f t="shared" si="31"/>
        <v>52545247.454749495</v>
      </c>
    </row>
    <row r="59" spans="2:10" x14ac:dyDescent="0.35">
      <c r="B59" s="71" t="s">
        <v>73</v>
      </c>
      <c r="C59" s="27" t="str">
        <f>C46</f>
        <v>₹</v>
      </c>
      <c r="D59" s="40">
        <f>'4. Fixed Assets'!E22</f>
        <v>164333333.33333334</v>
      </c>
      <c r="E59" s="40">
        <f>'4. Fixed Assets'!F22</f>
        <v>164333333.33333334</v>
      </c>
      <c r="F59" s="40">
        <f>'4. Fixed Assets'!G22</f>
        <v>164333333.33333334</v>
      </c>
      <c r="G59" s="40">
        <f>'4. Fixed Assets'!H22</f>
        <v>164333333.33333334</v>
      </c>
      <c r="H59" s="40">
        <f>'4. Fixed Assets'!I22</f>
        <v>164333333.33333334</v>
      </c>
      <c r="I59" s="40">
        <f>'4. Fixed Assets'!J22</f>
        <v>164333333.33333334</v>
      </c>
      <c r="J59" s="40">
        <f>'4. Fixed Assets'!K22</f>
        <v>164333333.33333334</v>
      </c>
    </row>
    <row r="60" spans="2:10" x14ac:dyDescent="0.35">
      <c r="B60" s="11" t="s">
        <v>9</v>
      </c>
      <c r="C60" s="21" t="str">
        <f>C58</f>
        <v>₹</v>
      </c>
      <c r="D60" s="12">
        <f t="shared" ref="D60:J60" si="32">SUM(D58:D59,D38:D42)</f>
        <v>340083333.33333337</v>
      </c>
      <c r="E60" s="12">
        <f t="shared" si="32"/>
        <v>341878333.33333337</v>
      </c>
      <c r="F60" s="12">
        <f t="shared" si="32"/>
        <v>343702033.33333337</v>
      </c>
      <c r="G60" s="12">
        <f t="shared" si="32"/>
        <v>345554935.33333331</v>
      </c>
      <c r="H60" s="12">
        <f t="shared" si="32"/>
        <v>347437550.65333337</v>
      </c>
      <c r="I60" s="12">
        <f t="shared" si="32"/>
        <v>349350400.11253333</v>
      </c>
      <c r="J60" s="12">
        <f t="shared" si="32"/>
        <v>351294014.21204531</v>
      </c>
    </row>
    <row r="61" spans="2:10" x14ac:dyDescent="0.35">
      <c r="B61" s="8"/>
      <c r="C61" s="20"/>
      <c r="D61" s="14"/>
      <c r="E61" s="14"/>
      <c r="F61" s="14"/>
      <c r="G61" s="14"/>
      <c r="H61" s="14"/>
      <c r="I61" s="14"/>
      <c r="J61" s="14"/>
    </row>
    <row r="62" spans="2:10" x14ac:dyDescent="0.35">
      <c r="B62" s="8" t="s">
        <v>26</v>
      </c>
      <c r="C62" s="20" t="str">
        <f>C46</f>
        <v>₹</v>
      </c>
      <c r="D62" s="14">
        <f t="shared" ref="D62:J62" si="33">D60+D53+D47</f>
        <v>2064654333.3333335</v>
      </c>
      <c r="E62" s="14">
        <f t="shared" si="33"/>
        <v>2586781543.3333335</v>
      </c>
      <c r="F62" s="14">
        <f t="shared" si="33"/>
        <v>2994909185.8333335</v>
      </c>
      <c r="G62" s="14">
        <f t="shared" si="33"/>
        <v>3811840014.5992332</v>
      </c>
      <c r="H62" s="14">
        <f t="shared" si="33"/>
        <v>4873823697.4376202</v>
      </c>
      <c r="I62" s="14">
        <f t="shared" si="33"/>
        <v>6276894711.1767864</v>
      </c>
      <c r="J62" s="14">
        <f t="shared" si="33"/>
        <v>8099717032.9019146</v>
      </c>
    </row>
    <row r="63" spans="2:10" x14ac:dyDescent="0.35">
      <c r="B63" s="11" t="s">
        <v>16</v>
      </c>
      <c r="C63" s="21" t="str">
        <f>C47</f>
        <v>₹</v>
      </c>
      <c r="D63" s="12">
        <f t="shared" ref="D63:J63" si="34">D54-D60</f>
        <v>-21584637.333333373</v>
      </c>
      <c r="E63" s="12">
        <f t="shared" si="34"/>
        <v>122821528.66666663</v>
      </c>
      <c r="F63" s="12">
        <f t="shared" si="34"/>
        <v>265308414.16666663</v>
      </c>
      <c r="G63" s="12">
        <f t="shared" si="34"/>
        <v>530769828.6007666</v>
      </c>
      <c r="H63" s="12">
        <f t="shared" si="34"/>
        <v>903281889.76237988</v>
      </c>
      <c r="I63" s="12">
        <f t="shared" si="34"/>
        <v>1430259695.2232134</v>
      </c>
      <c r="J63" s="12">
        <f t="shared" si="34"/>
        <v>2163447971.8980846</v>
      </c>
    </row>
    <row r="65" spans="1:10" x14ac:dyDescent="0.35">
      <c r="B65" s="4" t="s">
        <v>17</v>
      </c>
      <c r="C65" s="43" t="str">
        <f>C63</f>
        <v>₹</v>
      </c>
      <c r="D65" s="44" t="str">
        <f t="shared" ref="D65:J65" si="35">IF(D63&gt;0,D63*D44,"NA")</f>
        <v>NA</v>
      </c>
      <c r="E65" s="44">
        <f t="shared" si="35"/>
        <v>30705382.166666657</v>
      </c>
      <c r="F65" s="44">
        <f t="shared" si="35"/>
        <v>66327103.541666657</v>
      </c>
      <c r="G65" s="44">
        <f t="shared" si="35"/>
        <v>132692457.15019165</v>
      </c>
      <c r="H65" s="44">
        <f t="shared" si="35"/>
        <v>225820472.44059497</v>
      </c>
      <c r="I65" s="44">
        <f t="shared" si="35"/>
        <v>357564923.80580336</v>
      </c>
      <c r="J65" s="44">
        <f t="shared" si="35"/>
        <v>540861992.97452116</v>
      </c>
    </row>
    <row r="66" spans="1:10" x14ac:dyDescent="0.35">
      <c r="A66" s="4" t="s">
        <v>21</v>
      </c>
      <c r="B66" s="13" t="s">
        <v>22</v>
      </c>
      <c r="C66" s="22" t="str">
        <f>C48</f>
        <v>₹</v>
      </c>
      <c r="D66" s="45">
        <f>IFERROR(D63-D65,D63)</f>
        <v>-21584637.333333373</v>
      </c>
      <c r="E66" s="45">
        <f t="shared" ref="E66:J66" si="36">IFERROR(E63-E65,E63)</f>
        <v>92116146.49999997</v>
      </c>
      <c r="F66" s="45">
        <f t="shared" si="36"/>
        <v>198981310.62499997</v>
      </c>
      <c r="G66" s="45">
        <f t="shared" si="36"/>
        <v>398077371.45057493</v>
      </c>
      <c r="H66" s="45">
        <f t="shared" si="36"/>
        <v>677461417.32178497</v>
      </c>
      <c r="I66" s="45">
        <f t="shared" si="36"/>
        <v>1072694771.4174101</v>
      </c>
      <c r="J66" s="45">
        <f t="shared" si="36"/>
        <v>1622585978.9235635</v>
      </c>
    </row>
    <row r="68" spans="1:10" x14ac:dyDescent="0.35">
      <c r="B68" s="240" t="s">
        <v>27</v>
      </c>
      <c r="C68" s="240"/>
      <c r="D68" s="240"/>
      <c r="E68" s="240"/>
      <c r="F68" s="240"/>
      <c r="G68" s="240"/>
    </row>
    <row r="69" spans="1:10" x14ac:dyDescent="0.35">
      <c r="J69" s="136"/>
    </row>
    <row r="73" spans="1:10" x14ac:dyDescent="0.35">
      <c r="A73" s="4" t="s">
        <v>21</v>
      </c>
    </row>
  </sheetData>
  <mergeCells count="2">
    <mergeCell ref="B2:J2"/>
    <mergeCell ref="B68:G68"/>
  </mergeCells>
  <phoneticPr fontId="28" type="noConversion"/>
  <pageMargins left="0.7" right="0.7" top="0.75" bottom="0.75" header="0.3" footer="0.3"/>
  <ignoredErrors>
    <ignoredError sqref="C23 C39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2071-9620-4A89-AE82-392D7323FE05}">
  <dimension ref="B2:O41"/>
  <sheetViews>
    <sheetView showGridLines="0" zoomScale="110" zoomScaleNormal="110" workbookViewId="0">
      <pane ySplit="3" topLeftCell="A13" activePane="bottomLeft" state="frozenSplit"/>
      <selection pane="bottomLeft" activeCell="N7" sqref="N7"/>
    </sheetView>
  </sheetViews>
  <sheetFormatPr defaultRowHeight="14.5" x14ac:dyDescent="0.35"/>
  <cols>
    <col min="1" max="1" width="8.6640625" style="98"/>
    <col min="2" max="2" width="31.6640625" style="98" bestFit="1" customWidth="1"/>
    <col min="3" max="3" width="4" style="98" bestFit="1" customWidth="1"/>
    <col min="4" max="4" width="14.25" style="98" bestFit="1" customWidth="1"/>
    <col min="5" max="8" width="13.4140625" style="98" bestFit="1" customWidth="1"/>
    <col min="9" max="11" width="14.33203125" style="98" bestFit="1" customWidth="1"/>
    <col min="12" max="14" width="8.6640625" style="98"/>
    <col min="15" max="15" width="12.33203125" style="98" bestFit="1" customWidth="1"/>
    <col min="16" max="16384" width="8.6640625" style="98"/>
  </cols>
  <sheetData>
    <row r="2" spans="2:11" x14ac:dyDescent="0.35">
      <c r="B2" s="74" t="s">
        <v>74</v>
      </c>
      <c r="C2" s="74" t="s">
        <v>24</v>
      </c>
      <c r="D2" s="75" t="s">
        <v>75</v>
      </c>
      <c r="E2" s="75"/>
      <c r="F2" s="74"/>
      <c r="G2" s="74"/>
      <c r="H2" s="74"/>
      <c r="I2" s="74"/>
      <c r="J2" s="74"/>
      <c r="K2" s="74"/>
    </row>
    <row r="3" spans="2:11" ht="15" thickBot="1" x14ac:dyDescent="0.4">
      <c r="B3" s="96"/>
      <c r="C3" s="96"/>
      <c r="D3" s="58" t="s">
        <v>114</v>
      </c>
      <c r="E3" s="118">
        <v>46022</v>
      </c>
      <c r="F3" s="118">
        <f t="shared" ref="F3:K3" si="0">EDATE(E3,12)</f>
        <v>46387</v>
      </c>
      <c r="G3" s="118">
        <f t="shared" si="0"/>
        <v>46752</v>
      </c>
      <c r="H3" s="118">
        <f t="shared" si="0"/>
        <v>47118</v>
      </c>
      <c r="I3" s="118">
        <f t="shared" si="0"/>
        <v>47483</v>
      </c>
      <c r="J3" s="118">
        <f t="shared" si="0"/>
        <v>47848</v>
      </c>
      <c r="K3" s="118">
        <f t="shared" si="0"/>
        <v>48213</v>
      </c>
    </row>
    <row r="4" spans="2:11" x14ac:dyDescent="0.35">
      <c r="B4" s="57" t="s">
        <v>76</v>
      </c>
      <c r="C4" s="57"/>
      <c r="D4" s="57"/>
    </row>
    <row r="5" spans="2:11" x14ac:dyDescent="0.35">
      <c r="B5" s="99" t="s">
        <v>77</v>
      </c>
      <c r="C5" s="98" t="str">
        <f>'1. Income Statement'!C21</f>
        <v>₹</v>
      </c>
      <c r="D5" s="116">
        <f>'3. Statement of Cashflow'!C18</f>
        <v>-1245100000</v>
      </c>
      <c r="E5" s="116">
        <f>'3. Statement of Cashflow'!D18</f>
        <v>166884355.69599995</v>
      </c>
      <c r="F5" s="116">
        <f>'3. Statement of Cashflow'!E18</f>
        <v>246362209.50933325</v>
      </c>
      <c r="G5" s="116">
        <f>'3. Statement of Cashflow'!F18</f>
        <v>315708041.76133335</v>
      </c>
      <c r="H5" s="116">
        <f>'3. Statement of Cashflow'!G18</f>
        <v>561078836.51288533</v>
      </c>
      <c r="I5" s="116">
        <f>'3. Statement of Cashflow'!H18</f>
        <v>736817204.2334938</v>
      </c>
      <c r="J5" s="116">
        <f>'3. Statement of Cashflow'!I18</f>
        <v>1278393507.3980927</v>
      </c>
      <c r="K5" s="116">
        <f>'3. Statement of Cashflow'!J18</f>
        <v>1811661741.2788694</v>
      </c>
    </row>
    <row r="6" spans="2:11" x14ac:dyDescent="0.35">
      <c r="B6" s="100" t="s">
        <v>78</v>
      </c>
      <c r="C6" s="120" t="str">
        <f>C5</f>
        <v>₹</v>
      </c>
      <c r="D6" s="100"/>
      <c r="E6" s="106">
        <v>141948918.72</v>
      </c>
      <c r="F6" s="106">
        <v>188258495.04000002</v>
      </c>
      <c r="G6" s="106">
        <v>233318232.00000003</v>
      </c>
      <c r="H6" s="106">
        <v>310779885.02399999</v>
      </c>
      <c r="I6" s="106">
        <v>413439907.10400003</v>
      </c>
      <c r="J6" s="106">
        <v>551564300.44800007</v>
      </c>
      <c r="K6" s="106">
        <v>734485794.33599997</v>
      </c>
    </row>
    <row r="7" spans="2:11" x14ac:dyDescent="0.35">
      <c r="B7" s="80" t="s">
        <v>79</v>
      </c>
      <c r="C7" s="80" t="str">
        <f>C6</f>
        <v>₹</v>
      </c>
      <c r="D7" s="119">
        <f>SUM(D5:D6)</f>
        <v>-1245100000</v>
      </c>
      <c r="E7" s="119">
        <f t="shared" ref="E7:K7" si="1">SUM(E5:E6)</f>
        <v>308833274.41599995</v>
      </c>
      <c r="F7" s="119">
        <f t="shared" si="1"/>
        <v>434620704.54933327</v>
      </c>
      <c r="G7" s="119">
        <f t="shared" si="1"/>
        <v>549026273.76133335</v>
      </c>
      <c r="H7" s="119">
        <f t="shared" si="1"/>
        <v>871858721.53688526</v>
      </c>
      <c r="I7" s="119">
        <f t="shared" si="1"/>
        <v>1150257111.3374939</v>
      </c>
      <c r="J7" s="119">
        <f t="shared" si="1"/>
        <v>1829957807.8460927</v>
      </c>
      <c r="K7" s="119">
        <f t="shared" si="1"/>
        <v>2546147535.6148691</v>
      </c>
    </row>
    <row r="8" spans="2:11" x14ac:dyDescent="0.35">
      <c r="B8" s="57" t="s">
        <v>80</v>
      </c>
      <c r="C8" s="57"/>
      <c r="D8" s="57"/>
      <c r="E8" s="107"/>
      <c r="F8" s="107"/>
      <c r="G8" s="107"/>
      <c r="H8" s="107"/>
      <c r="I8" s="107"/>
      <c r="J8" s="107"/>
      <c r="K8" s="107"/>
    </row>
    <row r="9" spans="2:11" x14ac:dyDescent="0.35">
      <c r="B9" s="99" t="s">
        <v>59</v>
      </c>
      <c r="C9" s="57" t="str">
        <f t="shared" ref="C9:C13" si="2">$C$5</f>
        <v>₹</v>
      </c>
      <c r="D9" s="99"/>
      <c r="E9" s="105">
        <f>'4. Fixed Assets'!D5+'4. Fixed Assets'!D6+'4. Fixed Assets'!D7+'4. Fixed Assets'!D8+'4. Fixed Assets'!D9</f>
        <v>1910000000</v>
      </c>
      <c r="F9" s="105">
        <f>'4. Fixed Assets'!E5+'4. Fixed Assets'!E6+'4. Fixed Assets'!E7+'4. Fixed Assets'!E8+'4. Fixed Assets'!E9+E9</f>
        <v>1910000000</v>
      </c>
      <c r="G9" s="105">
        <f>'4. Fixed Assets'!F5+'4. Fixed Assets'!F6+'4. Fixed Assets'!F7+'4. Fixed Assets'!F8+'4. Fixed Assets'!F9+F9</f>
        <v>1910000000</v>
      </c>
      <c r="H9" s="105">
        <f>'4. Fixed Assets'!G5+'4. Fixed Assets'!G6+'4. Fixed Assets'!G7+'4. Fixed Assets'!G8+'4. Fixed Assets'!G9+G9</f>
        <v>1910000000</v>
      </c>
      <c r="I9" s="105">
        <f>'4. Fixed Assets'!H5+'4. Fixed Assets'!H6+'4. Fixed Assets'!H7+'4. Fixed Assets'!H8+'4. Fixed Assets'!H9+H9</f>
        <v>1910000000</v>
      </c>
      <c r="J9" s="105">
        <f>'4. Fixed Assets'!I5+'4. Fixed Assets'!I6+'4. Fixed Assets'!I7+'4. Fixed Assets'!I8+'4. Fixed Assets'!I9+I9</f>
        <v>1910000000</v>
      </c>
      <c r="K9" s="105">
        <f>'4. Fixed Assets'!J5+'4. Fixed Assets'!J6+'4. Fixed Assets'!J7+'4. Fixed Assets'!J8+'4. Fixed Assets'!J9+J9</f>
        <v>1910000000</v>
      </c>
    </row>
    <row r="10" spans="2:11" x14ac:dyDescent="0.35">
      <c r="B10" s="99" t="s">
        <v>81</v>
      </c>
      <c r="C10" s="57" t="str">
        <f t="shared" si="2"/>
        <v>₹</v>
      </c>
      <c r="D10" s="99"/>
      <c r="E10" s="105">
        <f>-'4. Fixed Assets'!D22</f>
        <v>-164333333.33333334</v>
      </c>
      <c r="F10" s="105">
        <f>E10-'4. Fixed Assets'!E22</f>
        <v>-328666666.66666669</v>
      </c>
      <c r="G10" s="105">
        <f>F10-'4. Fixed Assets'!F22</f>
        <v>-493000000</v>
      </c>
      <c r="H10" s="105">
        <f>G10-'4. Fixed Assets'!G22</f>
        <v>-657333333.33333337</v>
      </c>
      <c r="I10" s="105">
        <f>H10-'4. Fixed Assets'!H22</f>
        <v>-821666666.66666675</v>
      </c>
      <c r="J10" s="105">
        <f>I10-'4. Fixed Assets'!I22</f>
        <v>-986000000.00000012</v>
      </c>
      <c r="K10" s="105">
        <f>J10-'4. Fixed Assets'!J22</f>
        <v>-1150333333.3333335</v>
      </c>
    </row>
    <row r="11" spans="2:11" x14ac:dyDescent="0.35">
      <c r="B11" s="57" t="s">
        <v>82</v>
      </c>
      <c r="C11" s="57" t="str">
        <f t="shared" si="2"/>
        <v>₹</v>
      </c>
      <c r="D11" s="133">
        <f>SUM(D9:D10)</f>
        <v>0</v>
      </c>
      <c r="E11" s="133">
        <f t="shared" ref="E11:K11" si="3">SUM(E9:E10)</f>
        <v>1745666666.6666667</v>
      </c>
      <c r="F11" s="133">
        <f t="shared" si="3"/>
        <v>1581333333.3333333</v>
      </c>
      <c r="G11" s="133">
        <f t="shared" si="3"/>
        <v>1417000000</v>
      </c>
      <c r="H11" s="133">
        <f t="shared" si="3"/>
        <v>1252666666.6666665</v>
      </c>
      <c r="I11" s="133">
        <f t="shared" si="3"/>
        <v>1088333333.3333333</v>
      </c>
      <c r="J11" s="133">
        <f t="shared" si="3"/>
        <v>923999999.99999988</v>
      </c>
      <c r="K11" s="133">
        <f t="shared" si="3"/>
        <v>759666666.66666651</v>
      </c>
    </row>
    <row r="12" spans="2:11" x14ac:dyDescent="0.35">
      <c r="B12" s="97" t="s">
        <v>83</v>
      </c>
      <c r="C12" s="81" t="str">
        <f>$C$5</f>
        <v>₹</v>
      </c>
      <c r="D12" s="130">
        <f>D11</f>
        <v>0</v>
      </c>
      <c r="E12" s="130">
        <f t="shared" ref="E12:K12" si="4">E11</f>
        <v>1745666666.6666667</v>
      </c>
      <c r="F12" s="130">
        <f t="shared" si="4"/>
        <v>1581333333.3333333</v>
      </c>
      <c r="G12" s="130">
        <f t="shared" si="4"/>
        <v>1417000000</v>
      </c>
      <c r="H12" s="130">
        <f t="shared" si="4"/>
        <v>1252666666.6666665</v>
      </c>
      <c r="I12" s="130">
        <f t="shared" si="4"/>
        <v>1088333333.3333333</v>
      </c>
      <c r="J12" s="130">
        <f t="shared" si="4"/>
        <v>923999999.99999988</v>
      </c>
      <c r="K12" s="130">
        <f t="shared" si="4"/>
        <v>759666666.66666651</v>
      </c>
    </row>
    <row r="13" spans="2:11" x14ac:dyDescent="0.35">
      <c r="B13" s="11" t="s">
        <v>84</v>
      </c>
      <c r="C13" s="81" t="str">
        <f t="shared" si="2"/>
        <v>₹</v>
      </c>
      <c r="D13" s="12">
        <f>D7+D12</f>
        <v>-1245100000</v>
      </c>
      <c r="E13" s="12">
        <f t="shared" ref="E13:K13" si="5">E7+E12</f>
        <v>2054499941.0826666</v>
      </c>
      <c r="F13" s="12">
        <f t="shared" si="5"/>
        <v>2015954037.8826666</v>
      </c>
      <c r="G13" s="12">
        <f t="shared" si="5"/>
        <v>1966026273.7613335</v>
      </c>
      <c r="H13" s="12">
        <f t="shared" si="5"/>
        <v>2124525388.2035518</v>
      </c>
      <c r="I13" s="12">
        <f t="shared" si="5"/>
        <v>2238590444.6708269</v>
      </c>
      <c r="J13" s="12">
        <f t="shared" si="5"/>
        <v>2753957807.8460927</v>
      </c>
      <c r="K13" s="12">
        <f t="shared" si="5"/>
        <v>3305814202.2815356</v>
      </c>
    </row>
    <row r="14" spans="2:11" x14ac:dyDescent="0.35">
      <c r="E14" s="107"/>
      <c r="F14" s="107"/>
      <c r="G14" s="107"/>
      <c r="H14" s="107"/>
      <c r="I14" s="107"/>
      <c r="J14" s="107"/>
      <c r="K14" s="107"/>
    </row>
    <row r="15" spans="2:11" x14ac:dyDescent="0.35">
      <c r="B15" s="57" t="s">
        <v>85</v>
      </c>
      <c r="C15" s="57"/>
      <c r="D15" s="57"/>
      <c r="E15" s="107"/>
      <c r="F15" s="107"/>
      <c r="G15" s="107"/>
      <c r="H15" s="107"/>
      <c r="I15" s="107"/>
      <c r="J15" s="107"/>
      <c r="K15" s="107"/>
    </row>
    <row r="16" spans="2:11" x14ac:dyDescent="0.35">
      <c r="B16" s="99" t="s">
        <v>86</v>
      </c>
      <c r="C16" s="98" t="str">
        <f>$C$5</f>
        <v>₹</v>
      </c>
      <c r="D16" s="99"/>
      <c r="E16" s="108">
        <f>E32*E34</f>
        <v>46026630</v>
      </c>
      <c r="F16" s="108">
        <f t="shared" ref="F16:K16" si="6">F32*F34</f>
        <v>59925066.299999997</v>
      </c>
      <c r="G16" s="108">
        <f t="shared" si="6"/>
        <v>70784569.575000003</v>
      </c>
      <c r="H16" s="108">
        <f t="shared" si="6"/>
        <v>92564505.060776994</v>
      </c>
      <c r="I16" s="108">
        <f t="shared" si="6"/>
        <v>120897782.89515258</v>
      </c>
      <c r="J16" s="108">
        <f t="shared" si="6"/>
        <v>158354112.72330183</v>
      </c>
      <c r="K16" s="108">
        <f t="shared" si="6"/>
        <v>207041283.14687425</v>
      </c>
    </row>
    <row r="17" spans="2:15" x14ac:dyDescent="0.35">
      <c r="B17" s="99" t="s">
        <v>87</v>
      </c>
      <c r="C17" s="98" t="str">
        <f>$C$5</f>
        <v>₹</v>
      </c>
      <c r="D17" s="99"/>
      <c r="E17" s="109">
        <f>E31*E35</f>
        <v>145057948.41599998</v>
      </c>
      <c r="F17" s="109">
        <f t="shared" ref="F17:K17" si="7">F31*F35</f>
        <v>192381818.11199999</v>
      </c>
      <c r="G17" s="109">
        <f t="shared" si="7"/>
        <v>231475449.59999999</v>
      </c>
      <c r="H17" s="109">
        <f t="shared" si="7"/>
        <v>308325298.86719996</v>
      </c>
      <c r="I17" s="109">
        <f t="shared" si="7"/>
        <v>410174496.69119996</v>
      </c>
      <c r="J17" s="109">
        <f t="shared" si="7"/>
        <v>547207962.85439992</v>
      </c>
      <c r="K17" s="109">
        <f t="shared" si="7"/>
        <v>728684715.34079993</v>
      </c>
    </row>
    <row r="18" spans="2:15" x14ac:dyDescent="0.35">
      <c r="B18" s="82" t="s">
        <v>88</v>
      </c>
      <c r="C18" s="121" t="str">
        <f>$C$5</f>
        <v>₹</v>
      </c>
      <c r="D18" s="129">
        <f>SUM(D16:D17)</f>
        <v>0</v>
      </c>
      <c r="E18" s="129">
        <f t="shared" ref="E18:K18" si="8">SUM(E16:E17)</f>
        <v>191084578.41599998</v>
      </c>
      <c r="F18" s="129">
        <f t="shared" si="8"/>
        <v>252306884.412</v>
      </c>
      <c r="G18" s="129">
        <f t="shared" si="8"/>
        <v>302260019.17500001</v>
      </c>
      <c r="H18" s="129">
        <f t="shared" si="8"/>
        <v>400889803.92797697</v>
      </c>
      <c r="I18" s="129">
        <f t="shared" si="8"/>
        <v>531072279.58635253</v>
      </c>
      <c r="J18" s="129">
        <f t="shared" si="8"/>
        <v>705562075.57770181</v>
      </c>
      <c r="K18" s="129">
        <f t="shared" si="8"/>
        <v>935725998.48767424</v>
      </c>
    </row>
    <row r="19" spans="2:15" x14ac:dyDescent="0.35">
      <c r="B19" s="57" t="s">
        <v>89</v>
      </c>
      <c r="C19" s="57"/>
      <c r="D19" s="57"/>
      <c r="E19" s="107"/>
      <c r="F19" s="107"/>
      <c r="G19" s="107"/>
      <c r="H19" s="107"/>
      <c r="I19" s="107"/>
      <c r="J19" s="107"/>
      <c r="K19" s="107"/>
    </row>
    <row r="20" spans="2:15" x14ac:dyDescent="0.35">
      <c r="B20" s="99" t="s">
        <v>90</v>
      </c>
      <c r="C20" s="98" t="str">
        <f>C5</f>
        <v>₹</v>
      </c>
      <c r="D20" s="116">
        <v>1000000000</v>
      </c>
      <c r="E20" s="40">
        <f>(D20+E38)-E39</f>
        <v>975000000</v>
      </c>
      <c r="F20" s="40">
        <f t="shared" ref="F20:K20" si="9">(E20+F38)-F39</f>
        <v>950000000</v>
      </c>
      <c r="G20" s="40">
        <f t="shared" si="9"/>
        <v>925000000</v>
      </c>
      <c r="H20" s="40">
        <f t="shared" si="9"/>
        <v>902500000</v>
      </c>
      <c r="I20" s="40">
        <f t="shared" si="9"/>
        <v>852500000</v>
      </c>
      <c r="J20" s="40">
        <f t="shared" si="9"/>
        <v>885000000</v>
      </c>
      <c r="K20" s="40">
        <f t="shared" si="9"/>
        <v>862500000</v>
      </c>
    </row>
    <row r="21" spans="2:15" x14ac:dyDescent="0.35">
      <c r="B21" s="117" t="s">
        <v>91</v>
      </c>
      <c r="C21" s="117" t="str">
        <f>C20</f>
        <v>₹</v>
      </c>
      <c r="D21" s="126">
        <f>D20</f>
        <v>1000000000</v>
      </c>
      <c r="E21" s="126">
        <f t="shared" ref="E21:K21" si="10">E20</f>
        <v>975000000</v>
      </c>
      <c r="F21" s="126">
        <f t="shared" si="10"/>
        <v>950000000</v>
      </c>
      <c r="G21" s="126">
        <f t="shared" si="10"/>
        <v>925000000</v>
      </c>
      <c r="H21" s="126">
        <f t="shared" si="10"/>
        <v>902500000</v>
      </c>
      <c r="I21" s="126">
        <f t="shared" si="10"/>
        <v>852500000</v>
      </c>
      <c r="J21" s="126">
        <f t="shared" si="10"/>
        <v>885000000</v>
      </c>
      <c r="K21" s="126">
        <f t="shared" si="10"/>
        <v>862500000</v>
      </c>
    </row>
    <row r="22" spans="2:15" x14ac:dyDescent="0.35">
      <c r="B22" s="83" t="s">
        <v>92</v>
      </c>
      <c r="C22" s="83" t="str">
        <f>C21</f>
        <v>₹</v>
      </c>
      <c r="D22" s="128">
        <f>D18+D21</f>
        <v>1000000000</v>
      </c>
      <c r="E22" s="128">
        <f t="shared" ref="E22:K22" si="11">E18+E21</f>
        <v>1166084578.4159999</v>
      </c>
      <c r="F22" s="128">
        <f t="shared" si="11"/>
        <v>1202306884.4119999</v>
      </c>
      <c r="G22" s="128">
        <f t="shared" si="11"/>
        <v>1227260019.175</v>
      </c>
      <c r="H22" s="128">
        <f t="shared" si="11"/>
        <v>1303389803.9279771</v>
      </c>
      <c r="I22" s="128">
        <f t="shared" si="11"/>
        <v>1383572279.5863526</v>
      </c>
      <c r="J22" s="128">
        <f t="shared" si="11"/>
        <v>1590562075.5777018</v>
      </c>
      <c r="K22" s="128">
        <f t="shared" si="11"/>
        <v>1798225998.4876742</v>
      </c>
    </row>
    <row r="23" spans="2:15" x14ac:dyDescent="0.35">
      <c r="B23" s="57" t="s">
        <v>93</v>
      </c>
      <c r="C23" s="57"/>
      <c r="D23" s="57"/>
      <c r="E23" s="107"/>
      <c r="F23" s="107"/>
      <c r="G23" s="107"/>
      <c r="H23" s="107"/>
      <c r="I23" s="107"/>
      <c r="J23" s="107"/>
      <c r="K23" s="107"/>
    </row>
    <row r="24" spans="2:15" x14ac:dyDescent="0.35">
      <c r="B24" s="99" t="s">
        <v>94</v>
      </c>
      <c r="C24" s="98" t="str">
        <f>C20</f>
        <v>₹</v>
      </c>
      <c r="D24" s="134">
        <f>D13-D22</f>
        <v>-2245100000</v>
      </c>
      <c r="E24" s="134">
        <f>E13-E22</f>
        <v>888415362.66666675</v>
      </c>
      <c r="F24" s="134">
        <f t="shared" ref="F24:K24" si="12">F13-F22</f>
        <v>813647153.47066665</v>
      </c>
      <c r="G24" s="134">
        <f t="shared" si="12"/>
        <v>738766254.58633351</v>
      </c>
      <c r="H24" s="134">
        <f t="shared" si="12"/>
        <v>821135584.27557468</v>
      </c>
      <c r="I24" s="134">
        <f t="shared" si="12"/>
        <v>855018165.08447433</v>
      </c>
      <c r="J24" s="134">
        <f t="shared" si="12"/>
        <v>1163395732.2683909</v>
      </c>
      <c r="K24" s="134">
        <f t="shared" si="12"/>
        <v>1507588203.7938614</v>
      </c>
      <c r="O24" s="116"/>
    </row>
    <row r="25" spans="2:15" x14ac:dyDescent="0.35">
      <c r="B25" s="81" t="s">
        <v>95</v>
      </c>
      <c r="C25" s="81" t="str">
        <f>C21</f>
        <v>₹</v>
      </c>
      <c r="D25" s="125">
        <f t="shared" ref="D25:K25" si="13">SUM(D24:D24)</f>
        <v>-2245100000</v>
      </c>
      <c r="E25" s="125">
        <f t="shared" si="13"/>
        <v>888415362.66666675</v>
      </c>
      <c r="F25" s="125">
        <f t="shared" si="13"/>
        <v>813647153.47066665</v>
      </c>
      <c r="G25" s="125">
        <f t="shared" si="13"/>
        <v>738766254.58633351</v>
      </c>
      <c r="H25" s="125">
        <f t="shared" si="13"/>
        <v>821135584.27557468</v>
      </c>
      <c r="I25" s="125">
        <f t="shared" si="13"/>
        <v>855018165.08447433</v>
      </c>
      <c r="J25" s="125">
        <f t="shared" si="13"/>
        <v>1163395732.2683909</v>
      </c>
      <c r="K25" s="125">
        <f t="shared" si="13"/>
        <v>1507588203.7938614</v>
      </c>
    </row>
    <row r="26" spans="2:15" x14ac:dyDescent="0.35">
      <c r="B26" s="11" t="s">
        <v>96</v>
      </c>
      <c r="C26" s="11" t="str">
        <f>C21</f>
        <v>₹</v>
      </c>
      <c r="D26" s="131">
        <f t="shared" ref="D26:K26" si="14">D22+D25</f>
        <v>-1245100000</v>
      </c>
      <c r="E26" s="131">
        <f t="shared" si="14"/>
        <v>2054499941.0826666</v>
      </c>
      <c r="F26" s="131">
        <f t="shared" si="14"/>
        <v>2015954037.8826666</v>
      </c>
      <c r="G26" s="131">
        <f t="shared" si="14"/>
        <v>1966026273.7613335</v>
      </c>
      <c r="H26" s="131">
        <f t="shared" si="14"/>
        <v>2124525388.2035518</v>
      </c>
      <c r="I26" s="131">
        <f t="shared" si="14"/>
        <v>2238590444.6708269</v>
      </c>
      <c r="J26" s="131">
        <f t="shared" si="14"/>
        <v>2753957807.8460927</v>
      </c>
      <c r="K26" s="131">
        <f t="shared" si="14"/>
        <v>3305814202.2815356</v>
      </c>
    </row>
    <row r="28" spans="2:15" x14ac:dyDescent="0.35">
      <c r="B28" s="57" t="s">
        <v>97</v>
      </c>
      <c r="C28" s="57"/>
      <c r="D28" s="127">
        <f t="shared" ref="D28:K28" si="15">D13-D26</f>
        <v>0</v>
      </c>
      <c r="E28" s="127">
        <f t="shared" si="15"/>
        <v>0</v>
      </c>
      <c r="F28" s="127">
        <f t="shared" si="15"/>
        <v>0</v>
      </c>
      <c r="G28" s="127">
        <f t="shared" si="15"/>
        <v>0</v>
      </c>
      <c r="H28" s="127">
        <f t="shared" si="15"/>
        <v>0</v>
      </c>
      <c r="I28" s="127">
        <f t="shared" si="15"/>
        <v>0</v>
      </c>
      <c r="J28" s="127">
        <f t="shared" si="15"/>
        <v>0</v>
      </c>
      <c r="K28" s="127">
        <f t="shared" si="15"/>
        <v>0</v>
      </c>
    </row>
    <row r="30" spans="2:15" x14ac:dyDescent="0.35">
      <c r="B30" s="73" t="s">
        <v>98</v>
      </c>
      <c r="C30" s="73"/>
      <c r="D30" s="73"/>
      <c r="E30" s="101"/>
      <c r="F30" s="101"/>
      <c r="G30" s="101"/>
      <c r="H30" s="101"/>
      <c r="I30" s="101"/>
      <c r="J30" s="101"/>
      <c r="K30" s="101"/>
    </row>
    <row r="31" spans="2:15" x14ac:dyDescent="0.35">
      <c r="B31" s="101" t="s">
        <v>99</v>
      </c>
      <c r="C31" s="101" t="str">
        <f>C5</f>
        <v>₹</v>
      </c>
      <c r="D31" s="101"/>
      <c r="E31" s="110">
        <f>'1. Income Statement'!D24</f>
        <v>2043069696</v>
      </c>
      <c r="F31" s="110">
        <f>'1. Income Statement'!E24</f>
        <v>2709603072</v>
      </c>
      <c r="G31" s="110">
        <f>'1. Income Statement'!F24</f>
        <v>3260217600</v>
      </c>
      <c r="H31" s="110">
        <f>'1. Income Statement'!G24</f>
        <v>4342609843.1999998</v>
      </c>
      <c r="I31" s="110">
        <f>'1. Income Statement'!H24</f>
        <v>5777105587.1999998</v>
      </c>
      <c r="J31" s="110">
        <f>'1. Income Statement'!I24</f>
        <v>7707154406.3999996</v>
      </c>
      <c r="K31" s="110">
        <f>'1. Income Statement'!J24</f>
        <v>10263165004.799999</v>
      </c>
    </row>
    <row r="32" spans="2:15" x14ac:dyDescent="0.35">
      <c r="B32" s="101" t="s">
        <v>3</v>
      </c>
      <c r="C32" s="101" t="str">
        <f>C5</f>
        <v>₹</v>
      </c>
      <c r="D32" s="101"/>
      <c r="E32" s="111">
        <f>'1. Income Statement'!D47</f>
        <v>1534221000</v>
      </c>
      <c r="F32" s="111">
        <f>'1. Income Statement'!E47</f>
        <v>1997502210</v>
      </c>
      <c r="G32" s="111">
        <f>'1. Income Statement'!F47</f>
        <v>2359485652.5</v>
      </c>
      <c r="H32" s="111">
        <f>'1. Income Statement'!G47</f>
        <v>3085483502.0258999</v>
      </c>
      <c r="I32" s="111">
        <f>'1. Income Statement'!H47</f>
        <v>4029926096.5050864</v>
      </c>
      <c r="J32" s="111">
        <f>'1. Income Statement'!I47</f>
        <v>5278470424.1100607</v>
      </c>
      <c r="K32" s="111">
        <f>'1. Income Statement'!J47</f>
        <v>6901376104.8958082</v>
      </c>
    </row>
    <row r="33" spans="2:11" x14ac:dyDescent="0.35">
      <c r="B33" s="102" t="str">
        <f>B6&amp;" as a % of revenue"</f>
        <v>Accounts Receivable as a % of revenue</v>
      </c>
      <c r="C33" s="124" t="s">
        <v>25</v>
      </c>
      <c r="D33" s="102"/>
      <c r="E33" s="112">
        <f t="shared" ref="E33:K33" si="16">E6/E31</f>
        <v>6.9478255684528548E-2</v>
      </c>
      <c r="F33" s="112">
        <f t="shared" si="16"/>
        <v>6.9478255684528548E-2</v>
      </c>
      <c r="G33" s="112">
        <f t="shared" si="16"/>
        <v>7.1565232946414384E-2</v>
      </c>
      <c r="H33" s="112">
        <f t="shared" si="16"/>
        <v>7.156523294641437E-2</v>
      </c>
      <c r="I33" s="112">
        <f t="shared" si="16"/>
        <v>7.1565232946414384E-2</v>
      </c>
      <c r="J33" s="112">
        <f t="shared" si="16"/>
        <v>7.1565232946414384E-2</v>
      </c>
      <c r="K33" s="112">
        <f t="shared" si="16"/>
        <v>7.156523294641437E-2</v>
      </c>
    </row>
    <row r="34" spans="2:11" x14ac:dyDescent="0.35">
      <c r="B34" s="102" t="str">
        <f>B16&amp;" as a % of COGS"</f>
        <v>Accounts Payable as a % of COGS</v>
      </c>
      <c r="C34" s="124" t="s">
        <v>25</v>
      </c>
      <c r="D34" s="102"/>
      <c r="E34" s="112">
        <v>0.03</v>
      </c>
      <c r="F34" s="112">
        <v>0.03</v>
      </c>
      <c r="G34" s="112">
        <v>0.03</v>
      </c>
      <c r="H34" s="112">
        <v>0.03</v>
      </c>
      <c r="I34" s="112">
        <v>0.03</v>
      </c>
      <c r="J34" s="112">
        <v>0.03</v>
      </c>
      <c r="K34" s="112">
        <v>0.03</v>
      </c>
    </row>
    <row r="35" spans="2:11" x14ac:dyDescent="0.35">
      <c r="B35" s="102" t="str">
        <f>B17&amp;" as a % of revenue"</f>
        <v>Deferred Revenue as a % of revenue</v>
      </c>
      <c r="C35" s="124" t="s">
        <v>25</v>
      </c>
      <c r="D35" s="102"/>
      <c r="E35" s="112">
        <v>7.0999999999999994E-2</v>
      </c>
      <c r="F35" s="112">
        <v>7.0999999999999994E-2</v>
      </c>
      <c r="G35" s="112">
        <v>7.0999999999999994E-2</v>
      </c>
      <c r="H35" s="112">
        <v>7.0999999999999994E-2</v>
      </c>
      <c r="I35" s="112">
        <v>7.0999999999999994E-2</v>
      </c>
      <c r="J35" s="112">
        <v>7.0999999999999994E-2</v>
      </c>
      <c r="K35" s="112">
        <v>7.0999999999999994E-2</v>
      </c>
    </row>
    <row r="36" spans="2:11" x14ac:dyDescent="0.35">
      <c r="B36" s="101"/>
      <c r="C36" s="101"/>
      <c r="D36" s="101"/>
      <c r="E36" s="113"/>
      <c r="F36" s="113"/>
      <c r="G36" s="113"/>
      <c r="H36" s="113"/>
      <c r="I36" s="113"/>
      <c r="J36" s="113"/>
      <c r="K36" s="113"/>
    </row>
    <row r="37" spans="2:11" x14ac:dyDescent="0.35">
      <c r="B37" s="101" t="s">
        <v>90</v>
      </c>
      <c r="C37" s="101"/>
      <c r="D37" s="101"/>
      <c r="E37" s="114"/>
      <c r="F37" s="114"/>
      <c r="G37" s="114"/>
      <c r="H37" s="114"/>
      <c r="I37" s="114"/>
      <c r="J37" s="114"/>
      <c r="K37" s="114"/>
    </row>
    <row r="38" spans="2:11" x14ac:dyDescent="0.35">
      <c r="B38" s="102" t="s">
        <v>100</v>
      </c>
      <c r="C38" s="101" t="str">
        <f>C31</f>
        <v>₹</v>
      </c>
      <c r="D38" s="123">
        <f>D20</f>
        <v>1000000000</v>
      </c>
      <c r="E38" s="113"/>
      <c r="F38" s="115"/>
      <c r="G38" s="115"/>
      <c r="H38" s="110">
        <f>'4. Fixed Assets'!G16</f>
        <v>27500000</v>
      </c>
      <c r="I38" s="110">
        <f>'4. Fixed Assets'!H16</f>
        <v>0</v>
      </c>
      <c r="J38" s="110">
        <f>'4. Fixed Assets'!I16</f>
        <v>82500000</v>
      </c>
      <c r="K38" s="110">
        <f>'4. Fixed Assets'!J16</f>
        <v>27500000</v>
      </c>
    </row>
    <row r="39" spans="2:11" x14ac:dyDescent="0.35">
      <c r="B39" s="102" t="s">
        <v>101</v>
      </c>
      <c r="C39" s="101" t="str">
        <f>C31</f>
        <v>₹</v>
      </c>
      <c r="D39" s="103"/>
      <c r="E39" s="132">
        <f>25000000</f>
        <v>25000000</v>
      </c>
      <c r="F39" s="132">
        <f t="shared" ref="F39:G39" si="17">25000000</f>
        <v>25000000</v>
      </c>
      <c r="G39" s="132">
        <f t="shared" si="17"/>
        <v>25000000</v>
      </c>
      <c r="H39" s="132">
        <f t="shared" ref="H39:K39" si="18">50000000</f>
        <v>50000000</v>
      </c>
      <c r="I39" s="132">
        <f t="shared" si="18"/>
        <v>50000000</v>
      </c>
      <c r="J39" s="132">
        <f t="shared" si="18"/>
        <v>50000000</v>
      </c>
      <c r="K39" s="132">
        <f t="shared" si="18"/>
        <v>50000000</v>
      </c>
    </row>
    <row r="40" spans="2:11" x14ac:dyDescent="0.35">
      <c r="B40" s="102" t="s">
        <v>102</v>
      </c>
      <c r="C40" s="101" t="str">
        <f>C33</f>
        <v>%</v>
      </c>
      <c r="D40" s="103"/>
      <c r="E40" s="122">
        <v>0.11</v>
      </c>
      <c r="F40" s="122">
        <v>0.11</v>
      </c>
      <c r="G40" s="122">
        <v>0.11</v>
      </c>
      <c r="H40" s="122">
        <v>0.11</v>
      </c>
      <c r="I40" s="122">
        <v>0.11</v>
      </c>
      <c r="J40" s="122">
        <v>0.11</v>
      </c>
      <c r="K40" s="122">
        <v>0.11</v>
      </c>
    </row>
    <row r="41" spans="2:11" x14ac:dyDescent="0.35">
      <c r="B41" s="102" t="s">
        <v>103</v>
      </c>
      <c r="C41" s="101" t="str">
        <f>C31</f>
        <v>₹</v>
      </c>
      <c r="D41" s="103"/>
      <c r="E41" s="104">
        <f t="shared" ref="E41:K41" si="19">E20*E40</f>
        <v>107250000</v>
      </c>
      <c r="F41" s="104">
        <f t="shared" si="19"/>
        <v>104500000</v>
      </c>
      <c r="G41" s="104">
        <f t="shared" si="19"/>
        <v>101750000</v>
      </c>
      <c r="H41" s="104">
        <f t="shared" si="19"/>
        <v>99275000</v>
      </c>
      <c r="I41" s="104">
        <f t="shared" si="19"/>
        <v>93775000</v>
      </c>
      <c r="J41" s="104">
        <f t="shared" si="19"/>
        <v>97350000</v>
      </c>
      <c r="K41" s="104">
        <f t="shared" si="19"/>
        <v>94875000</v>
      </c>
    </row>
  </sheetData>
  <pageMargins left="0.7" right="0.7" top="0.75" bottom="0.75" header="0.3" footer="0.3"/>
  <ignoredErrors>
    <ignoredError sqref="C3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AFA2-3ADC-4907-ACE8-DF9BCCA8BE14}">
  <dimension ref="A2:J22"/>
  <sheetViews>
    <sheetView showGridLines="0" zoomScale="110" zoomScaleNormal="110" workbookViewId="0">
      <pane ySplit="3" topLeftCell="A10" activePane="bottomLeft" state="frozenSplit"/>
      <selection pane="bottomLeft" activeCell="I34" sqref="I34"/>
    </sheetView>
  </sheetViews>
  <sheetFormatPr defaultColWidth="11.4140625" defaultRowHeight="14.5" x14ac:dyDescent="0.35"/>
  <cols>
    <col min="1" max="1" width="1.58203125" style="76" bestFit="1" customWidth="1"/>
    <col min="2" max="2" width="26.25" style="76" bestFit="1" customWidth="1"/>
    <col min="3" max="3" width="15" style="76" bestFit="1" customWidth="1"/>
    <col min="4" max="4" width="11.58203125" style="76" bestFit="1" customWidth="1"/>
    <col min="5" max="5" width="11.1640625" style="76" bestFit="1" customWidth="1"/>
    <col min="6" max="6" width="12.58203125" style="76" bestFit="1" customWidth="1"/>
    <col min="7" max="7" width="12" style="76" bestFit="1" customWidth="1"/>
    <col min="8" max="10" width="12.58203125" style="76" bestFit="1" customWidth="1"/>
    <col min="11" max="16384" width="11.4140625" style="76"/>
  </cols>
  <sheetData>
    <row r="2" spans="1:10" x14ac:dyDescent="0.35">
      <c r="A2" s="76" t="s">
        <v>21</v>
      </c>
      <c r="B2" s="241" t="s">
        <v>104</v>
      </c>
      <c r="C2" s="241"/>
      <c r="D2" s="241"/>
      <c r="E2" s="241"/>
      <c r="F2" s="241"/>
      <c r="G2" s="241"/>
      <c r="H2" s="241"/>
      <c r="I2" s="241"/>
      <c r="J2" s="241"/>
    </row>
    <row r="3" spans="1:10" ht="15" thickBot="1" x14ac:dyDescent="0.4">
      <c r="B3" s="84"/>
      <c r="C3" s="84" t="s">
        <v>121</v>
      </c>
      <c r="D3" s="85">
        <f>'4. Fixed Assets'!E3</f>
        <v>46022</v>
      </c>
      <c r="E3" s="85">
        <f t="shared" ref="E3:H3" si="0">EDATE(D3,12)</f>
        <v>46387</v>
      </c>
      <c r="F3" s="85">
        <f t="shared" si="0"/>
        <v>46752</v>
      </c>
      <c r="G3" s="85">
        <f t="shared" si="0"/>
        <v>47118</v>
      </c>
      <c r="H3" s="85">
        <f t="shared" si="0"/>
        <v>47483</v>
      </c>
      <c r="I3" s="85">
        <f t="shared" ref="I3" si="1">EDATE(H3,12)</f>
        <v>47848</v>
      </c>
      <c r="J3" s="85">
        <f t="shared" ref="J3" si="2">EDATE(I3,12)</f>
        <v>48213</v>
      </c>
    </row>
    <row r="4" spans="1:10" s="8" customFormat="1" x14ac:dyDescent="0.35">
      <c r="B4" s="80" t="s">
        <v>56</v>
      </c>
      <c r="C4" s="80" t="s">
        <v>122</v>
      </c>
      <c r="D4" s="14">
        <f>'1. Income Statement'!D66</f>
        <v>-21584637.333333373</v>
      </c>
      <c r="E4" s="14">
        <f>'1. Income Statement'!E66</f>
        <v>92116146.49999997</v>
      </c>
      <c r="F4" s="14">
        <f>'1. Income Statement'!F66</f>
        <v>198981310.62499997</v>
      </c>
      <c r="G4" s="14">
        <f>'1. Income Statement'!G66</f>
        <v>398077371.45057493</v>
      </c>
      <c r="H4" s="14">
        <f>'1. Income Statement'!H66</f>
        <v>677461417.32178497</v>
      </c>
      <c r="I4" s="14">
        <f>'1. Income Statement'!I66</f>
        <v>1072694771.4174101</v>
      </c>
      <c r="J4" s="14">
        <f>'1. Income Statement'!J66</f>
        <v>1622585978.9235635</v>
      </c>
    </row>
    <row r="5" spans="1:10" x14ac:dyDescent="0.35">
      <c r="B5" s="57" t="s">
        <v>57</v>
      </c>
      <c r="C5" s="57"/>
    </row>
    <row r="6" spans="1:10" x14ac:dyDescent="0.35">
      <c r="B6" s="87" t="s">
        <v>53</v>
      </c>
      <c r="D6" s="86">
        <f>'4. Fixed Assets'!D22</f>
        <v>164333333.33333334</v>
      </c>
      <c r="E6" s="86">
        <f>'4. Fixed Assets'!E22</f>
        <v>164333333.33333334</v>
      </c>
      <c r="F6" s="86">
        <f>'4. Fixed Assets'!F22</f>
        <v>164333333.33333334</v>
      </c>
      <c r="G6" s="86">
        <f>'4. Fixed Assets'!G22</f>
        <v>164333333.33333334</v>
      </c>
      <c r="H6" s="86">
        <f>'4. Fixed Assets'!H22</f>
        <v>164333333.33333334</v>
      </c>
      <c r="I6" s="86">
        <f>'4. Fixed Assets'!I22</f>
        <v>164333333.33333334</v>
      </c>
      <c r="J6" s="86">
        <f>'4. Fixed Assets'!J22</f>
        <v>164333333.33333334</v>
      </c>
    </row>
    <row r="7" spans="1:10" x14ac:dyDescent="0.35">
      <c r="B7" s="78" t="s">
        <v>111</v>
      </c>
      <c r="C7" s="157" t="s">
        <v>122</v>
      </c>
      <c r="D7" s="86">
        <f>'2. Balance Sheet'!D6-'2. Balance Sheet'!E6</f>
        <v>-141948918.72</v>
      </c>
      <c r="E7" s="86">
        <f>'2. Balance Sheet'!E6-'2. Balance Sheet'!F6</f>
        <v>-46309576.320000023</v>
      </c>
      <c r="F7" s="86">
        <f>'2. Balance Sheet'!F6-'2. Balance Sheet'!G6</f>
        <v>-45059736.960000008</v>
      </c>
      <c r="G7" s="86">
        <f>'2. Balance Sheet'!G6-'2. Balance Sheet'!H6</f>
        <v>-77461653.023999959</v>
      </c>
      <c r="H7" s="86">
        <f>'2. Balance Sheet'!H6-'2. Balance Sheet'!I6</f>
        <v>-102660022.08000004</v>
      </c>
      <c r="I7" s="86">
        <f>'2. Balance Sheet'!I6-'2. Balance Sheet'!J6</f>
        <v>-138124393.34400004</v>
      </c>
      <c r="J7" s="86">
        <f>'2. Balance Sheet'!J6-'2. Balance Sheet'!K6</f>
        <v>-182921493.88799989</v>
      </c>
    </row>
    <row r="8" spans="1:10" x14ac:dyDescent="0.35">
      <c r="B8" s="78" t="s">
        <v>112</v>
      </c>
      <c r="C8" s="157" t="s">
        <v>122</v>
      </c>
      <c r="D8" s="86">
        <f>-('2. Balance Sheet'!D16-'2. Balance Sheet'!E16)</f>
        <v>46026630</v>
      </c>
      <c r="E8" s="86">
        <f>-('2. Balance Sheet'!E16-'2. Balance Sheet'!F16)</f>
        <v>13898436.299999997</v>
      </c>
      <c r="F8" s="86">
        <f>-('2. Balance Sheet'!F16-'2. Balance Sheet'!G16)</f>
        <v>10859503.275000006</v>
      </c>
      <c r="G8" s="86">
        <f>-('2. Balance Sheet'!G16-'2. Balance Sheet'!H16)</f>
        <v>21779935.485776991</v>
      </c>
      <c r="H8" s="86">
        <f>-('2. Balance Sheet'!H16-'2. Balance Sheet'!I16)</f>
        <v>28333277.83437559</v>
      </c>
      <c r="I8" s="86">
        <f>-('2. Balance Sheet'!I16-'2. Balance Sheet'!J16)</f>
        <v>37456329.828149244</v>
      </c>
      <c r="J8" s="86">
        <f>-('2. Balance Sheet'!J16-'2. Balance Sheet'!K16)</f>
        <v>48687170.423572421</v>
      </c>
    </row>
    <row r="9" spans="1:10" x14ac:dyDescent="0.35">
      <c r="B9" s="79" t="s">
        <v>113</v>
      </c>
      <c r="C9" s="158" t="s">
        <v>122</v>
      </c>
      <c r="D9" s="88">
        <f>-('2. Balance Sheet'!D17-'2. Balance Sheet'!E17)</f>
        <v>145057948.41599998</v>
      </c>
      <c r="E9" s="88">
        <f>-('2. Balance Sheet'!E17-'2. Balance Sheet'!F17)</f>
        <v>47323869.69600001</v>
      </c>
      <c r="F9" s="88">
        <f>-('2. Balance Sheet'!F17-'2. Balance Sheet'!G17)</f>
        <v>39093631.488000005</v>
      </c>
      <c r="G9" s="88">
        <f>-('2. Balance Sheet'!G17-'2. Balance Sheet'!H17)</f>
        <v>76849849.267199963</v>
      </c>
      <c r="H9" s="88">
        <f>-('2. Balance Sheet'!H17-'2. Balance Sheet'!I17)</f>
        <v>101849197.824</v>
      </c>
      <c r="I9" s="88">
        <f>-('2. Balance Sheet'!I17-'2. Balance Sheet'!J17)</f>
        <v>137033466.16319996</v>
      </c>
      <c r="J9" s="88">
        <f>-('2. Balance Sheet'!J17-'2. Balance Sheet'!K17)</f>
        <v>181476752.48640001</v>
      </c>
    </row>
    <row r="10" spans="1:10" s="8" customFormat="1" x14ac:dyDescent="0.35">
      <c r="B10" s="80" t="s">
        <v>105</v>
      </c>
      <c r="C10" s="80">
        <f>SUM(C7:C9)</f>
        <v>0</v>
      </c>
      <c r="D10" s="14">
        <f>SUM(D6:D9)</f>
        <v>213468993.02933332</v>
      </c>
      <c r="E10" s="14">
        <f t="shared" ref="E10:J10" si="3">SUM(E6:E9)</f>
        <v>179246063.00933331</v>
      </c>
      <c r="F10" s="14">
        <f t="shared" si="3"/>
        <v>169226731.13633335</v>
      </c>
      <c r="G10" s="14">
        <f t="shared" si="3"/>
        <v>185501465.06231034</v>
      </c>
      <c r="H10" s="14">
        <f t="shared" si="3"/>
        <v>191855786.91170889</v>
      </c>
      <c r="I10" s="14">
        <f t="shared" si="3"/>
        <v>200698735.98068249</v>
      </c>
      <c r="J10" s="14">
        <f t="shared" si="3"/>
        <v>211575762.35530588</v>
      </c>
    </row>
    <row r="11" spans="1:10" x14ac:dyDescent="0.35">
      <c r="B11" s="57" t="s">
        <v>58</v>
      </c>
      <c r="C11" s="57"/>
    </row>
    <row r="12" spans="1:10" x14ac:dyDescent="0.35">
      <c r="B12" s="79" t="s">
        <v>61</v>
      </c>
      <c r="C12" s="153">
        <f>-('4. Fixed Assets'!D16)</f>
        <v>-2245100000</v>
      </c>
      <c r="D12" s="153">
        <f>-('4. Fixed Assets'!E16)</f>
        <v>0</v>
      </c>
      <c r="E12" s="153">
        <f>-('4. Fixed Assets'!F16)</f>
        <v>0</v>
      </c>
      <c r="F12" s="153">
        <f>-('4. Fixed Assets'!G16)</f>
        <v>-27500000</v>
      </c>
      <c r="G12" s="153">
        <f>-('4. Fixed Assets'!H16)</f>
        <v>0</v>
      </c>
      <c r="H12" s="153">
        <f>-('4. Fixed Assets'!I16)</f>
        <v>-82500000</v>
      </c>
      <c r="I12" s="153">
        <f>-('4. Fixed Assets'!J16)</f>
        <v>-27500000</v>
      </c>
      <c r="J12" s="153">
        <f>-('4. Fixed Assets'!K16)</f>
        <v>0</v>
      </c>
    </row>
    <row r="13" spans="1:10" x14ac:dyDescent="0.35">
      <c r="B13" s="89" t="s">
        <v>106</v>
      </c>
      <c r="C13" s="154">
        <f>C12</f>
        <v>-2245100000</v>
      </c>
      <c r="D13" s="154">
        <f t="shared" ref="D13:J13" si="4">D12</f>
        <v>0</v>
      </c>
      <c r="E13" s="154">
        <f t="shared" si="4"/>
        <v>0</v>
      </c>
      <c r="F13" s="154">
        <f t="shared" si="4"/>
        <v>-27500000</v>
      </c>
      <c r="G13" s="154">
        <f t="shared" si="4"/>
        <v>0</v>
      </c>
      <c r="H13" s="154">
        <f t="shared" si="4"/>
        <v>-82500000</v>
      </c>
      <c r="I13" s="154">
        <f t="shared" si="4"/>
        <v>-27500000</v>
      </c>
      <c r="J13" s="154">
        <f t="shared" si="4"/>
        <v>0</v>
      </c>
    </row>
    <row r="14" spans="1:10" x14ac:dyDescent="0.35">
      <c r="B14" s="57" t="s">
        <v>107</v>
      </c>
      <c r="C14" s="57"/>
    </row>
    <row r="15" spans="1:10" x14ac:dyDescent="0.35">
      <c r="B15" s="78" t="s">
        <v>101</v>
      </c>
      <c r="C15" s="78"/>
      <c r="D15" s="86">
        <f>-('2. Balance Sheet'!E39)</f>
        <v>-25000000</v>
      </c>
      <c r="E15" s="86">
        <f>-('2. Balance Sheet'!F39)</f>
        <v>-25000000</v>
      </c>
      <c r="F15" s="86">
        <f>-('2. Balance Sheet'!G39)</f>
        <v>-25000000</v>
      </c>
      <c r="G15" s="86">
        <f>-('2. Balance Sheet'!H39)</f>
        <v>-50000000</v>
      </c>
      <c r="H15" s="86">
        <f>-('2. Balance Sheet'!I39)</f>
        <v>-50000000</v>
      </c>
      <c r="I15" s="86">
        <f>-('2. Balance Sheet'!J39)</f>
        <v>-50000000</v>
      </c>
      <c r="J15" s="86">
        <f>-('2. Balance Sheet'!K39)</f>
        <v>-50000000</v>
      </c>
    </row>
    <row r="16" spans="1:10" x14ac:dyDescent="0.35">
      <c r="B16" s="78" t="s">
        <v>108</v>
      </c>
      <c r="C16" s="155">
        <f>'2. Balance Sheet'!D38</f>
        <v>1000000000</v>
      </c>
      <c r="D16" s="155">
        <f>'2. Balance Sheet'!E38</f>
        <v>0</v>
      </c>
      <c r="E16" s="155">
        <f>'2. Balance Sheet'!F38</f>
        <v>0</v>
      </c>
      <c r="F16" s="155">
        <f>'2. Balance Sheet'!G38</f>
        <v>0</v>
      </c>
      <c r="G16" s="155">
        <f>'2. Balance Sheet'!H38</f>
        <v>27500000</v>
      </c>
      <c r="H16" s="155">
        <f>'2. Balance Sheet'!I38</f>
        <v>0</v>
      </c>
      <c r="I16" s="155">
        <f>'2. Balance Sheet'!J38</f>
        <v>82500000</v>
      </c>
      <c r="J16" s="155">
        <f>'2. Balance Sheet'!K38</f>
        <v>27500000</v>
      </c>
    </row>
    <row r="17" spans="2:10" x14ac:dyDescent="0.35">
      <c r="B17" s="90" t="s">
        <v>109</v>
      </c>
      <c r="C17" s="156">
        <f>SUM(C15:C16)</f>
        <v>1000000000</v>
      </c>
      <c r="D17" s="156">
        <f t="shared" ref="D17:J17" si="5">SUM(D15:D16)</f>
        <v>-25000000</v>
      </c>
      <c r="E17" s="156">
        <f t="shared" si="5"/>
        <v>-25000000</v>
      </c>
      <c r="F17" s="156">
        <f t="shared" si="5"/>
        <v>-25000000</v>
      </c>
      <c r="G17" s="156">
        <f t="shared" si="5"/>
        <v>-22500000</v>
      </c>
      <c r="H17" s="156">
        <f t="shared" si="5"/>
        <v>-50000000</v>
      </c>
      <c r="I17" s="156">
        <f t="shared" si="5"/>
        <v>32500000</v>
      </c>
      <c r="J17" s="156">
        <f t="shared" si="5"/>
        <v>-22500000</v>
      </c>
    </row>
    <row r="18" spans="2:10" x14ac:dyDescent="0.35">
      <c r="B18" s="77" t="s">
        <v>110</v>
      </c>
      <c r="C18" s="91">
        <f>IFERROR(C4+C10+C13+C17,C13+C17)</f>
        <v>-1245100000</v>
      </c>
      <c r="D18" s="91">
        <f t="shared" ref="D18:J18" si="6">IFERROR(D4+D10+D13+D17,D13+D17)</f>
        <v>166884355.69599995</v>
      </c>
      <c r="E18" s="91">
        <f t="shared" si="6"/>
        <v>246362209.50933325</v>
      </c>
      <c r="F18" s="91">
        <f t="shared" si="6"/>
        <v>315708041.76133335</v>
      </c>
      <c r="G18" s="91">
        <f t="shared" si="6"/>
        <v>561078836.51288533</v>
      </c>
      <c r="H18" s="91">
        <f t="shared" si="6"/>
        <v>736817204.2334938</v>
      </c>
      <c r="I18" s="91">
        <f t="shared" si="6"/>
        <v>1278393507.3980927</v>
      </c>
      <c r="J18" s="91">
        <f t="shared" si="6"/>
        <v>1811661741.2788694</v>
      </c>
    </row>
    <row r="19" spans="2:10" x14ac:dyDescent="0.35">
      <c r="D19" s="135"/>
    </row>
    <row r="20" spans="2:10" x14ac:dyDescent="0.35">
      <c r="B20" s="169"/>
      <c r="C20" s="86"/>
      <c r="D20" s="135"/>
    </row>
    <row r="21" spans="2:10" x14ac:dyDescent="0.35">
      <c r="B21" s="169"/>
      <c r="C21" s="86"/>
      <c r="D21" s="86"/>
      <c r="E21" s="86"/>
      <c r="F21" s="86"/>
      <c r="G21" s="86"/>
      <c r="H21" s="86"/>
      <c r="I21" s="86"/>
      <c r="J21" s="86"/>
    </row>
    <row r="22" spans="2:10" x14ac:dyDescent="0.35">
      <c r="B22" s="169"/>
      <c r="C22" s="86"/>
      <c r="D22" s="135"/>
    </row>
  </sheetData>
  <mergeCells count="1"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A037-A2D3-4152-AA71-206F6DB1C334}">
  <dimension ref="A2:K24"/>
  <sheetViews>
    <sheetView showGridLines="0" zoomScale="110" zoomScaleNormal="110" workbookViewId="0">
      <pane ySplit="3" topLeftCell="A4" activePane="bottomLeft" state="frozenSplit"/>
      <selection activeCell="B2" sqref="B2:J2"/>
      <selection pane="bottomLeft" activeCell="B3" sqref="B3"/>
    </sheetView>
  </sheetViews>
  <sheetFormatPr defaultRowHeight="14.5" x14ac:dyDescent="0.35"/>
  <cols>
    <col min="1" max="1" width="8.6640625" style="63"/>
    <col min="2" max="2" width="27.5" style="63" bestFit="1" customWidth="1"/>
    <col min="3" max="3" width="14.58203125" style="63" bestFit="1" customWidth="1"/>
    <col min="4" max="4" width="12.83203125" style="63" bestFit="1" customWidth="1"/>
    <col min="5" max="11" width="12.08203125" style="63" bestFit="1" customWidth="1"/>
    <col min="12" max="16384" width="8.6640625" style="63"/>
  </cols>
  <sheetData>
    <row r="2" spans="1:11" x14ac:dyDescent="0.35">
      <c r="A2" s="72" t="s">
        <v>21</v>
      </c>
      <c r="B2" s="241" t="s">
        <v>59</v>
      </c>
      <c r="C2" s="241"/>
      <c r="D2" s="241"/>
      <c r="E2" s="241"/>
      <c r="F2" s="241"/>
      <c r="G2" s="241"/>
      <c r="H2" s="241"/>
      <c r="I2" s="241"/>
      <c r="J2" s="241"/>
      <c r="K2" s="241"/>
    </row>
    <row r="3" spans="1:11" ht="15" thickBot="1" x14ac:dyDescent="0.4">
      <c r="B3" s="58"/>
      <c r="C3" s="58" t="s">
        <v>60</v>
      </c>
      <c r="D3" s="58" t="s">
        <v>121</v>
      </c>
      <c r="E3" s="61">
        <v>46022</v>
      </c>
      <c r="F3" s="61">
        <f t="shared" ref="F3:K3" si="0">EDATE(E3,12)</f>
        <v>46387</v>
      </c>
      <c r="G3" s="61">
        <f t="shared" si="0"/>
        <v>46752</v>
      </c>
      <c r="H3" s="61">
        <f t="shared" si="0"/>
        <v>47118</v>
      </c>
      <c r="I3" s="61">
        <f t="shared" si="0"/>
        <v>47483</v>
      </c>
      <c r="J3" s="61">
        <f t="shared" si="0"/>
        <v>47848</v>
      </c>
      <c r="K3" s="61">
        <f t="shared" si="0"/>
        <v>48213</v>
      </c>
    </row>
    <row r="4" spans="1:11" x14ac:dyDescent="0.35">
      <c r="B4" s="57" t="s">
        <v>61</v>
      </c>
    </row>
    <row r="5" spans="1:11" x14ac:dyDescent="0.35">
      <c r="B5" s="64" t="s">
        <v>64</v>
      </c>
      <c r="C5" s="59"/>
      <c r="D5" s="92">
        <v>100000000</v>
      </c>
      <c r="E5" s="93"/>
      <c r="F5" s="93"/>
      <c r="G5" s="93"/>
      <c r="H5" s="94"/>
      <c r="I5" s="94"/>
      <c r="J5" s="94"/>
    </row>
    <row r="6" spans="1:11" x14ac:dyDescent="0.35">
      <c r="B6" s="64" t="s">
        <v>71</v>
      </c>
      <c r="C6" s="59"/>
      <c r="D6" s="92">
        <v>100000000</v>
      </c>
      <c r="E6" s="93"/>
      <c r="F6" s="93"/>
      <c r="G6" s="93"/>
      <c r="H6" s="94"/>
      <c r="I6" s="94"/>
      <c r="J6" s="94"/>
    </row>
    <row r="7" spans="1:11" x14ac:dyDescent="0.35">
      <c r="B7" s="64" t="s">
        <v>65</v>
      </c>
      <c r="C7" s="59"/>
      <c r="D7" s="92">
        <v>210000000</v>
      </c>
      <c r="E7" s="93"/>
      <c r="F7" s="93"/>
      <c r="G7" s="93"/>
      <c r="H7" s="94"/>
      <c r="I7" s="94"/>
      <c r="J7" s="94"/>
    </row>
    <row r="8" spans="1:11" x14ac:dyDescent="0.35">
      <c r="B8" s="64" t="s">
        <v>66</v>
      </c>
      <c r="C8" s="59">
        <v>10</v>
      </c>
      <c r="D8" s="92">
        <v>1320000000</v>
      </c>
      <c r="E8" s="93"/>
      <c r="F8" s="93"/>
      <c r="G8" s="93"/>
      <c r="H8" s="94"/>
      <c r="I8" s="94"/>
      <c r="J8" s="94"/>
    </row>
    <row r="9" spans="1:11" x14ac:dyDescent="0.35">
      <c r="B9" s="64" t="s">
        <v>72</v>
      </c>
      <c r="C9" s="59">
        <v>20</v>
      </c>
      <c r="D9" s="92">
        <v>180000000</v>
      </c>
      <c r="E9" s="93"/>
      <c r="F9" s="93"/>
      <c r="G9" s="93"/>
      <c r="H9" s="94"/>
      <c r="I9" s="94"/>
      <c r="J9" s="94"/>
    </row>
    <row r="10" spans="1:11" x14ac:dyDescent="0.35">
      <c r="B10" s="64" t="s">
        <v>67</v>
      </c>
      <c r="C10" s="59"/>
      <c r="D10" s="92">
        <v>21000000</v>
      </c>
      <c r="E10" s="93"/>
      <c r="F10" s="93"/>
      <c r="G10" s="93"/>
      <c r="H10" s="94"/>
      <c r="I10" s="94"/>
      <c r="J10" s="94"/>
    </row>
    <row r="11" spans="1:11" x14ac:dyDescent="0.35">
      <c r="B11" s="64" t="s">
        <v>68</v>
      </c>
      <c r="C11" s="59"/>
      <c r="D11" s="92">
        <v>10000000</v>
      </c>
      <c r="E11" s="93"/>
      <c r="F11" s="93"/>
      <c r="G11" s="93"/>
      <c r="H11" s="94"/>
      <c r="I11" s="94"/>
      <c r="J11" s="94"/>
    </row>
    <row r="12" spans="1:11" x14ac:dyDescent="0.35">
      <c r="B12" s="64" t="s">
        <v>69</v>
      </c>
      <c r="C12" s="59">
        <v>3</v>
      </c>
      <c r="D12" s="92">
        <v>25000000</v>
      </c>
      <c r="E12" s="93"/>
      <c r="F12" s="93"/>
      <c r="G12" s="92">
        <v>25000000</v>
      </c>
      <c r="H12" s="94"/>
      <c r="I12" s="94"/>
      <c r="J12" s="92">
        <v>25000000</v>
      </c>
    </row>
    <row r="13" spans="1:11" x14ac:dyDescent="0.35">
      <c r="B13" s="64" t="s">
        <v>70</v>
      </c>
      <c r="C13" s="59">
        <v>5</v>
      </c>
      <c r="D13" s="92">
        <v>75000000</v>
      </c>
      <c r="E13" s="93"/>
      <c r="F13" s="93"/>
      <c r="G13" s="93"/>
      <c r="H13" s="94"/>
      <c r="I13" s="92">
        <v>75000000</v>
      </c>
      <c r="J13" s="94"/>
    </row>
    <row r="14" spans="1:11" s="8" customFormat="1" x14ac:dyDescent="0.35">
      <c r="B14" s="144" t="s">
        <v>115</v>
      </c>
      <c r="C14" s="142"/>
      <c r="D14" s="143">
        <f t="shared" ref="D14:K14" si="1">SUM(D5:D13)</f>
        <v>2041000000</v>
      </c>
      <c r="E14" s="143">
        <f t="shared" si="1"/>
        <v>0</v>
      </c>
      <c r="F14" s="143">
        <f t="shared" si="1"/>
        <v>0</v>
      </c>
      <c r="G14" s="143">
        <f t="shared" si="1"/>
        <v>25000000</v>
      </c>
      <c r="H14" s="143">
        <f t="shared" si="1"/>
        <v>0</v>
      </c>
      <c r="I14" s="143">
        <f t="shared" si="1"/>
        <v>75000000</v>
      </c>
      <c r="J14" s="143">
        <f t="shared" si="1"/>
        <v>25000000</v>
      </c>
      <c r="K14" s="143">
        <f t="shared" si="1"/>
        <v>0</v>
      </c>
    </row>
    <row r="15" spans="1:11" x14ac:dyDescent="0.35">
      <c r="B15" s="139" t="s">
        <v>116</v>
      </c>
      <c r="C15" s="140"/>
      <c r="D15" s="141">
        <f>10%*D14</f>
        <v>204100000</v>
      </c>
      <c r="E15" s="141">
        <f t="shared" ref="E15:K15" si="2">10%*E14</f>
        <v>0</v>
      </c>
      <c r="F15" s="141">
        <f t="shared" si="2"/>
        <v>0</v>
      </c>
      <c r="G15" s="141">
        <f t="shared" si="2"/>
        <v>2500000</v>
      </c>
      <c r="H15" s="141">
        <f t="shared" si="2"/>
        <v>0</v>
      </c>
      <c r="I15" s="141">
        <f t="shared" si="2"/>
        <v>7500000</v>
      </c>
      <c r="J15" s="141">
        <f t="shared" si="2"/>
        <v>2500000</v>
      </c>
      <c r="K15" s="141">
        <f t="shared" si="2"/>
        <v>0</v>
      </c>
    </row>
    <row r="16" spans="1:11" x14ac:dyDescent="0.35">
      <c r="B16" s="11" t="s">
        <v>62</v>
      </c>
      <c r="C16" s="11"/>
      <c r="D16" s="95">
        <f>SUM(D14:D15)</f>
        <v>2245100000</v>
      </c>
      <c r="E16" s="95">
        <f t="shared" ref="E16:K16" si="3">SUM(E14:E15)</f>
        <v>0</v>
      </c>
      <c r="F16" s="95">
        <f t="shared" si="3"/>
        <v>0</v>
      </c>
      <c r="G16" s="95">
        <f t="shared" si="3"/>
        <v>27500000</v>
      </c>
      <c r="H16" s="95">
        <f t="shared" si="3"/>
        <v>0</v>
      </c>
      <c r="I16" s="95">
        <f t="shared" si="3"/>
        <v>82500000</v>
      </c>
      <c r="J16" s="95">
        <f t="shared" si="3"/>
        <v>27500000</v>
      </c>
      <c r="K16" s="95">
        <f t="shared" si="3"/>
        <v>0</v>
      </c>
    </row>
    <row r="17" spans="2:11" x14ac:dyDescent="0.35">
      <c r="B17" s="65" t="s">
        <v>53</v>
      </c>
    </row>
    <row r="18" spans="2:11" x14ac:dyDescent="0.35">
      <c r="B18" s="64" t="str">
        <f>B8</f>
        <v>Machinery &amp; Equipment</v>
      </c>
      <c r="D18" s="68">
        <f t="shared" ref="D18:K18" si="4">$D$8/$C$8</f>
        <v>132000000</v>
      </c>
      <c r="E18" s="68">
        <f t="shared" si="4"/>
        <v>132000000</v>
      </c>
      <c r="F18" s="68">
        <f t="shared" si="4"/>
        <v>132000000</v>
      </c>
      <c r="G18" s="68">
        <f t="shared" si="4"/>
        <v>132000000</v>
      </c>
      <c r="H18" s="68">
        <f t="shared" si="4"/>
        <v>132000000</v>
      </c>
      <c r="I18" s="68">
        <f t="shared" si="4"/>
        <v>132000000</v>
      </c>
      <c r="J18" s="68">
        <f t="shared" si="4"/>
        <v>132000000</v>
      </c>
      <c r="K18" s="68">
        <f t="shared" si="4"/>
        <v>132000000</v>
      </c>
    </row>
    <row r="19" spans="2:11" x14ac:dyDescent="0.35">
      <c r="B19" s="64" t="str">
        <f>B9</f>
        <v>PEB (Pre-Engineered Builidings)</v>
      </c>
      <c r="D19" s="69">
        <f t="shared" ref="D19:K19" si="5">$D$9/$C$9</f>
        <v>9000000</v>
      </c>
      <c r="E19" s="69">
        <f t="shared" si="5"/>
        <v>9000000</v>
      </c>
      <c r="F19" s="69">
        <f t="shared" si="5"/>
        <v>9000000</v>
      </c>
      <c r="G19" s="69">
        <f t="shared" si="5"/>
        <v>9000000</v>
      </c>
      <c r="H19" s="69">
        <f t="shared" si="5"/>
        <v>9000000</v>
      </c>
      <c r="I19" s="69">
        <f t="shared" si="5"/>
        <v>9000000</v>
      </c>
      <c r="J19" s="69">
        <f t="shared" si="5"/>
        <v>9000000</v>
      </c>
      <c r="K19" s="69">
        <f t="shared" si="5"/>
        <v>9000000</v>
      </c>
    </row>
    <row r="20" spans="2:11" x14ac:dyDescent="0.35">
      <c r="B20" s="64" t="str">
        <f>B12</f>
        <v>Technology Costs (ERP/Software)</v>
      </c>
      <c r="D20" s="69">
        <f>$D$12/$C$12</f>
        <v>8333333.333333333</v>
      </c>
      <c r="E20" s="69">
        <f>$D$12/$C$12</f>
        <v>8333333.333333333</v>
      </c>
      <c r="F20" s="69">
        <f>$D$12/$C$12</f>
        <v>8333333.333333333</v>
      </c>
      <c r="G20" s="70">
        <f>$G$12/$C$12</f>
        <v>8333333.333333333</v>
      </c>
      <c r="H20" s="70">
        <f>$G$12/$C$12</f>
        <v>8333333.333333333</v>
      </c>
      <c r="I20" s="70">
        <f>$G$12/$C$12</f>
        <v>8333333.333333333</v>
      </c>
      <c r="J20" s="70">
        <f>$J$12/$C$12</f>
        <v>8333333.333333333</v>
      </c>
      <c r="K20" s="70">
        <f>$J$12/$C$12</f>
        <v>8333333.333333333</v>
      </c>
    </row>
    <row r="21" spans="2:11" x14ac:dyDescent="0.35">
      <c r="B21" s="64" t="str">
        <f>B13</f>
        <v>R&amp;D Investments</v>
      </c>
      <c r="D21" s="69">
        <f>$D$13/$C$13</f>
        <v>15000000</v>
      </c>
      <c r="E21" s="69">
        <f>$D$13/$C$13</f>
        <v>15000000</v>
      </c>
      <c r="F21" s="69">
        <f>$D$13/$C$13</f>
        <v>15000000</v>
      </c>
      <c r="G21" s="69">
        <f>$D$13/$C$13</f>
        <v>15000000</v>
      </c>
      <c r="H21" s="69">
        <f>$D$13/$C$13</f>
        <v>15000000</v>
      </c>
      <c r="I21" s="70">
        <f>$I$13/$C$13</f>
        <v>15000000</v>
      </c>
      <c r="J21" s="70">
        <f>$I$13/$C$13</f>
        <v>15000000</v>
      </c>
      <c r="K21" s="70">
        <f>$I$13/$C$13</f>
        <v>15000000</v>
      </c>
    </row>
    <row r="22" spans="2:11" x14ac:dyDescent="0.35">
      <c r="B22" s="11" t="s">
        <v>63</v>
      </c>
      <c r="C22" s="11"/>
      <c r="D22" s="67">
        <f>SUM(D18:D21)</f>
        <v>164333333.33333334</v>
      </c>
      <c r="E22" s="67">
        <f t="shared" ref="E22:K22" si="6">SUM(E18:E21)</f>
        <v>164333333.33333334</v>
      </c>
      <c r="F22" s="67">
        <f t="shared" si="6"/>
        <v>164333333.33333334</v>
      </c>
      <c r="G22" s="67">
        <f t="shared" si="6"/>
        <v>164333333.33333334</v>
      </c>
      <c r="H22" s="67">
        <f t="shared" si="6"/>
        <v>164333333.33333334</v>
      </c>
      <c r="I22" s="67">
        <f t="shared" si="6"/>
        <v>164333333.33333334</v>
      </c>
      <c r="J22" s="67">
        <f t="shared" si="6"/>
        <v>164333333.33333334</v>
      </c>
      <c r="K22" s="67">
        <f t="shared" si="6"/>
        <v>164333333.33333334</v>
      </c>
    </row>
    <row r="23" spans="2:11" x14ac:dyDescent="0.35">
      <c r="E23" s="138"/>
    </row>
    <row r="24" spans="2:11" x14ac:dyDescent="0.35">
      <c r="E24" s="137"/>
    </row>
  </sheetData>
  <mergeCells count="1">
    <mergeCell ref="B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0A50-0F45-4F7A-A071-B5FA58E0EED6}">
  <dimension ref="B2:J17"/>
  <sheetViews>
    <sheetView showGridLines="0" workbookViewId="0">
      <pane ySplit="7" topLeftCell="A8" activePane="bottomLeft" state="frozenSplit"/>
      <selection activeCell="A6" sqref="A6"/>
      <selection pane="bottomLeft" activeCell="D17" sqref="D17"/>
    </sheetView>
  </sheetViews>
  <sheetFormatPr defaultRowHeight="15.5" x14ac:dyDescent="0.35"/>
  <cols>
    <col min="1" max="1" width="8.25" customWidth="1"/>
    <col min="2" max="2" width="20.33203125" customWidth="1"/>
    <col min="3" max="3" width="17.83203125" bestFit="1" customWidth="1"/>
    <col min="4" max="4" width="16" bestFit="1" customWidth="1"/>
    <col min="5" max="7" width="13.58203125" bestFit="1" customWidth="1"/>
    <col min="8" max="8" width="13" bestFit="1" customWidth="1"/>
    <col min="9" max="10" width="14.5" bestFit="1" customWidth="1"/>
  </cols>
  <sheetData>
    <row r="2" spans="2:10" ht="31" x14ac:dyDescent="0.7">
      <c r="B2" s="145" t="s">
        <v>117</v>
      </c>
      <c r="C2" s="145"/>
      <c r="D2" s="145"/>
      <c r="E2" s="145"/>
      <c r="F2" s="146"/>
      <c r="G2" s="146"/>
    </row>
    <row r="3" spans="2:10" ht="21" x14ac:dyDescent="0.5">
      <c r="B3" s="148" t="s">
        <v>118</v>
      </c>
      <c r="C3" s="148"/>
      <c r="D3" s="148"/>
      <c r="E3" s="148"/>
      <c r="F3" s="149"/>
      <c r="G3" s="147"/>
      <c r="H3" s="147"/>
      <c r="I3" s="147"/>
      <c r="J3" s="147"/>
    </row>
    <row r="6" spans="2:10" x14ac:dyDescent="0.35">
      <c r="B6" s="242" t="s">
        <v>120</v>
      </c>
      <c r="C6" s="242"/>
      <c r="D6" s="242"/>
      <c r="E6" s="242"/>
      <c r="F6" s="242"/>
      <c r="G6" s="242"/>
      <c r="H6" s="242"/>
      <c r="I6" s="242"/>
      <c r="J6" s="242"/>
    </row>
    <row r="7" spans="2:10" x14ac:dyDescent="0.35">
      <c r="B7" s="150" t="s">
        <v>119</v>
      </c>
      <c r="C7" s="150">
        <v>2024</v>
      </c>
      <c r="D7" s="150">
        <v>2025</v>
      </c>
      <c r="E7" s="150">
        <v>2026</v>
      </c>
      <c r="F7" s="150">
        <v>2027</v>
      </c>
      <c r="G7" s="150">
        <v>2028</v>
      </c>
      <c r="H7" s="150">
        <v>2029</v>
      </c>
      <c r="I7" s="150">
        <v>2030</v>
      </c>
      <c r="J7" s="150">
        <v>2031</v>
      </c>
    </row>
    <row r="8" spans="2:10" s="146" customFormat="1" x14ac:dyDescent="0.35">
      <c r="B8" s="151" t="s">
        <v>110</v>
      </c>
      <c r="C8" s="152">
        <f>'3. Statement of Cashflow'!C18</f>
        <v>-1245100000</v>
      </c>
      <c r="D8" s="152">
        <f>'3. Statement of Cashflow'!D18</f>
        <v>166884355.69599995</v>
      </c>
      <c r="E8" s="152">
        <f>'3. Statement of Cashflow'!E18</f>
        <v>246362209.50933325</v>
      </c>
      <c r="F8" s="152">
        <f>'3. Statement of Cashflow'!F18</f>
        <v>315708041.76133335</v>
      </c>
      <c r="G8" s="152">
        <f>'3. Statement of Cashflow'!G18</f>
        <v>561078836.51288533</v>
      </c>
      <c r="H8" s="152">
        <f>'3. Statement of Cashflow'!H18</f>
        <v>736817204.2334938</v>
      </c>
      <c r="I8" s="152">
        <f>'3. Statement of Cashflow'!I18</f>
        <v>1278393507.3980927</v>
      </c>
      <c r="J8" s="152">
        <f>'3. Statement of Cashflow'!J18</f>
        <v>1811661741.2788694</v>
      </c>
    </row>
    <row r="9" spans="2:10" s="146" customFormat="1" x14ac:dyDescent="0.35">
      <c r="B9" s="151" t="s">
        <v>123</v>
      </c>
      <c r="C9" s="152">
        <f>C8</f>
        <v>-1245100000</v>
      </c>
      <c r="D9" s="152">
        <f>D8+C9</f>
        <v>-1078215644.3040001</v>
      </c>
      <c r="E9" s="152">
        <f t="shared" ref="E9:J9" si="0">E8+D9</f>
        <v>-831853434.79466689</v>
      </c>
      <c r="F9" s="152">
        <f t="shared" si="0"/>
        <v>-516145393.03333354</v>
      </c>
      <c r="G9" s="152">
        <f t="shared" si="0"/>
        <v>44933443.479551792</v>
      </c>
      <c r="H9" s="152">
        <f t="shared" si="0"/>
        <v>781750647.7130456</v>
      </c>
      <c r="I9" s="152">
        <f t="shared" si="0"/>
        <v>2060144155.1111383</v>
      </c>
      <c r="J9" s="152">
        <f t="shared" si="0"/>
        <v>3871805896.390008</v>
      </c>
    </row>
    <row r="10" spans="2:10" x14ac:dyDescent="0.35">
      <c r="C10" s="168"/>
      <c r="D10" s="168"/>
      <c r="E10" s="168"/>
      <c r="F10" s="168"/>
      <c r="G10" s="168"/>
      <c r="H10" s="168"/>
      <c r="I10" s="168"/>
      <c r="J10" s="168"/>
    </row>
    <row r="11" spans="2:10" ht="18.5" x14ac:dyDescent="0.45">
      <c r="C11" s="163" t="s">
        <v>124</v>
      </c>
      <c r="D11" s="166">
        <v>0.1</v>
      </c>
    </row>
    <row r="12" spans="2:10" ht="18.5" x14ac:dyDescent="0.45">
      <c r="C12" s="159"/>
      <c r="D12" s="161"/>
    </row>
    <row r="13" spans="2:10" ht="18.5" x14ac:dyDescent="0.45">
      <c r="C13" s="160" t="s">
        <v>125</v>
      </c>
      <c r="D13" s="164">
        <f>NPV(D11,D8:J8)+C8</f>
        <v>1839432952.4633164</v>
      </c>
    </row>
    <row r="14" spans="2:10" ht="18.5" x14ac:dyDescent="0.45">
      <c r="C14" s="160"/>
    </row>
    <row r="15" spans="2:10" ht="18.5" x14ac:dyDescent="0.45">
      <c r="C15" s="162" t="s">
        <v>126</v>
      </c>
      <c r="D15" s="165">
        <f>IRR(C8:J8)</f>
        <v>0.32695711058832266</v>
      </c>
    </row>
    <row r="16" spans="2:10" ht="18.5" x14ac:dyDescent="0.45">
      <c r="C16" s="162"/>
    </row>
    <row r="17" spans="3:4" ht="18.5" x14ac:dyDescent="0.45">
      <c r="C17" s="163" t="s">
        <v>127</v>
      </c>
      <c r="D17" s="167">
        <f>3+ABS(F9/G8)</f>
        <v>3.9199159894199291</v>
      </c>
    </row>
  </sheetData>
  <mergeCells count="1">
    <mergeCell ref="B6: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E119-5EDE-412D-B15D-6E04B449E7A6}">
  <dimension ref="A2:I61"/>
  <sheetViews>
    <sheetView showGridLines="0" workbookViewId="0">
      <pane ySplit="3" topLeftCell="A4" activePane="bottomLeft" state="frozenSplit"/>
      <selection pane="bottomLeft" activeCell="H9" sqref="H9"/>
    </sheetView>
  </sheetViews>
  <sheetFormatPr defaultRowHeight="15.5" x14ac:dyDescent="0.35"/>
  <cols>
    <col min="2" max="2" width="28.4140625" bestFit="1" customWidth="1"/>
    <col min="3" max="5" width="14.5" bestFit="1" customWidth="1"/>
    <col min="6" max="6" width="16.58203125" bestFit="1" customWidth="1"/>
    <col min="7" max="7" width="14.5" bestFit="1" customWidth="1"/>
    <col min="8" max="8" width="13.5" bestFit="1" customWidth="1"/>
    <col min="9" max="9" width="14.5" bestFit="1" customWidth="1"/>
  </cols>
  <sheetData>
    <row r="2" spans="2:9" ht="21" x14ac:dyDescent="0.5">
      <c r="B2" s="246" t="s">
        <v>143</v>
      </c>
      <c r="C2" s="246"/>
      <c r="D2" s="246"/>
      <c r="E2" s="246"/>
      <c r="F2" s="246"/>
      <c r="G2" s="246"/>
      <c r="H2" s="246"/>
      <c r="I2" s="246"/>
    </row>
    <row r="3" spans="2:9" ht="18.5" x14ac:dyDescent="0.45">
      <c r="B3" s="247" t="s">
        <v>144</v>
      </c>
      <c r="C3" s="247"/>
      <c r="D3" s="247"/>
      <c r="E3" s="247"/>
      <c r="F3" s="247"/>
      <c r="G3" s="247"/>
      <c r="H3" s="247"/>
      <c r="I3" s="247"/>
    </row>
    <row r="5" spans="2:9" x14ac:dyDescent="0.35">
      <c r="B5" s="243" t="s">
        <v>1</v>
      </c>
      <c r="C5" s="243"/>
      <c r="D5" s="243"/>
      <c r="F5" s="243" t="s">
        <v>0</v>
      </c>
      <c r="G5" s="243"/>
      <c r="H5" s="243"/>
    </row>
    <row r="6" spans="2:9" x14ac:dyDescent="0.35">
      <c r="B6" s="189"/>
      <c r="C6" s="189" t="s">
        <v>24</v>
      </c>
      <c r="D6" s="189"/>
      <c r="F6" s="189"/>
      <c r="G6" s="189" t="str">
        <f>C6</f>
        <v>Unit</v>
      </c>
      <c r="H6" s="189"/>
    </row>
    <row r="7" spans="2:9" x14ac:dyDescent="0.35">
      <c r="B7" s="56" t="s">
        <v>131</v>
      </c>
      <c r="C7" s="20" t="s">
        <v>23</v>
      </c>
      <c r="D7" s="29">
        <v>25380</v>
      </c>
      <c r="E7" s="185"/>
      <c r="F7" s="8" t="s">
        <v>2</v>
      </c>
      <c r="G7" s="20"/>
      <c r="H7" s="193"/>
    </row>
    <row r="8" spans="2:9" x14ac:dyDescent="0.35">
      <c r="B8" s="185" t="s">
        <v>146</v>
      </c>
      <c r="C8" s="20" t="s">
        <v>38</v>
      </c>
      <c r="D8" s="29">
        <v>60450</v>
      </c>
      <c r="E8" s="185"/>
      <c r="F8" s="190" t="s">
        <v>35</v>
      </c>
      <c r="G8" s="20" t="s">
        <v>38</v>
      </c>
      <c r="H8" s="29">
        <v>69999</v>
      </c>
    </row>
    <row r="9" spans="2:9" x14ac:dyDescent="0.35">
      <c r="B9" s="185" t="s">
        <v>145</v>
      </c>
      <c r="C9" s="20" t="str">
        <f>C8</f>
        <v>₹</v>
      </c>
      <c r="D9" s="194">
        <v>7500</v>
      </c>
      <c r="E9" s="185"/>
      <c r="F9" s="190" t="s">
        <v>36</v>
      </c>
      <c r="G9" s="20" t="str">
        <f>G8</f>
        <v>₹</v>
      </c>
      <c r="H9" s="29">
        <v>140000</v>
      </c>
    </row>
    <row r="10" spans="2:9" x14ac:dyDescent="0.35">
      <c r="B10" s="8" t="s">
        <v>28</v>
      </c>
      <c r="C10" s="20"/>
      <c r="D10" s="194"/>
      <c r="E10" s="185"/>
      <c r="F10" s="191" t="s">
        <v>37</v>
      </c>
      <c r="G10" s="198" t="str">
        <f>G8</f>
        <v>₹</v>
      </c>
      <c r="H10" s="30">
        <v>62999</v>
      </c>
    </row>
    <row r="11" spans="2:9" x14ac:dyDescent="0.35">
      <c r="B11" s="185" t="s">
        <v>29</v>
      </c>
      <c r="C11" s="20" t="s">
        <v>23</v>
      </c>
      <c r="D11" s="212">
        <v>253800</v>
      </c>
      <c r="E11" s="185"/>
      <c r="F11" s="24" t="s">
        <v>39</v>
      </c>
      <c r="G11" s="20" t="str">
        <f>G10</f>
        <v>₹</v>
      </c>
      <c r="H11" s="28">
        <f>$H$10*D18+$H$9*D16+$H$8*D17</f>
        <v>2043069696</v>
      </c>
    </row>
    <row r="12" spans="2:9" x14ac:dyDescent="0.35">
      <c r="B12" s="185" t="s">
        <v>30</v>
      </c>
      <c r="C12" s="20" t="s">
        <v>23</v>
      </c>
      <c r="D12" s="29">
        <v>380700</v>
      </c>
      <c r="E12" s="185"/>
      <c r="F12" s="24" t="s">
        <v>3</v>
      </c>
      <c r="G12" s="20" t="str">
        <f>G11</f>
        <v>₹</v>
      </c>
      <c r="H12" s="29">
        <f>D19*D8</f>
        <v>1534221000</v>
      </c>
    </row>
    <row r="13" spans="2:9" x14ac:dyDescent="0.35">
      <c r="B13" s="185" t="s">
        <v>31</v>
      </c>
      <c r="C13" s="20" t="s">
        <v>23</v>
      </c>
      <c r="D13" s="29">
        <v>634500</v>
      </c>
      <c r="E13" s="185"/>
      <c r="F13" s="11" t="s">
        <v>11</v>
      </c>
      <c r="G13" s="21" t="str">
        <f>G12</f>
        <v>₹</v>
      </c>
      <c r="H13" s="195">
        <f>H11-H12</f>
        <v>508848696</v>
      </c>
    </row>
    <row r="14" spans="2:9" x14ac:dyDescent="0.35">
      <c r="B14" s="214" t="s">
        <v>33</v>
      </c>
      <c r="C14" s="213" t="str">
        <f>C13</f>
        <v>#</v>
      </c>
      <c r="D14" s="215">
        <v>1269000</v>
      </c>
      <c r="E14" s="185"/>
      <c r="G14" s="20"/>
      <c r="H14" s="199"/>
    </row>
    <row r="15" spans="2:9" x14ac:dyDescent="0.35">
      <c r="B15" s="56" t="s">
        <v>28</v>
      </c>
      <c r="C15" s="20"/>
      <c r="D15" s="185"/>
      <c r="E15" s="185"/>
      <c r="F15" s="8" t="s">
        <v>14</v>
      </c>
      <c r="G15" s="20" t="str">
        <f>G13</f>
        <v>₹</v>
      </c>
      <c r="H15" s="192">
        <f>H13-(D9*D7)</f>
        <v>318498696</v>
      </c>
    </row>
    <row r="16" spans="2:9" x14ac:dyDescent="0.35">
      <c r="B16" s="190" t="s">
        <v>29</v>
      </c>
      <c r="C16" s="20" t="s">
        <v>23</v>
      </c>
      <c r="D16" s="29">
        <f>20%*D19</f>
        <v>5076</v>
      </c>
      <c r="E16" s="185"/>
      <c r="F16" s="11" t="s">
        <v>16</v>
      </c>
      <c r="G16" s="21" t="str">
        <f>G15</f>
        <v>₹</v>
      </c>
      <c r="H16" s="196">
        <f>H11-D21</f>
        <v>-21584637.333333492</v>
      </c>
    </row>
    <row r="17" spans="1:8" x14ac:dyDescent="0.35">
      <c r="B17" s="190" t="s">
        <v>30</v>
      </c>
      <c r="C17" s="20" t="s">
        <v>23</v>
      </c>
      <c r="D17" s="29">
        <f>30%*D19</f>
        <v>7614</v>
      </c>
      <c r="E17" s="185"/>
      <c r="F17" s="8" t="s">
        <v>17</v>
      </c>
      <c r="G17" s="20" t="str">
        <f>G16</f>
        <v>₹</v>
      </c>
      <c r="H17" s="20" t="str">
        <f>IF(H16&gt;0,H16*D22,"NA")</f>
        <v>NA</v>
      </c>
    </row>
    <row r="18" spans="1:8" x14ac:dyDescent="0.35">
      <c r="B18" s="191" t="s">
        <v>31</v>
      </c>
      <c r="C18" s="198" t="s">
        <v>23</v>
      </c>
      <c r="D18" s="30">
        <f>50%*D19</f>
        <v>12690</v>
      </c>
      <c r="E18" s="185"/>
      <c r="F18" s="236" t="s">
        <v>148</v>
      </c>
      <c r="G18" s="237" t="str">
        <f>G17</f>
        <v>₹</v>
      </c>
      <c r="H18" s="238">
        <f>IFERROR(H16-H17,H16)</f>
        <v>-21584637.333333492</v>
      </c>
    </row>
    <row r="19" spans="1:8" x14ac:dyDescent="0.35">
      <c r="B19" s="89" t="s">
        <v>34</v>
      </c>
      <c r="C19" s="20" t="str">
        <f>C18</f>
        <v>#</v>
      </c>
      <c r="D19" s="192">
        <f>2%*D14</f>
        <v>25380</v>
      </c>
      <c r="E19" s="185"/>
    </row>
    <row r="20" spans="1:8" x14ac:dyDescent="0.35">
      <c r="B20" s="210" t="s">
        <v>147</v>
      </c>
      <c r="C20" s="20" t="str">
        <f>C9</f>
        <v>₹</v>
      </c>
      <c r="D20" s="29">
        <v>340083333.33333337</v>
      </c>
      <c r="E20" s="185"/>
    </row>
    <row r="21" spans="1:8" x14ac:dyDescent="0.35">
      <c r="B21" s="210" t="s">
        <v>153</v>
      </c>
      <c r="C21" s="20" t="str">
        <f>C9</f>
        <v>₹</v>
      </c>
      <c r="D21" s="29">
        <f>H12+D20+D19*D9</f>
        <v>2064654333.3333335</v>
      </c>
      <c r="E21" s="185"/>
    </row>
    <row r="22" spans="1:8" x14ac:dyDescent="0.35">
      <c r="B22" s="211" t="s">
        <v>18</v>
      </c>
      <c r="C22" s="20" t="s">
        <v>25</v>
      </c>
      <c r="D22" s="197">
        <v>0.25</v>
      </c>
      <c r="E22" s="185"/>
    </row>
    <row r="25" spans="1:8" x14ac:dyDescent="0.35">
      <c r="B25" s="243" t="s">
        <v>149</v>
      </c>
      <c r="C25" s="243"/>
      <c r="D25" s="243"/>
      <c r="E25" s="243"/>
      <c r="F25" s="243"/>
      <c r="G25" s="243"/>
    </row>
    <row r="26" spans="1:8" x14ac:dyDescent="0.35">
      <c r="C26" s="244" t="s">
        <v>131</v>
      </c>
      <c r="D26" s="244"/>
      <c r="E26" s="244"/>
      <c r="F26" s="244"/>
      <c r="G26" s="244"/>
    </row>
    <row r="27" spans="1:8" x14ac:dyDescent="0.35">
      <c r="B27" s="183">
        <f>H13</f>
        <v>508848696</v>
      </c>
      <c r="C27" s="216">
        <f>D27-2%*D27</f>
        <v>24374.952000000001</v>
      </c>
      <c r="D27" s="216">
        <f>E27-2%*E27</f>
        <v>24872.400000000001</v>
      </c>
      <c r="E27" s="203">
        <v>25380</v>
      </c>
      <c r="F27" s="216">
        <f>E27+2%*E27</f>
        <v>25887.599999999999</v>
      </c>
      <c r="G27" s="216">
        <f>F27+2%*F27</f>
        <v>26405.351999999999</v>
      </c>
    </row>
    <row r="28" spans="1:8" x14ac:dyDescent="0.35">
      <c r="A28" s="245" t="s">
        <v>3</v>
      </c>
      <c r="B28" s="200">
        <f>B29-1%*B29</f>
        <v>1503690002.0999999</v>
      </c>
      <c r="C28" s="181">
        <f t="dataTable" ref="C28:G32" dt2D="1" dtr="1" r1="D19" r2="H12" ca="1"/>
        <v>458474133.93840027</v>
      </c>
      <c r="D28" s="181">
        <v>498518299.98000026</v>
      </c>
      <c r="E28" s="181">
        <v>539379693.9000001</v>
      </c>
      <c r="F28" s="181">
        <v>580241087.82000017</v>
      </c>
      <c r="G28" s="181">
        <v>621919709.6184001</v>
      </c>
    </row>
    <row r="29" spans="1:8" x14ac:dyDescent="0.35">
      <c r="A29" s="245"/>
      <c r="B29" s="200">
        <f>B30-1%*B30</f>
        <v>1518878790</v>
      </c>
      <c r="C29" s="181">
        <v>443285346.03840017</v>
      </c>
      <c r="D29" s="206">
        <v>483329512.08000016</v>
      </c>
      <c r="E29" s="206">
        <v>524190906</v>
      </c>
      <c r="F29" s="206">
        <v>565052299.92000008</v>
      </c>
      <c r="G29" s="181">
        <v>606730921.7184</v>
      </c>
    </row>
    <row r="30" spans="1:8" x14ac:dyDescent="0.35">
      <c r="A30" s="245"/>
      <c r="B30" s="201">
        <v>1534221000</v>
      </c>
      <c r="C30" s="181">
        <v>427943136.03840017</v>
      </c>
      <c r="D30" s="206">
        <v>467987302.08000016</v>
      </c>
      <c r="E30" s="207">
        <v>508848696</v>
      </c>
      <c r="F30" s="206">
        <v>549710089.92000008</v>
      </c>
      <c r="G30" s="181">
        <v>591388711.7184</v>
      </c>
    </row>
    <row r="31" spans="1:8" x14ac:dyDescent="0.35">
      <c r="A31" s="245"/>
      <c r="B31" s="200">
        <f>B30+1%*B30</f>
        <v>1549563210</v>
      </c>
      <c r="C31" s="181">
        <v>412600926.03840017</v>
      </c>
      <c r="D31" s="206">
        <v>452645092.08000016</v>
      </c>
      <c r="E31" s="206">
        <v>493506486</v>
      </c>
      <c r="F31" s="206">
        <v>534367879.92000008</v>
      </c>
      <c r="G31" s="181">
        <v>576046501.7184</v>
      </c>
    </row>
    <row r="32" spans="1:8" x14ac:dyDescent="0.35">
      <c r="A32" s="245"/>
      <c r="B32" s="200">
        <f>B31+1%*B31</f>
        <v>1565058842.0999999</v>
      </c>
      <c r="C32" s="181">
        <v>397105293.93840027</v>
      </c>
      <c r="D32" s="181">
        <v>437149459.98000026</v>
      </c>
      <c r="E32" s="181">
        <v>478010853.9000001</v>
      </c>
      <c r="F32" s="181">
        <v>518872247.82000017</v>
      </c>
      <c r="G32" s="181">
        <v>560550869.6184001</v>
      </c>
    </row>
    <row r="36" spans="1:9" x14ac:dyDescent="0.35">
      <c r="B36" s="243" t="s">
        <v>150</v>
      </c>
      <c r="C36" s="243"/>
      <c r="D36" s="243"/>
      <c r="E36" s="243"/>
      <c r="F36" s="243"/>
      <c r="G36" s="243"/>
    </row>
    <row r="37" spans="1:9" x14ac:dyDescent="0.35">
      <c r="B37" s="208"/>
      <c r="C37" s="244" t="s">
        <v>131</v>
      </c>
      <c r="D37" s="244"/>
      <c r="E37" s="244"/>
      <c r="F37" s="244"/>
      <c r="G37" s="244"/>
    </row>
    <row r="38" spans="1:9" x14ac:dyDescent="0.35">
      <c r="B38" s="183">
        <f>H15</f>
        <v>318498696</v>
      </c>
      <c r="C38" s="216">
        <f>D38-2%*D38</f>
        <v>24374.952000000001</v>
      </c>
      <c r="D38" s="216">
        <f>E38-2%*E38</f>
        <v>24872.400000000001</v>
      </c>
      <c r="E38" s="203">
        <v>25380</v>
      </c>
      <c r="F38" s="216">
        <f>E38+2%*E38</f>
        <v>25887.599999999999</v>
      </c>
      <c r="G38" s="216">
        <f>F38+2%*F38</f>
        <v>26405.351999999999</v>
      </c>
    </row>
    <row r="39" spans="1:9" x14ac:dyDescent="0.35">
      <c r="A39" s="245" t="s">
        <v>3</v>
      </c>
      <c r="B39" s="200">
        <f>B40-1%*B40</f>
        <v>1503690002.0999999</v>
      </c>
      <c r="C39" s="182">
        <f t="dataTable" ref="C39:G43" dt2D="1" dtr="1" r1="D19" r2="H12"/>
        <v>268124133.93840027</v>
      </c>
      <c r="D39" s="182">
        <v>308168299.98000026</v>
      </c>
      <c r="E39" s="182">
        <v>349029693.9000001</v>
      </c>
      <c r="F39" s="182">
        <v>389891087.82000017</v>
      </c>
      <c r="G39" s="182">
        <v>431569709.6184001</v>
      </c>
    </row>
    <row r="40" spans="1:9" x14ac:dyDescent="0.35">
      <c r="A40" s="245"/>
      <c r="B40" s="200">
        <f>B41-1%*B41</f>
        <v>1518878790</v>
      </c>
      <c r="C40" s="182">
        <v>252935346.03840017</v>
      </c>
      <c r="D40" s="204">
        <v>292979512.08000016</v>
      </c>
      <c r="E40" s="204">
        <v>333840906</v>
      </c>
      <c r="F40" s="204">
        <v>374702299.92000008</v>
      </c>
      <c r="G40" s="182">
        <v>416380921.7184</v>
      </c>
    </row>
    <row r="41" spans="1:9" ht="15.5" customHeight="1" x14ac:dyDescent="0.35">
      <c r="A41" s="245"/>
      <c r="B41" s="201">
        <v>1534221000</v>
      </c>
      <c r="C41" s="182">
        <v>237593136.03840017</v>
      </c>
      <c r="D41" s="204">
        <v>277637302.08000016</v>
      </c>
      <c r="E41" s="205">
        <v>318498696</v>
      </c>
      <c r="F41" s="204">
        <v>359360089.92000008</v>
      </c>
      <c r="G41" s="182">
        <v>401038711.7184</v>
      </c>
    </row>
    <row r="42" spans="1:9" x14ac:dyDescent="0.35">
      <c r="A42" s="245"/>
      <c r="B42" s="200">
        <f>B41+1%*B41</f>
        <v>1549563210</v>
      </c>
      <c r="C42" s="182">
        <v>222250926.03840017</v>
      </c>
      <c r="D42" s="204">
        <v>262295092.08000016</v>
      </c>
      <c r="E42" s="204">
        <v>303156486</v>
      </c>
      <c r="F42" s="204">
        <v>344017879.92000008</v>
      </c>
      <c r="G42" s="182">
        <v>385696501.7184</v>
      </c>
    </row>
    <row r="43" spans="1:9" x14ac:dyDescent="0.35">
      <c r="A43" s="245"/>
      <c r="B43" s="200">
        <f>B42+1%*B42</f>
        <v>1565058842.0999999</v>
      </c>
      <c r="C43" s="182">
        <v>206755293.93840027</v>
      </c>
      <c r="D43" s="182">
        <v>246799459.98000026</v>
      </c>
      <c r="E43" s="182">
        <v>287660853.9000001</v>
      </c>
      <c r="F43" s="182">
        <v>328522247.82000017</v>
      </c>
      <c r="G43" s="182">
        <v>370200869.6184001</v>
      </c>
    </row>
    <row r="45" spans="1:9" x14ac:dyDescent="0.35">
      <c r="B45" s="243" t="s">
        <v>151</v>
      </c>
      <c r="C45" s="243"/>
      <c r="D45" s="243"/>
      <c r="E45" s="243"/>
      <c r="F45" s="243"/>
      <c r="G45" s="243"/>
    </row>
    <row r="46" spans="1:9" x14ac:dyDescent="0.35">
      <c r="B46" s="208"/>
      <c r="C46" s="244" t="s">
        <v>131</v>
      </c>
      <c r="D46" s="244"/>
      <c r="E46" s="244"/>
      <c r="F46" s="244"/>
      <c r="G46" s="244"/>
    </row>
    <row r="47" spans="1:9" x14ac:dyDescent="0.35">
      <c r="B47" s="184">
        <f>H16</f>
        <v>-21584637.333333492</v>
      </c>
      <c r="C47" s="216">
        <f>D47-2%*D47</f>
        <v>24374.952000000001</v>
      </c>
      <c r="D47" s="216">
        <f>E47-2%*E47</f>
        <v>24872.400000000001</v>
      </c>
      <c r="E47" s="203">
        <v>25380</v>
      </c>
      <c r="F47" s="216">
        <f>E47+2%*E47</f>
        <v>25887.599999999999</v>
      </c>
      <c r="G47" s="216">
        <f>F47+2%*F47</f>
        <v>26405.351999999999</v>
      </c>
    </row>
    <row r="48" spans="1:9" x14ac:dyDescent="0.35">
      <c r="A48" s="245" t="s">
        <v>3</v>
      </c>
      <c r="B48" s="200">
        <f>B49-1%*B49</f>
        <v>1503690002.0999999</v>
      </c>
      <c r="C48" s="186">
        <f t="dataTable" ref="C48:G52" dt2D="1" dtr="1" r1="D19" r2="H12" ca="1"/>
        <v>-64421339.394933224</v>
      </c>
      <c r="D48" s="186">
        <v>-28108033.353333235</v>
      </c>
      <c r="E48" s="186">
        <v>8946360.5666666031</v>
      </c>
      <c r="F48" s="186">
        <v>46000754.486666679</v>
      </c>
      <c r="G48" s="186">
        <v>83796236.285066605</v>
      </c>
      <c r="I48" s="209"/>
    </row>
    <row r="49" spans="1:9" x14ac:dyDescent="0.35">
      <c r="A49" s="245"/>
      <c r="B49" s="200">
        <f>B50-1%*B50</f>
        <v>1518878790</v>
      </c>
      <c r="C49" s="186">
        <v>-79610127.294933319</v>
      </c>
      <c r="D49" s="188">
        <v>-43296821.25333333</v>
      </c>
      <c r="E49" s="188">
        <v>-6242427.3333334923</v>
      </c>
      <c r="F49" s="188">
        <v>30811966.586666584</v>
      </c>
      <c r="G49" s="186">
        <v>68607448.385066509</v>
      </c>
      <c r="I49" s="209"/>
    </row>
    <row r="50" spans="1:9" x14ac:dyDescent="0.35">
      <c r="A50" s="245"/>
      <c r="B50" s="201">
        <v>1534221000</v>
      </c>
      <c r="C50" s="186">
        <v>-94952337.294933319</v>
      </c>
      <c r="D50" s="188">
        <v>-58639031.25333333</v>
      </c>
      <c r="E50" s="187">
        <v>-21584637.333333492</v>
      </c>
      <c r="F50" s="188">
        <v>15469756.586666584</v>
      </c>
      <c r="G50" s="186">
        <v>53265238.385066509</v>
      </c>
    </row>
    <row r="51" spans="1:9" x14ac:dyDescent="0.35">
      <c r="A51" s="245"/>
      <c r="B51" s="200">
        <f>B50+1%*B50</f>
        <v>1549563210</v>
      </c>
      <c r="C51" s="186">
        <v>-110294547.29493332</v>
      </c>
      <c r="D51" s="188">
        <v>-73981241.25333333</v>
      </c>
      <c r="E51" s="188">
        <v>-36926847.333333492</v>
      </c>
      <c r="F51" s="188">
        <v>127546.58666658401</v>
      </c>
      <c r="G51" s="186">
        <v>37923028.385066509</v>
      </c>
    </row>
    <row r="52" spans="1:9" x14ac:dyDescent="0.35">
      <c r="A52" s="245"/>
      <c r="B52" s="200">
        <f>B51+1%*B51</f>
        <v>1565058842.0999999</v>
      </c>
      <c r="C52" s="186">
        <v>-125790179.39493322</v>
      </c>
      <c r="D52" s="186">
        <v>-89476873.353333235</v>
      </c>
      <c r="E52" s="186">
        <v>-52422479.433333397</v>
      </c>
      <c r="F52" s="186">
        <v>-15368085.513333321</v>
      </c>
      <c r="G52" s="186">
        <v>22427396.285066605</v>
      </c>
    </row>
    <row r="54" spans="1:9" x14ac:dyDescent="0.35">
      <c r="B54" s="243" t="s">
        <v>152</v>
      </c>
      <c r="C54" s="243"/>
      <c r="D54" s="243"/>
      <c r="E54" s="243"/>
      <c r="F54" s="243"/>
      <c r="G54" s="243"/>
    </row>
    <row r="55" spans="1:9" x14ac:dyDescent="0.35">
      <c r="B55" s="208"/>
      <c r="C55" s="244" t="s">
        <v>131</v>
      </c>
      <c r="D55" s="244"/>
      <c r="E55" s="244"/>
      <c r="F55" s="244"/>
      <c r="G55" s="244"/>
    </row>
    <row r="56" spans="1:9" x14ac:dyDescent="0.35">
      <c r="B56" s="184">
        <f>H18</f>
        <v>-21584637.333333492</v>
      </c>
      <c r="C56" s="202">
        <f>D56-2%*D56</f>
        <v>24374.952000000001</v>
      </c>
      <c r="D56" s="202">
        <f>E56-2%*E56</f>
        <v>24872.400000000001</v>
      </c>
      <c r="E56" s="203">
        <v>25380</v>
      </c>
      <c r="F56" s="202">
        <f>E56+2%*E56</f>
        <v>25887.599999999999</v>
      </c>
      <c r="G56" s="202">
        <f>F56+2%*F56</f>
        <v>26405.351999999999</v>
      </c>
    </row>
    <row r="57" spans="1:9" x14ac:dyDescent="0.35">
      <c r="A57" s="245" t="s">
        <v>3</v>
      </c>
      <c r="B57" s="200">
        <f>B58-1%*B58</f>
        <v>1503690002.0999999</v>
      </c>
      <c r="C57" s="186">
        <f t="dataTable" ref="C57:G61" dt2D="1" dtr="1" r1="D19" r2="H12" ca="1"/>
        <v>-64421339.394933224</v>
      </c>
      <c r="D57" s="186">
        <v>-28108033.353333235</v>
      </c>
      <c r="E57" s="186">
        <v>6709770.4249999523</v>
      </c>
      <c r="F57" s="186">
        <v>34500565.86500001</v>
      </c>
      <c r="G57" s="186">
        <v>62847177.213799953</v>
      </c>
    </row>
    <row r="58" spans="1:9" x14ac:dyDescent="0.35">
      <c r="A58" s="245"/>
      <c r="B58" s="200">
        <f>B59-1%*B59</f>
        <v>1518878790</v>
      </c>
      <c r="C58" s="186">
        <v>-79610127.294933319</v>
      </c>
      <c r="D58" s="188">
        <v>-43296821.25333333</v>
      </c>
      <c r="E58" s="188">
        <v>-6242427.3333334923</v>
      </c>
      <c r="F58" s="188">
        <v>23108974.939999938</v>
      </c>
      <c r="G58" s="186">
        <v>51455586.288799882</v>
      </c>
    </row>
    <row r="59" spans="1:9" x14ac:dyDescent="0.35">
      <c r="A59" s="245"/>
      <c r="B59" s="201">
        <v>1534221000</v>
      </c>
      <c r="C59" s="186">
        <v>-94952337.294933319</v>
      </c>
      <c r="D59" s="188">
        <v>-58639031.25333333</v>
      </c>
      <c r="E59" s="187">
        <v>-21584637.333333492</v>
      </c>
      <c r="F59" s="188">
        <v>11602317.439999938</v>
      </c>
      <c r="G59" s="186">
        <v>39948928.788799882</v>
      </c>
    </row>
    <row r="60" spans="1:9" x14ac:dyDescent="0.35">
      <c r="A60" s="245"/>
      <c r="B60" s="200">
        <f>B59+1%*B59</f>
        <v>1549563210</v>
      </c>
      <c r="C60" s="186">
        <v>-110294547.29493332</v>
      </c>
      <c r="D60" s="188">
        <v>-73981241.25333333</v>
      </c>
      <c r="E60" s="188">
        <v>-36926847.333333492</v>
      </c>
      <c r="F60" s="188">
        <v>95659.939999938011</v>
      </c>
      <c r="G60" s="186">
        <v>28442271.288799882</v>
      </c>
    </row>
    <row r="61" spans="1:9" x14ac:dyDescent="0.35">
      <c r="A61" s="245"/>
      <c r="B61" s="200">
        <f>B60+1%*B60</f>
        <v>1565058842.0999999</v>
      </c>
      <c r="C61" s="186">
        <v>-125790179.39493322</v>
      </c>
      <c r="D61" s="186">
        <v>-89476873.353333235</v>
      </c>
      <c r="E61" s="186">
        <v>-52422479.433333397</v>
      </c>
      <c r="F61" s="186">
        <v>-15368085.513333321</v>
      </c>
      <c r="G61" s="186">
        <v>16820547.213799953</v>
      </c>
    </row>
  </sheetData>
  <mergeCells count="16">
    <mergeCell ref="B54:G54"/>
    <mergeCell ref="C55:G55"/>
    <mergeCell ref="A57:A61"/>
    <mergeCell ref="B2:I2"/>
    <mergeCell ref="B3:I3"/>
    <mergeCell ref="B5:D5"/>
    <mergeCell ref="F5:H5"/>
    <mergeCell ref="B36:G36"/>
    <mergeCell ref="B25:G25"/>
    <mergeCell ref="B45:G45"/>
    <mergeCell ref="A48:A52"/>
    <mergeCell ref="C46:G46"/>
    <mergeCell ref="A28:A32"/>
    <mergeCell ref="A39:A43"/>
    <mergeCell ref="C26:G26"/>
    <mergeCell ref="C37:G37"/>
  </mergeCells>
  <phoneticPr fontId="2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EF00-FE1B-4F04-AC84-8C60AEC60864}">
  <dimension ref="B2:J46"/>
  <sheetViews>
    <sheetView showGridLines="0" tabSelected="1" zoomScale="110" zoomScaleNormal="110" workbookViewId="0">
      <pane ySplit="3" topLeftCell="A16" activePane="bottomLeft" state="frozenSplit"/>
      <selection activeCell="D60" sqref="D60"/>
      <selection pane="bottomLeft" activeCell="D11" sqref="D11"/>
    </sheetView>
  </sheetViews>
  <sheetFormatPr defaultRowHeight="15.5" x14ac:dyDescent="0.35"/>
  <cols>
    <col min="2" max="2" width="28.75" bestFit="1" customWidth="1"/>
    <col min="3" max="3" width="15.58203125" style="224" bestFit="1" customWidth="1"/>
    <col min="4" max="5" width="15.25" bestFit="1" customWidth="1"/>
    <col min="6" max="10" width="16.75" bestFit="1" customWidth="1"/>
  </cols>
  <sheetData>
    <row r="2" spans="2:10" x14ac:dyDescent="0.35">
      <c r="B2" s="240" t="s">
        <v>132</v>
      </c>
      <c r="C2" s="240"/>
      <c r="D2" s="240"/>
      <c r="E2" s="240"/>
      <c r="F2" s="240"/>
      <c r="G2" s="240"/>
      <c r="H2" s="240"/>
      <c r="I2" s="240"/>
      <c r="J2" s="240"/>
    </row>
    <row r="3" spans="2:10" s="170" customFormat="1" x14ac:dyDescent="0.35">
      <c r="B3" s="171"/>
      <c r="C3" s="226" t="s">
        <v>24</v>
      </c>
      <c r="D3" s="171">
        <v>45658</v>
      </c>
      <c r="E3" s="171">
        <f>EDATE(D3,12)</f>
        <v>46023</v>
      </c>
      <c r="F3" s="171">
        <f t="shared" ref="F3:J3" si="0">EDATE(E3,12)</f>
        <v>46388</v>
      </c>
      <c r="G3" s="171">
        <f t="shared" si="0"/>
        <v>46753</v>
      </c>
      <c r="H3" s="171">
        <f t="shared" si="0"/>
        <v>47119</v>
      </c>
      <c r="I3" s="171">
        <f t="shared" si="0"/>
        <v>47484</v>
      </c>
      <c r="J3" s="171">
        <f t="shared" si="0"/>
        <v>47849</v>
      </c>
    </row>
    <row r="4" spans="2:10" x14ac:dyDescent="0.35">
      <c r="B4" s="172" t="s">
        <v>10</v>
      </c>
      <c r="C4" s="222" t="str">
        <f>'1. Income Statement'!C21</f>
        <v>₹</v>
      </c>
      <c r="D4" s="231">
        <f t="shared" ref="D4:J4" si="1">CHOOSE($D$11,D36,D37,D38)</f>
        <v>2043069696</v>
      </c>
      <c r="E4" s="231">
        <f t="shared" si="1"/>
        <v>2709603072</v>
      </c>
      <c r="F4" s="231">
        <f t="shared" si="1"/>
        <v>3260217600</v>
      </c>
      <c r="G4" s="231">
        <f t="shared" si="1"/>
        <v>4342609843.1999998</v>
      </c>
      <c r="H4" s="231">
        <f t="shared" si="1"/>
        <v>5777105587.1999998</v>
      </c>
      <c r="I4" s="231">
        <f t="shared" si="1"/>
        <v>7707154406.3999996</v>
      </c>
      <c r="J4" s="231">
        <f t="shared" si="1"/>
        <v>10263165004.799999</v>
      </c>
    </row>
    <row r="5" spans="2:10" x14ac:dyDescent="0.35">
      <c r="B5" s="172" t="s">
        <v>133</v>
      </c>
      <c r="C5" s="222" t="str">
        <f>C4</f>
        <v>₹</v>
      </c>
      <c r="D5" s="232">
        <f t="shared" ref="D5:J5" si="2">CHOOSE($D$11,D41,D42,D43)</f>
        <v>2064654333.3333335</v>
      </c>
      <c r="E5" s="232">
        <f t="shared" si="2"/>
        <v>2586781543.3333335</v>
      </c>
      <c r="F5" s="232">
        <f t="shared" si="2"/>
        <v>2994909185.8333335</v>
      </c>
      <c r="G5" s="232">
        <f t="shared" si="2"/>
        <v>3811840014.5992332</v>
      </c>
      <c r="H5" s="232">
        <f t="shared" si="2"/>
        <v>4873823697.4376202</v>
      </c>
      <c r="I5" s="232">
        <f t="shared" si="2"/>
        <v>6276894711.1767864</v>
      </c>
      <c r="J5" s="232">
        <f t="shared" si="2"/>
        <v>8099717032.9019146</v>
      </c>
    </row>
    <row r="6" spans="2:10" x14ac:dyDescent="0.35">
      <c r="B6" s="13" t="s">
        <v>16</v>
      </c>
      <c r="C6" s="22" t="str">
        <f>C5</f>
        <v>₹</v>
      </c>
      <c r="D6" s="233">
        <f>D4-D5</f>
        <v>-21584637.333333492</v>
      </c>
      <c r="E6" s="233">
        <f t="shared" ref="E6:J6" si="3">E4-E5</f>
        <v>122821528.66666651</v>
      </c>
      <c r="F6" s="233">
        <f t="shared" si="3"/>
        <v>265308414.16666651</v>
      </c>
      <c r="G6" s="233">
        <f t="shared" si="3"/>
        <v>530769828.60076666</v>
      </c>
      <c r="H6" s="233">
        <f t="shared" si="3"/>
        <v>903281889.76237965</v>
      </c>
      <c r="I6" s="233">
        <f t="shared" si="3"/>
        <v>1430259695.2232132</v>
      </c>
      <c r="J6" s="233">
        <f t="shared" si="3"/>
        <v>2163447971.8980846</v>
      </c>
    </row>
    <row r="7" spans="2:10" x14ac:dyDescent="0.35">
      <c r="B7" s="217" t="s">
        <v>18</v>
      </c>
      <c r="C7" s="223" t="s">
        <v>25</v>
      </c>
      <c r="D7" s="234">
        <v>0.25</v>
      </c>
      <c r="E7" s="234">
        <v>0.25</v>
      </c>
      <c r="F7" s="234">
        <v>0.25</v>
      </c>
      <c r="G7" s="234">
        <v>0.25</v>
      </c>
      <c r="H7" s="234">
        <v>0.25</v>
      </c>
      <c r="I7" s="234">
        <v>0.25</v>
      </c>
      <c r="J7" s="234">
        <v>0.25</v>
      </c>
    </row>
    <row r="8" spans="2:10" x14ac:dyDescent="0.35">
      <c r="B8" t="s">
        <v>17</v>
      </c>
      <c r="C8" s="224" t="str">
        <f>C5</f>
        <v>₹</v>
      </c>
      <c r="D8" s="230" t="str">
        <f>IF(D6&gt;0,D6*D7,"NA")</f>
        <v>NA</v>
      </c>
      <c r="E8" s="230">
        <f t="shared" ref="E8:J8" si="4">IF(E6&gt;0,E6*E7,"NA")</f>
        <v>30705382.166666627</v>
      </c>
      <c r="F8" s="230">
        <f t="shared" si="4"/>
        <v>66327103.541666627</v>
      </c>
      <c r="G8" s="230">
        <f t="shared" si="4"/>
        <v>132692457.15019166</v>
      </c>
      <c r="H8" s="230">
        <f t="shared" si="4"/>
        <v>225820472.44059491</v>
      </c>
      <c r="I8" s="230">
        <f t="shared" si="4"/>
        <v>357564923.8058033</v>
      </c>
      <c r="J8" s="230">
        <f t="shared" si="4"/>
        <v>540861992.97452116</v>
      </c>
    </row>
    <row r="9" spans="2:10" s="221" customFormat="1" x14ac:dyDescent="0.35">
      <c r="B9" s="220" t="s">
        <v>148</v>
      </c>
      <c r="C9" s="225" t="str">
        <f>C8</f>
        <v>₹</v>
      </c>
      <c r="D9" s="235">
        <f>IFERROR(D6-D8,D6)</f>
        <v>-21584637.333333492</v>
      </c>
      <c r="E9" s="235">
        <f t="shared" ref="E9:J9" si="5">IFERROR(E6-E8,E6)</f>
        <v>92116146.499999881</v>
      </c>
      <c r="F9" s="235">
        <f t="shared" si="5"/>
        <v>198981310.62499988</v>
      </c>
      <c r="G9" s="235">
        <f t="shared" si="5"/>
        <v>398077371.45057499</v>
      </c>
      <c r="H9" s="235">
        <f t="shared" si="5"/>
        <v>677461417.32178473</v>
      </c>
      <c r="I9" s="235">
        <f t="shared" si="5"/>
        <v>1072694771.4174099</v>
      </c>
      <c r="J9" s="235">
        <f t="shared" si="5"/>
        <v>1622585978.9235635</v>
      </c>
    </row>
    <row r="10" spans="2:10" x14ac:dyDescent="0.35">
      <c r="D10" s="219"/>
    </row>
    <row r="11" spans="2:10" x14ac:dyDescent="0.35">
      <c r="C11" s="20" t="s">
        <v>134</v>
      </c>
      <c r="D11" s="218">
        <v>2</v>
      </c>
    </row>
    <row r="13" spans="2:10" x14ac:dyDescent="0.35">
      <c r="B13" s="243" t="s">
        <v>1</v>
      </c>
      <c r="C13" s="243"/>
      <c r="D13" s="243"/>
      <c r="E13" s="243"/>
      <c r="F13" s="243"/>
      <c r="G13" s="243"/>
      <c r="H13" s="243"/>
      <c r="I13" s="243"/>
      <c r="J13" s="243"/>
    </row>
    <row r="14" spans="2:10" x14ac:dyDescent="0.35">
      <c r="B14" s="173" t="s">
        <v>137</v>
      </c>
      <c r="C14" s="227"/>
      <c r="D14" s="174"/>
      <c r="E14" s="174"/>
      <c r="F14" s="174"/>
      <c r="G14" s="174"/>
      <c r="H14" s="174"/>
      <c r="I14" s="174"/>
      <c r="J14" s="174"/>
    </row>
    <row r="15" spans="2:10" x14ac:dyDescent="0.35">
      <c r="B15" s="180" t="s">
        <v>139</v>
      </c>
      <c r="C15" s="228" t="str">
        <f>'1. Income Statement'!C6</f>
        <v>#</v>
      </c>
      <c r="D15" s="175">
        <v>88830.000000000015</v>
      </c>
      <c r="E15" s="175">
        <v>117810</v>
      </c>
      <c r="F15" s="175">
        <v>141750</v>
      </c>
      <c r="G15" s="175">
        <v>188811.00000000003</v>
      </c>
      <c r="H15" s="175">
        <v>251181.00000000003</v>
      </c>
      <c r="I15" s="175">
        <v>335097.00000000006</v>
      </c>
      <c r="J15" s="175">
        <v>446229.00000000006</v>
      </c>
    </row>
    <row r="16" spans="2:10" x14ac:dyDescent="0.35">
      <c r="B16" s="178" t="s">
        <v>29</v>
      </c>
      <c r="C16" s="228" t="str">
        <f>C15</f>
        <v>#</v>
      </c>
      <c r="D16" s="177">
        <v>17766.000000000004</v>
      </c>
      <c r="E16" s="177">
        <v>23562.000000000004</v>
      </c>
      <c r="F16" s="177">
        <v>28350</v>
      </c>
      <c r="G16" s="177">
        <v>37762.200000000004</v>
      </c>
      <c r="H16" s="177">
        <v>50236.200000000012</v>
      </c>
      <c r="I16" s="177">
        <v>67019.400000000009</v>
      </c>
      <c r="J16" s="177">
        <v>89245.800000000017</v>
      </c>
    </row>
    <row r="17" spans="2:10" x14ac:dyDescent="0.35">
      <c r="B17" s="178" t="s">
        <v>30</v>
      </c>
      <c r="C17" s="228" t="str">
        <f>C16</f>
        <v>#</v>
      </c>
      <c r="D17" s="175">
        <v>26649.000000000004</v>
      </c>
      <c r="E17" s="175">
        <v>35343</v>
      </c>
      <c r="F17" s="175">
        <v>42525</v>
      </c>
      <c r="G17" s="175">
        <v>56643.30000000001</v>
      </c>
      <c r="H17" s="175">
        <v>75354.3</v>
      </c>
      <c r="I17" s="175">
        <v>100529.10000000002</v>
      </c>
      <c r="J17" s="175">
        <v>133868.70000000001</v>
      </c>
    </row>
    <row r="18" spans="2:10" x14ac:dyDescent="0.35">
      <c r="B18" s="178" t="s">
        <v>31</v>
      </c>
      <c r="C18" s="228" t="str">
        <f>C17</f>
        <v>#</v>
      </c>
      <c r="D18" s="175">
        <v>44415.000000000007</v>
      </c>
      <c r="E18" s="175">
        <v>58905.000000000007</v>
      </c>
      <c r="F18" s="175">
        <v>70875</v>
      </c>
      <c r="G18" s="175">
        <v>94405.500000000015</v>
      </c>
      <c r="H18" s="175">
        <v>125590.50000000001</v>
      </c>
      <c r="I18" s="175">
        <v>167548.50000000003</v>
      </c>
      <c r="J18" s="175">
        <v>223114.50000000003</v>
      </c>
    </row>
    <row r="19" spans="2:10" x14ac:dyDescent="0.35">
      <c r="B19" s="178"/>
      <c r="C19" s="228"/>
      <c r="D19" s="175"/>
      <c r="E19" s="175"/>
      <c r="F19" s="175"/>
      <c r="G19" s="175"/>
      <c r="H19" s="175"/>
      <c r="I19" s="175"/>
      <c r="J19" s="175"/>
    </row>
    <row r="20" spans="2:10" x14ac:dyDescent="0.35">
      <c r="B20" s="174" t="s">
        <v>129</v>
      </c>
      <c r="C20" s="228" t="str">
        <f>C18</f>
        <v>#</v>
      </c>
      <c r="D20" s="175">
        <v>25380</v>
      </c>
      <c r="E20" s="175">
        <v>33660</v>
      </c>
      <c r="F20" s="175">
        <v>40500</v>
      </c>
      <c r="G20" s="175">
        <v>53946</v>
      </c>
      <c r="H20" s="175">
        <v>71766</v>
      </c>
      <c r="I20" s="175">
        <v>95742</v>
      </c>
      <c r="J20" s="175">
        <v>127494</v>
      </c>
    </row>
    <row r="21" spans="2:10" x14ac:dyDescent="0.35">
      <c r="B21" s="178" t="s">
        <v>29</v>
      </c>
      <c r="C21" s="228" t="str">
        <f>C20</f>
        <v>#</v>
      </c>
      <c r="D21" s="177">
        <v>5076</v>
      </c>
      <c r="E21" s="177">
        <v>6732</v>
      </c>
      <c r="F21" s="177">
        <v>8100</v>
      </c>
      <c r="G21" s="177">
        <v>10789.2</v>
      </c>
      <c r="H21" s="177">
        <v>14353.2</v>
      </c>
      <c r="I21" s="177">
        <v>19148.400000000001</v>
      </c>
      <c r="J21" s="177">
        <v>25498.800000000003</v>
      </c>
    </row>
    <row r="22" spans="2:10" x14ac:dyDescent="0.35">
      <c r="B22" s="178" t="s">
        <v>30</v>
      </c>
      <c r="C22" s="228" t="str">
        <f>C21</f>
        <v>#</v>
      </c>
      <c r="D22" s="175">
        <v>7614</v>
      </c>
      <c r="E22" s="175">
        <v>10098</v>
      </c>
      <c r="F22" s="175">
        <v>12150</v>
      </c>
      <c r="G22" s="175">
        <v>16183.8</v>
      </c>
      <c r="H22" s="175">
        <v>21529.8</v>
      </c>
      <c r="I22" s="175">
        <v>28722.6</v>
      </c>
      <c r="J22" s="175">
        <v>38248.199999999997</v>
      </c>
    </row>
    <row r="23" spans="2:10" x14ac:dyDescent="0.35">
      <c r="B23" s="178" t="s">
        <v>31</v>
      </c>
      <c r="C23" s="228" t="str">
        <f>C22</f>
        <v>#</v>
      </c>
      <c r="D23" s="175">
        <v>12690</v>
      </c>
      <c r="E23" s="175">
        <v>16830</v>
      </c>
      <c r="F23" s="175">
        <v>20250</v>
      </c>
      <c r="G23" s="175">
        <v>26973</v>
      </c>
      <c r="H23" s="175">
        <v>35883</v>
      </c>
      <c r="I23" s="175">
        <v>47871</v>
      </c>
      <c r="J23" s="175">
        <v>63747</v>
      </c>
    </row>
    <row r="24" spans="2:10" x14ac:dyDescent="0.35">
      <c r="B24" s="178"/>
      <c r="C24" s="228"/>
      <c r="D24" s="175"/>
      <c r="E24" s="175"/>
      <c r="F24" s="175"/>
      <c r="G24" s="175"/>
      <c r="H24" s="175"/>
      <c r="I24" s="175"/>
      <c r="J24" s="175"/>
    </row>
    <row r="25" spans="2:10" x14ac:dyDescent="0.35">
      <c r="B25" s="174" t="s">
        <v>130</v>
      </c>
      <c r="C25" s="228" t="str">
        <f>C23</f>
        <v>#</v>
      </c>
      <c r="D25" s="175">
        <v>12690</v>
      </c>
      <c r="E25" s="175">
        <v>16830</v>
      </c>
      <c r="F25" s="175">
        <v>20250</v>
      </c>
      <c r="G25" s="175">
        <v>26973</v>
      </c>
      <c r="H25" s="175">
        <v>35883</v>
      </c>
      <c r="I25" s="175">
        <v>47871</v>
      </c>
      <c r="J25" s="175">
        <v>63747</v>
      </c>
    </row>
    <row r="26" spans="2:10" x14ac:dyDescent="0.35">
      <c r="B26" s="178" t="s">
        <v>29</v>
      </c>
      <c r="C26" s="228" t="str">
        <f>C25</f>
        <v>#</v>
      </c>
      <c r="D26" s="177">
        <v>2538</v>
      </c>
      <c r="E26" s="177">
        <v>3366</v>
      </c>
      <c r="F26" s="177">
        <v>4050</v>
      </c>
      <c r="G26" s="177">
        <v>5394.6</v>
      </c>
      <c r="H26" s="177">
        <v>7176.6</v>
      </c>
      <c r="I26" s="177">
        <v>9574.2000000000007</v>
      </c>
      <c r="J26" s="177">
        <v>12749.400000000001</v>
      </c>
    </row>
    <row r="27" spans="2:10" x14ac:dyDescent="0.35">
      <c r="B27" s="178" t="s">
        <v>30</v>
      </c>
      <c r="C27" s="228" t="str">
        <f>C26</f>
        <v>#</v>
      </c>
      <c r="D27" s="175">
        <v>3807</v>
      </c>
      <c r="E27" s="175">
        <v>5049</v>
      </c>
      <c r="F27" s="175">
        <v>6075</v>
      </c>
      <c r="G27" s="175">
        <v>8091.9</v>
      </c>
      <c r="H27" s="175">
        <v>10764.9</v>
      </c>
      <c r="I27" s="175">
        <v>14361.3</v>
      </c>
      <c r="J27" s="175">
        <v>19124.099999999999</v>
      </c>
    </row>
    <row r="28" spans="2:10" x14ac:dyDescent="0.35">
      <c r="B28" s="178" t="s">
        <v>31</v>
      </c>
      <c r="C28" s="228" t="str">
        <f>C27</f>
        <v>#</v>
      </c>
      <c r="D28" s="175">
        <v>6345</v>
      </c>
      <c r="E28" s="175">
        <v>8415</v>
      </c>
      <c r="F28" s="175">
        <v>10125</v>
      </c>
      <c r="G28" s="175">
        <v>13486.5</v>
      </c>
      <c r="H28" s="175">
        <v>17941.5</v>
      </c>
      <c r="I28" s="175">
        <v>23935.5</v>
      </c>
      <c r="J28" s="175">
        <v>31873.5</v>
      </c>
    </row>
    <row r="29" spans="2:10" x14ac:dyDescent="0.35">
      <c r="B29" s="178"/>
      <c r="C29" s="228"/>
      <c r="D29" s="174"/>
      <c r="E29" s="174"/>
      <c r="F29" s="174"/>
      <c r="G29" s="174"/>
      <c r="H29" s="174"/>
      <c r="I29" s="174"/>
      <c r="J29" s="174"/>
    </row>
    <row r="30" spans="2:10" x14ac:dyDescent="0.35">
      <c r="B30" s="173" t="s">
        <v>2</v>
      </c>
      <c r="C30" s="227"/>
      <c r="D30" s="174"/>
      <c r="E30" s="174"/>
      <c r="F30" s="174"/>
      <c r="G30" s="174"/>
      <c r="H30" s="174"/>
      <c r="I30" s="174"/>
      <c r="J30" s="174"/>
    </row>
    <row r="31" spans="2:10" x14ac:dyDescent="0.35">
      <c r="B31" s="176" t="s">
        <v>35</v>
      </c>
      <c r="C31" s="229" t="str">
        <f>C5</f>
        <v>₹</v>
      </c>
      <c r="D31" s="175">
        <v>69999</v>
      </c>
      <c r="E31" s="175">
        <v>69999</v>
      </c>
      <c r="F31" s="175">
        <v>69999</v>
      </c>
      <c r="G31" s="175">
        <v>69999</v>
      </c>
      <c r="H31" s="175">
        <v>69999</v>
      </c>
      <c r="I31" s="175">
        <v>69999</v>
      </c>
      <c r="J31" s="175">
        <v>69999</v>
      </c>
    </row>
    <row r="32" spans="2:10" x14ac:dyDescent="0.35">
      <c r="B32" s="176" t="s">
        <v>36</v>
      </c>
      <c r="C32" s="229" t="str">
        <f>C31</f>
        <v>₹</v>
      </c>
      <c r="D32" s="175">
        <v>140000</v>
      </c>
      <c r="E32" s="175">
        <v>140000</v>
      </c>
      <c r="F32" s="175">
        <v>140000</v>
      </c>
      <c r="G32" s="175">
        <v>140000</v>
      </c>
      <c r="H32" s="175">
        <v>140000</v>
      </c>
      <c r="I32" s="175">
        <v>140000</v>
      </c>
      <c r="J32" s="175">
        <v>140000</v>
      </c>
    </row>
    <row r="33" spans="2:10" x14ac:dyDescent="0.35">
      <c r="B33" s="176" t="s">
        <v>37</v>
      </c>
      <c r="C33" s="229" t="str">
        <f>C32</f>
        <v>₹</v>
      </c>
      <c r="D33" s="175">
        <v>62999</v>
      </c>
      <c r="E33" s="175">
        <v>62999</v>
      </c>
      <c r="F33" s="175">
        <v>62999</v>
      </c>
      <c r="G33" s="175">
        <v>62999</v>
      </c>
      <c r="H33" s="175">
        <v>62999</v>
      </c>
      <c r="I33" s="175">
        <v>62999</v>
      </c>
      <c r="J33" s="175">
        <v>62999</v>
      </c>
    </row>
    <row r="34" spans="2:10" x14ac:dyDescent="0.35">
      <c r="B34" s="176"/>
      <c r="C34" s="229"/>
      <c r="D34" s="175"/>
      <c r="E34" s="175"/>
      <c r="F34" s="175"/>
      <c r="G34" s="175"/>
      <c r="H34" s="175"/>
      <c r="I34" s="175"/>
      <c r="J34" s="175"/>
    </row>
    <row r="35" spans="2:10" x14ac:dyDescent="0.35">
      <c r="B35" s="173" t="s">
        <v>135</v>
      </c>
      <c r="C35" s="227"/>
      <c r="D35" s="174"/>
      <c r="E35" s="174"/>
      <c r="F35" s="174"/>
      <c r="G35" s="174"/>
      <c r="H35" s="174"/>
      <c r="I35" s="174"/>
      <c r="J35" s="174"/>
    </row>
    <row r="36" spans="2:10" x14ac:dyDescent="0.35">
      <c r="B36" s="180" t="s">
        <v>138</v>
      </c>
      <c r="C36" s="228" t="str">
        <f>C33</f>
        <v>₹</v>
      </c>
      <c r="D36" s="175">
        <f>D31*D17+D32*D16+D34*D18</f>
        <v>4352643351.000001</v>
      </c>
      <c r="E36" s="175">
        <f t="shared" ref="E36:J36" si="6">E31*E17+E32*E16+E34*E18</f>
        <v>5772654657</v>
      </c>
      <c r="F36" s="175">
        <f t="shared" si="6"/>
        <v>6945707475</v>
      </c>
      <c r="G36" s="175">
        <f t="shared" si="6"/>
        <v>9251682356.7000008</v>
      </c>
      <c r="H36" s="175">
        <f t="shared" si="6"/>
        <v>12307793645.700001</v>
      </c>
      <c r="I36" s="175">
        <f t="shared" si="6"/>
        <v>16419652470.900003</v>
      </c>
      <c r="J36" s="175">
        <f t="shared" si="6"/>
        <v>21865087131.300003</v>
      </c>
    </row>
    <row r="37" spans="2:10" x14ac:dyDescent="0.35">
      <c r="B37" s="180" t="s">
        <v>140</v>
      </c>
      <c r="C37" s="228" t="str">
        <f>C36</f>
        <v>₹</v>
      </c>
      <c r="D37" s="175">
        <f>D32*D21+D33*D23+D31*D22</f>
        <v>2043069696</v>
      </c>
      <c r="E37" s="175">
        <f t="shared" ref="E37:J37" si="7">E32*E21+E33*E23+E31*E22</f>
        <v>2709603072</v>
      </c>
      <c r="F37" s="175">
        <f t="shared" si="7"/>
        <v>3260217600</v>
      </c>
      <c r="G37" s="175">
        <f t="shared" si="7"/>
        <v>4342609843.1999998</v>
      </c>
      <c r="H37" s="175">
        <f t="shared" si="7"/>
        <v>5777105587.1999998</v>
      </c>
      <c r="I37" s="175">
        <f t="shared" si="7"/>
        <v>7707154406.3999996</v>
      </c>
      <c r="J37" s="175">
        <f t="shared" si="7"/>
        <v>10263165004.799999</v>
      </c>
    </row>
    <row r="38" spans="2:10" x14ac:dyDescent="0.35">
      <c r="B38" s="180" t="s">
        <v>141</v>
      </c>
      <c r="C38" s="228" t="str">
        <f>C37</f>
        <v>₹</v>
      </c>
      <c r="D38" s="179">
        <f>D32*D26+D33*D28+D31*D27</f>
        <v>1021534848</v>
      </c>
      <c r="E38" s="179">
        <f t="shared" ref="E38:J38" si="8">E32*E26+E33*E28+E31*E27</f>
        <v>1354801536</v>
      </c>
      <c r="F38" s="179">
        <f t="shared" si="8"/>
        <v>1630108800</v>
      </c>
      <c r="G38" s="179">
        <f t="shared" si="8"/>
        <v>2171304921.5999999</v>
      </c>
      <c r="H38" s="179">
        <f t="shared" si="8"/>
        <v>2888552793.5999999</v>
      </c>
      <c r="I38" s="179">
        <f t="shared" si="8"/>
        <v>3853577203.1999998</v>
      </c>
      <c r="J38" s="179">
        <f t="shared" si="8"/>
        <v>5131582502.3999996</v>
      </c>
    </row>
    <row r="39" spans="2:10" x14ac:dyDescent="0.35">
      <c r="B39" s="174"/>
      <c r="C39" s="228"/>
      <c r="D39" s="174"/>
      <c r="E39" s="174"/>
      <c r="F39" s="174"/>
      <c r="G39" s="174"/>
      <c r="H39" s="174"/>
      <c r="I39" s="174"/>
      <c r="J39" s="174"/>
    </row>
    <row r="40" spans="2:10" x14ac:dyDescent="0.35">
      <c r="B40" s="173" t="s">
        <v>136</v>
      </c>
      <c r="C40" s="227"/>
      <c r="D40" s="174"/>
      <c r="E40" s="174"/>
      <c r="F40" s="174"/>
      <c r="G40" s="174"/>
      <c r="H40" s="174"/>
      <c r="I40" s="174"/>
      <c r="J40" s="174"/>
    </row>
    <row r="41" spans="2:10" x14ac:dyDescent="0.35">
      <c r="B41" s="174" t="s">
        <v>128</v>
      </c>
      <c r="C41" s="228" t="str">
        <f>C38</f>
        <v>₹</v>
      </c>
      <c r="D41" s="179">
        <v>1961421616.6666667</v>
      </c>
      <c r="E41" s="179">
        <v>2457442466.166667</v>
      </c>
      <c r="F41" s="179">
        <v>2845163726.541667</v>
      </c>
      <c r="G41" s="179">
        <v>3621248013.8692713</v>
      </c>
      <c r="H41" s="179">
        <v>4630132512.5657387</v>
      </c>
      <c r="I41" s="179">
        <v>5963049975.6179466</v>
      </c>
      <c r="J41" s="179">
        <v>7694731181.2568188</v>
      </c>
    </row>
    <row r="42" spans="2:10" x14ac:dyDescent="0.35">
      <c r="B42" s="174" t="s">
        <v>129</v>
      </c>
      <c r="C42" s="228" t="str">
        <f>C41</f>
        <v>₹</v>
      </c>
      <c r="D42" s="175">
        <v>2064654333.3333335</v>
      </c>
      <c r="E42" s="175">
        <v>2586781543.3333335</v>
      </c>
      <c r="F42" s="175">
        <v>2994909185.8333335</v>
      </c>
      <c r="G42" s="175">
        <v>3811840014.5992332</v>
      </c>
      <c r="H42" s="175">
        <v>4873823697.4376202</v>
      </c>
      <c r="I42" s="175">
        <v>6276894711.1767864</v>
      </c>
      <c r="J42" s="175">
        <v>8099717032.9019146</v>
      </c>
    </row>
    <row r="43" spans="2:10" x14ac:dyDescent="0.35">
      <c r="B43" s="174" t="s">
        <v>130</v>
      </c>
      <c r="C43" s="228" t="str">
        <f>C42</f>
        <v>₹</v>
      </c>
      <c r="D43" s="175">
        <v>2064654333.3333335</v>
      </c>
      <c r="E43" s="175">
        <v>2586781543.3333335</v>
      </c>
      <c r="F43" s="175">
        <v>2994909185.8333335</v>
      </c>
      <c r="G43" s="175">
        <v>3811840014.5992332</v>
      </c>
      <c r="H43" s="175">
        <v>4873823697.4376202</v>
      </c>
      <c r="I43" s="175">
        <v>6276894711.1767864</v>
      </c>
      <c r="J43" s="175">
        <v>8099717032.9019146</v>
      </c>
    </row>
    <row r="46" spans="2:10" x14ac:dyDescent="0.35">
      <c r="B46" s="240" t="s">
        <v>142</v>
      </c>
      <c r="C46" s="240"/>
      <c r="D46" s="240"/>
      <c r="E46" s="240"/>
      <c r="F46" s="240"/>
    </row>
  </sheetData>
  <mergeCells count="3">
    <mergeCell ref="B2:J2"/>
    <mergeCell ref="B46:F46"/>
    <mergeCell ref="B13:J13"/>
  </mergeCells>
  <dataValidations count="1">
    <dataValidation type="list" allowBlank="1" showInputMessage="1" showErrorMessage="1" sqref="D11" xr:uid="{736AE2A9-DAD2-4960-AC71-F947313F23DD}">
      <formula1>"1,2,3"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Income Statement</vt:lpstr>
      <vt:lpstr>2. Balance Sheet</vt:lpstr>
      <vt:lpstr>3. Statement of Cashflow</vt:lpstr>
      <vt:lpstr>4. Fixed Assets</vt:lpstr>
      <vt:lpstr>5. Capital Budgeting Analysis</vt:lpstr>
      <vt:lpstr>6. Sensitivity Analysis</vt:lpstr>
      <vt:lpstr>7. Scenario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Dipun Mohapatra</cp:lastModifiedBy>
  <dcterms:created xsi:type="dcterms:W3CDTF">2022-08-22T01:16:26Z</dcterms:created>
  <dcterms:modified xsi:type="dcterms:W3CDTF">2025-01-04T05:40:56Z</dcterms:modified>
</cp:coreProperties>
</file>