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Cashflow Statement" sheetId="2" r:id="rId5"/>
    <sheet state="visible" name="Balance Sheet" sheetId="3" r:id="rId6"/>
    <sheet state="visible" name="Ratios" sheetId="4" r:id="rId7"/>
    <sheet state="visible" name="WACC" sheetId="5" r:id="rId8"/>
    <sheet state="visible" name="Growth Rate" sheetId="6" r:id="rId9"/>
    <sheet state="visible" name="FCFF Model" sheetId="7" r:id="rId10"/>
    <sheet state="visible" name="Senesitivity Analysis" sheetId="8" r:id="rId11"/>
    <sheet state="visible" name="Quality" sheetId="9" r:id="rId12"/>
    <sheet state="visible" name="Price VS Instr" sheetId="10" r:id="rId13"/>
    <sheet state="visible" name="Relative Method" sheetId="11" r:id="rId14"/>
    <sheet state="visible" name="Sheet1" sheetId="12" r:id="rId15"/>
  </sheets>
  <externalReferences>
    <externalReference r:id="rId16"/>
  </externalReferences>
  <definedNames/>
  <calcPr/>
  <extLst>
    <ext uri="GoogleSheetsCustomDataVersion1">
      <go:sheetsCustomData xmlns:go="http://customooxmlschemas.google.com/" r:id="rId17" roundtripDataSignature="AMtx7mgNym9vMgtlSx5794Gm1WoS2i9vQw=="/>
    </ext>
  </extLst>
</workbook>
</file>

<file path=xl/sharedStrings.xml><?xml version="1.0" encoding="utf-8"?>
<sst xmlns="http://schemas.openxmlformats.org/spreadsheetml/2006/main" count="909" uniqueCount="672">
  <si>
    <t>Fiscal Quarter</t>
  </si>
  <si>
    <t>2021 Q1</t>
  </si>
  <si>
    <t>INCOME STATEMENT</t>
  </si>
  <si>
    <t>Operating Revenue</t>
  </si>
  <si>
    <t>Total Revenue</t>
  </si>
  <si>
    <t>Adjustments To Revenue</t>
  </si>
  <si>
    <t>Cost Of Sales</t>
  </si>
  <si>
    <t>Cost Of Sales With Depreciation</t>
  </si>
  <si>
    <t>Gross Margin</t>
  </si>
  <si>
    <t>Gross Operating Profit</t>
  </si>
  <si>
    <t>Research &amp; Development (R&amp;D) Expense</t>
  </si>
  <si>
    <t>Selling, General &amp; Administrative (SG&amp;A) Expense</t>
  </si>
  <si>
    <t>Advertising</t>
  </si>
  <si>
    <t>Operating Income</t>
  </si>
  <si>
    <t>EBITDA</t>
  </si>
  <si>
    <t>Depreciation</t>
  </si>
  <si>
    <t>Depreciation (Unrecognized)</t>
  </si>
  <si>
    <t>Amortization</t>
  </si>
  <si>
    <t>Amortization Of Intangibles</t>
  </si>
  <si>
    <t>Operating Profit After Depreciation</t>
  </si>
  <si>
    <t>Interest Income</t>
  </si>
  <si>
    <t>Earnings From Equity Interest</t>
  </si>
  <si>
    <t>Other Income Net</t>
  </si>
  <si>
    <t>Income, Acquired In Process R&amp;A</t>
  </si>
  <si>
    <t>Income, Restructuring And M&amp;A</t>
  </si>
  <si>
    <t>Other Special Charges</t>
  </si>
  <si>
    <t>Special Income Charges</t>
  </si>
  <si>
    <t>EBIT</t>
  </si>
  <si>
    <t>Interest Expense</t>
  </si>
  <si>
    <t>Pre-Tax Income</t>
  </si>
  <si>
    <t>Income Taxes</t>
  </si>
  <si>
    <t>Minority Interest</t>
  </si>
  <si>
    <t>Pref. Securities Of Subsid. Trust</t>
  </si>
  <si>
    <t>Income Before Income Taxes</t>
  </si>
  <si>
    <t>Net Income (Continuing Operations)</t>
  </si>
  <si>
    <t>Net Income (Discontinued Operations)</t>
  </si>
  <si>
    <t>Net Income (Total Operations)</t>
  </si>
  <si>
    <t>Extraordinary Income/Losses</t>
  </si>
  <si>
    <t>Income From Cum. Effect Of Acct. Change</t>
  </si>
  <si>
    <t>Income From Tax Loss Carryforward</t>
  </si>
  <si>
    <t>Other Gains/Losses</t>
  </si>
  <si>
    <t>Total Net Income</t>
  </si>
  <si>
    <t>Normalized Income</t>
  </si>
  <si>
    <t>Net Income Available For Common</t>
  </si>
  <si>
    <t>Preferred Dividends</t>
  </si>
  <si>
    <t>Excise Taxes</t>
  </si>
  <si>
    <t>Basic EPS (Continuing)</t>
  </si>
  <si>
    <t>Basic EPS (Discontinued)</t>
  </si>
  <si>
    <t>Basic EPS From Total Operations</t>
  </si>
  <si>
    <t>Basic EPS (Extraordinary Items)</t>
  </si>
  <si>
    <t>Basic EPS (Cum. Effect Of Acct. Change)</t>
  </si>
  <si>
    <t>Basic EPS (Tax Loss Carry Forward)</t>
  </si>
  <si>
    <t>Basic EPS (Other Gains/Losses)</t>
  </si>
  <si>
    <t>Basic EPS - Total</t>
  </si>
  <si>
    <t>Basic EPS - Normalized</t>
  </si>
  <si>
    <t>Diluted EPS (Continuing)</t>
  </si>
  <si>
    <t>Diluted EPS (Discontinued)</t>
  </si>
  <si>
    <t>Diluted EPS From Total Operations</t>
  </si>
  <si>
    <t>Diluted EPS (Extraordinary)</t>
  </si>
  <si>
    <t>Diluted EPS (Cum. Effect Of Acct. Change)</t>
  </si>
  <si>
    <t>Diluted EPS (Tax Loss Carry Forward)</t>
  </si>
  <si>
    <t>Diluted EPS (Other Gains/Losses)</t>
  </si>
  <si>
    <t>Diluted EPS - Total</t>
  </si>
  <si>
    <t>Diluted EPS - Normalized</t>
  </si>
  <si>
    <t>Dividends Paid Per Share (DPS)</t>
  </si>
  <si>
    <t>Fiscal quarter</t>
  </si>
  <si>
    <t>CASH-FLOW STATEMENT</t>
  </si>
  <si>
    <t>OPERATING ACTIVITIES</t>
  </si>
  <si>
    <t>Net Income/Loss</t>
  </si>
  <si>
    <t>Deferred Income Taxes</t>
  </si>
  <si>
    <t>Operating Gains</t>
  </si>
  <si>
    <t>Extraordinary Gains</t>
  </si>
  <si>
    <t>(Increase) Decrease In Receivables</t>
  </si>
  <si>
    <t>(Increase) Decrease In Inventories</t>
  </si>
  <si>
    <t>(Increase) Decrease In Prepaid Expenses</t>
  </si>
  <si>
    <t>(Increase) Decrease In Other Current Assets</t>
  </si>
  <si>
    <t>Decrease (Increase) In Payables</t>
  </si>
  <si>
    <t>Decrease (Increase) In Other Current Liabilities</t>
  </si>
  <si>
    <t>Decrease (Increase) In Other Working Capital</t>
  </si>
  <si>
    <t>Other Non-Cash Items</t>
  </si>
  <si>
    <t>Net Cash From Continuing Operations</t>
  </si>
  <si>
    <t>Net Cash From Discontinued Operations</t>
  </si>
  <si>
    <t>Net Cash From Total Operating Activities</t>
  </si>
  <si>
    <t>INVESTING ACTIVITIES</t>
  </si>
  <si>
    <t>Sale Of Property, Plant &amp; Equipment</t>
  </si>
  <si>
    <t>Sale Of Long-Term Investments</t>
  </si>
  <si>
    <t>Sale Of Short-Term Investments</t>
  </si>
  <si>
    <t>Purchase Of Property, Plant &amp; Equipment</t>
  </si>
  <si>
    <t>Acquisitions</t>
  </si>
  <si>
    <t>Purchase Of Long-Term Investments</t>
  </si>
  <si>
    <t>Purchase Of Short-Term Investments</t>
  </si>
  <si>
    <t>Other Investing Changes, Net</t>
  </si>
  <si>
    <t>Cash From Discontinued Investing Activities</t>
  </si>
  <si>
    <t>Net Cash From Investing Activities</t>
  </si>
  <si>
    <t>FINANCING ACTIVITIES</t>
  </si>
  <si>
    <t>Issuance Of Debt</t>
  </si>
  <si>
    <t>Issuance Of Capital Stock</t>
  </si>
  <si>
    <t>Repayment Of Long-Term Debt</t>
  </si>
  <si>
    <t>Repurchase Of Capital Stock</t>
  </si>
  <si>
    <t>Payment Of Cash Dividends</t>
  </si>
  <si>
    <t>Other Financing Charges, Net</t>
  </si>
  <si>
    <t>Cash From Discontinued Financing Activities</t>
  </si>
  <si>
    <t>Net Cash From Financing Activities</t>
  </si>
  <si>
    <t>NET CASH FLOW</t>
  </si>
  <si>
    <t>Effect Exchange Rate Changes</t>
  </si>
  <si>
    <t>Net Change In Cash &amp; Equivalents</t>
  </si>
  <si>
    <t>Cash At Beginning Of Period</t>
  </si>
  <si>
    <t>Cash End Of Period</t>
  </si>
  <si>
    <t>Year</t>
  </si>
  <si>
    <t>BALANCE SHEET</t>
  </si>
  <si>
    <t>ASSETS</t>
  </si>
  <si>
    <t>Cash &amp; Equivalents</t>
  </si>
  <si>
    <t>Restricted Cash</t>
  </si>
  <si>
    <t>Marketable Securities</t>
  </si>
  <si>
    <t>Accounts Receivable</t>
  </si>
  <si>
    <t>Loans Receivable</t>
  </si>
  <si>
    <t>Other Receivable</t>
  </si>
  <si>
    <t>Receivables</t>
  </si>
  <si>
    <t>Inventories, Raw Materials</t>
  </si>
  <si>
    <t>Inventories, Work In Progress</t>
  </si>
  <si>
    <t>Inventories, Purchased Components</t>
  </si>
  <si>
    <t>Inventories, Finished Goods</t>
  </si>
  <si>
    <t>Inventories, Other</t>
  </si>
  <si>
    <t>Inventories, Adjustments &amp; Allowances</t>
  </si>
  <si>
    <t>Inventories</t>
  </si>
  <si>
    <t>Prepaid Expenses</t>
  </si>
  <si>
    <t>Current Defered Income Taxes</t>
  </si>
  <si>
    <t>Other Current Assets</t>
  </si>
  <si>
    <t>Total Current Assets</t>
  </si>
  <si>
    <t>Land And Improvements</t>
  </si>
  <si>
    <t>Building And Improvements</t>
  </si>
  <si>
    <t>Machinery, Furniture &amp; Equipment</t>
  </si>
  <si>
    <t>Construction In Progress</t>
  </si>
  <si>
    <t>Other Fixed Assets</t>
  </si>
  <si>
    <t>Total Fixed Assets</t>
  </si>
  <si>
    <t>Gross Fixed Assets</t>
  </si>
  <si>
    <t>Accumulated Depreciation</t>
  </si>
  <si>
    <t>Net Fixed Assets</t>
  </si>
  <si>
    <t>Intangibles</t>
  </si>
  <si>
    <t>Cost In Excess</t>
  </si>
  <si>
    <t>Non-Current Deferred Income Taxes</t>
  </si>
  <si>
    <t>Other Non-Current Assets</t>
  </si>
  <si>
    <t>Total Non-Current Assets</t>
  </si>
  <si>
    <t>Total Assets</t>
  </si>
  <si>
    <t>Inventory Valuation Method</t>
  </si>
  <si>
    <t>C</t>
  </si>
  <si>
    <t>EQUITY &amp; LIABILITIES</t>
  </si>
  <si>
    <t>Accounts Payable</t>
  </si>
  <si>
    <t>Notes Payable</t>
  </si>
  <si>
    <t>Short-Term Debt</t>
  </si>
  <si>
    <t>Accrued Expenses</t>
  </si>
  <si>
    <t>Accrued Liabilities</t>
  </si>
  <si>
    <t>Deferred Revenues</t>
  </si>
  <si>
    <t>Current Deferred Income Taxes</t>
  </si>
  <si>
    <t>Other Current Liabilities</t>
  </si>
  <si>
    <t>Total Current Liabilities</t>
  </si>
  <si>
    <t>Long-Term Debt</t>
  </si>
  <si>
    <t>Capital Lease Obligations</t>
  </si>
  <si>
    <t>Other Non-Current Liabilities</t>
  </si>
  <si>
    <t>Minority Interest Liability</t>
  </si>
  <si>
    <t>Preferred Secur. Of Subsid. Trust</t>
  </si>
  <si>
    <t>Preferred Equity Outside Stock Equity</t>
  </si>
  <si>
    <t>Total Non-Current Liabilities</t>
  </si>
  <si>
    <t>Total Liabilities</t>
  </si>
  <si>
    <t>Preferred Stock Equity</t>
  </si>
  <si>
    <t>Common Stock Equity</t>
  </si>
  <si>
    <t>Common Par</t>
  </si>
  <si>
    <t>Additional Paid-In Capital</t>
  </si>
  <si>
    <t>Cumulative Translation Adjustments</t>
  </si>
  <si>
    <t>Retained Earnings</t>
  </si>
  <si>
    <t>Treasury Stock</t>
  </si>
  <si>
    <t>Other Equity Adjustments</t>
  </si>
  <si>
    <t>Total Capitalization</t>
  </si>
  <si>
    <t>Total Equity</t>
  </si>
  <si>
    <t>Total Liabilities &amp; Stock Equity</t>
  </si>
  <si>
    <t>Cash Flow</t>
  </si>
  <si>
    <t>Working Capital</t>
  </si>
  <si>
    <t>Free Cash Flow</t>
  </si>
  <si>
    <t>Invested Capital</t>
  </si>
  <si>
    <t>Shares Out (Common Class Only)</t>
  </si>
  <si>
    <t>Preferred Shares</t>
  </si>
  <si>
    <t>Total Ordinary Shares</t>
  </si>
  <si>
    <t>Total Common Shares Out</t>
  </si>
  <si>
    <t>Treasury Shares</t>
  </si>
  <si>
    <t>Basic Weighted Shares</t>
  </si>
  <si>
    <t>Diluted Weighted Shares</t>
  </si>
  <si>
    <t>Number Of Employees</t>
  </si>
  <si>
    <t>RATIOS CALCULATIONS</t>
  </si>
  <si>
    <t>PROFIT MARGINS</t>
  </si>
  <si>
    <t>Close PE Ratio</t>
  </si>
  <si>
    <t>High PE Ratio</t>
  </si>
  <si>
    <t>Low PE Ratio</t>
  </si>
  <si>
    <t>Gross Profit Margin</t>
  </si>
  <si>
    <t>Pre-Tax Profit Margin</t>
  </si>
  <si>
    <t>Post-Tax Profit Margin</t>
  </si>
  <si>
    <t>Net Profit Margin</t>
  </si>
  <si>
    <t>Interest Coverage (Cont. Operations)</t>
  </si>
  <si>
    <t>Interest As % Of Invested Capital</t>
  </si>
  <si>
    <t>Effective Tax Rate</t>
  </si>
  <si>
    <t>Income Per Employee</t>
  </si>
  <si>
    <t>NORMALIZED RATIOS</t>
  </si>
  <si>
    <t>Normalized Close PE Ratio</t>
  </si>
  <si>
    <t>Normalized High PE Ratio</t>
  </si>
  <si>
    <t>Normalized Low PE Ratio</t>
  </si>
  <si>
    <t>Normalized Net Profit Margin</t>
  </si>
  <si>
    <t>Normalized ROE</t>
  </si>
  <si>
    <t>Normalized ROA</t>
  </si>
  <si>
    <t>Normalized ROCI</t>
  </si>
  <si>
    <t>Normalized Income Per Employee</t>
  </si>
  <si>
    <t>SOLVENCY RATIOS</t>
  </si>
  <si>
    <t>Quick Ratio</t>
  </si>
  <si>
    <t>Current Ratio</t>
  </si>
  <si>
    <t>Payout Ratio</t>
  </si>
  <si>
    <t>Total Debt/Equity Ratio</t>
  </si>
  <si>
    <t>Long-Term Debt/Total Capital</t>
  </si>
  <si>
    <t>EFFICIENCY RATIOS</t>
  </si>
  <si>
    <t>Leverage Ratio</t>
  </si>
  <si>
    <t>Asset Turnover</t>
  </si>
  <si>
    <t>Cash As % Of Revenue</t>
  </si>
  <si>
    <t>Receivables As % Of Revenue</t>
  </si>
  <si>
    <t>SG&amp;A As % Of Revenue</t>
  </si>
  <si>
    <t>R&amp;D As % Of Revenue</t>
  </si>
  <si>
    <t>ACTIVITY RATIOS</t>
  </si>
  <si>
    <t>Revenue Per $ Cash</t>
  </si>
  <si>
    <t>Revenue Per $ Plant (Net)</t>
  </si>
  <si>
    <t>Revenue Per $ Common Equity</t>
  </si>
  <si>
    <t>Revenue Per $ Invested Capital</t>
  </si>
  <si>
    <t>LIQUIDITY RATIOS</t>
  </si>
  <si>
    <t>Receivables Turnover</t>
  </si>
  <si>
    <t>Inventory Turnover</t>
  </si>
  <si>
    <t>Receivables Per Day Sales</t>
  </si>
  <si>
    <t>Sales Per $ Receivables</t>
  </si>
  <si>
    <t>Sales Per $ Inventory</t>
  </si>
  <si>
    <t>Revenue/Assets</t>
  </si>
  <si>
    <t>Number Of Days Cost Of Goods In Inventory</t>
  </si>
  <si>
    <t>Current Assets Per Share</t>
  </si>
  <si>
    <t>Total Assets Per Share</t>
  </si>
  <si>
    <t>Intangibles As % Of Book-Value</t>
  </si>
  <si>
    <t>Inventory As % Of Revenue</t>
  </si>
  <si>
    <t>CAPITAL STRUCTURE RATIOS</t>
  </si>
  <si>
    <t>Long-Term Debt Per Share</t>
  </si>
  <si>
    <t>Current Liabilities Per Share</t>
  </si>
  <si>
    <t>Cash Per Share</t>
  </si>
  <si>
    <t>LT-Debt To Equity Ratio</t>
  </si>
  <si>
    <t>LT-Debt As % Of Invested Capital</t>
  </si>
  <si>
    <t>LT-Debt As % Of Total Debt</t>
  </si>
  <si>
    <t>Total Debt As % Total Assets</t>
  </si>
  <si>
    <t>Working Captial As % Of Equity</t>
  </si>
  <si>
    <t>Revenue Per Share</t>
  </si>
  <si>
    <t>Book Value Per Share</t>
  </si>
  <si>
    <t>Tangible Book Value Per Share</t>
  </si>
  <si>
    <t>Price/Revenue Ratio</t>
  </si>
  <si>
    <t>Price/Equity Ratio</t>
  </si>
  <si>
    <t>Price/Tangible Book Ratio</t>
  </si>
  <si>
    <t>Working Capital As % Of Price</t>
  </si>
  <si>
    <t>PROFITABILITY</t>
  </si>
  <si>
    <t>Working Capital Per Share</t>
  </si>
  <si>
    <t>Cash Flow Per Share</t>
  </si>
  <si>
    <t>Free Cash Flow Per Share</t>
  </si>
  <si>
    <t>Return On Stock Equity (ROE)</t>
  </si>
  <si>
    <t>Return On Capital Invested (ROCI)</t>
  </si>
  <si>
    <t>Return On Assets (ROA)</t>
  </si>
  <si>
    <t>Price/Cash Flow Ratio</t>
  </si>
  <si>
    <t>Price/Free Cash Flow Ratio</t>
  </si>
  <si>
    <t>Sales Per Employee</t>
  </si>
  <si>
    <t>AGAINST THE INDUSTRY RATIOS</t>
  </si>
  <si>
    <t>% Of Sales-To-Industry</t>
  </si>
  <si>
    <t>% Of Earnings-To-Industry</t>
  </si>
  <si>
    <t>% Of EPS-To-Industry</t>
  </si>
  <si>
    <t>% Of Price-To-Industry</t>
  </si>
  <si>
    <t>% Of PE-To-Industry</t>
  </si>
  <si>
    <t>% Of Price/Book-To-Industry</t>
  </si>
  <si>
    <t>% Of Price/Sales-To-Industry</t>
  </si>
  <si>
    <t>% Of Price/Cashflow-To-Industry</t>
  </si>
  <si>
    <t>% Of Pric/Free Cashlow-To-Industry</t>
  </si>
  <si>
    <t>% Of Debt/Equity-To-Industry</t>
  </si>
  <si>
    <t>% Of Current Ratio-To-Industry</t>
  </si>
  <si>
    <t>% Of Gross Profit Margin-To-Industry</t>
  </si>
  <si>
    <t>% Of Pre-Tax Profit Margin-To-Industry</t>
  </si>
  <si>
    <t>% Of Post-Tax Profit Margin-To-Industry</t>
  </si>
  <si>
    <t>% Of Net Profit Margin-To-Industry</t>
  </si>
  <si>
    <t>% Of ROE-To-Industry</t>
  </si>
  <si>
    <t>% Of Leverage-To-Industry</t>
  </si>
  <si>
    <t>Beta Analysis</t>
  </si>
  <si>
    <t>Cost of Equity Analysis</t>
  </si>
  <si>
    <t>Cost of Debt Analysis</t>
  </si>
  <si>
    <t>D/E Ratio Analysis</t>
  </si>
  <si>
    <t>WACC Analysis</t>
  </si>
  <si>
    <t>COMUPTING BETA FOR SJR</t>
  </si>
  <si>
    <t>COMPUTING UNLEVERED BETA</t>
  </si>
  <si>
    <t>THE GORDON DIVIDEND MODEL</t>
  </si>
  <si>
    <t>COMPUTING THE COST OF DEBT FOR SJR</t>
  </si>
  <si>
    <t>BOND RATINGS AND INTEREST RATES</t>
  </si>
  <si>
    <t xml:space="preserve">COMPUTING D/E RATIO USING HISTORICAL BOOK VALUE </t>
  </si>
  <si>
    <t>Formula</t>
  </si>
  <si>
    <t>MONTHLY RETURN FOR SJR AND S&amp;P STX (2009-2012)</t>
  </si>
  <si>
    <t>Euler's Formula</t>
  </si>
  <si>
    <t>Cash and cash equivalents</t>
  </si>
  <si>
    <t>Alpha</t>
  </si>
  <si>
    <t>Synthetic Rating for SJR</t>
  </si>
  <si>
    <t>BBB</t>
  </si>
  <si>
    <t>Total Debt</t>
  </si>
  <si>
    <t>Beta</t>
  </si>
  <si>
    <t>Short-term borrowings</t>
  </si>
  <si>
    <t>Interest Spread</t>
  </si>
  <si>
    <t>WACC (Normal)</t>
  </si>
  <si>
    <t>R-Squared</t>
  </si>
  <si>
    <t>THE GORDON MODEL COST OF EQUITY</t>
  </si>
  <si>
    <t>Current portion of long-term debt</t>
  </si>
  <si>
    <t>Risk Free Rate</t>
  </si>
  <si>
    <t>D/E Ratio</t>
  </si>
  <si>
    <t>WACC (Optimal)</t>
  </si>
  <si>
    <t>Unlevered Beta</t>
  </si>
  <si>
    <r>
      <rPr>
        <rFont val="Times New Roman"/>
        <color theme="1"/>
        <sz val="11.0"/>
      </rPr>
      <t>Current Share Price, P</t>
    </r>
    <r>
      <rPr>
        <rFont val="Times New Roman"/>
        <color theme="1"/>
        <sz val="10.0"/>
      </rPr>
      <t>0</t>
    </r>
  </si>
  <si>
    <t>long-term debt</t>
  </si>
  <si>
    <t>WACC (Industry)</t>
  </si>
  <si>
    <t>Price</t>
  </si>
  <si>
    <t>Return</t>
  </si>
  <si>
    <t>Current Dividend Growth Rate</t>
  </si>
  <si>
    <t>Cost of Debt</t>
  </si>
  <si>
    <t>Target D/E ratio</t>
  </si>
  <si>
    <t>Date</t>
  </si>
  <si>
    <t>SJR</t>
  </si>
  <si>
    <t>TSX</t>
  </si>
  <si>
    <t>Financial Levered and Betas</t>
  </si>
  <si>
    <t>Anticipated Dividend Growth Rate</t>
  </si>
  <si>
    <t>Interest and other debt expense, net</t>
  </si>
  <si>
    <t>Standard Dev</t>
  </si>
  <si>
    <t>Debt to Capital</t>
  </si>
  <si>
    <t>Gordon Model Cost of Equity, Re</t>
  </si>
  <si>
    <t>Net debt</t>
  </si>
  <si>
    <t>COMPUTING D/E RATIO BY ESTIMATING MV OF DEBT</t>
  </si>
  <si>
    <t>COMPUTING THE COST OF EQUITY FOR SJR</t>
  </si>
  <si>
    <t>Total debt</t>
  </si>
  <si>
    <t>Cash Paid:</t>
  </si>
  <si>
    <t>Interest</t>
  </si>
  <si>
    <t>Interest Cost</t>
  </si>
  <si>
    <t>Classic CAPM: Re = Rf +β (Rm - Rf)</t>
  </si>
  <si>
    <t>FINANCIAL RATIOS</t>
  </si>
  <si>
    <t>SJR Beta</t>
  </si>
  <si>
    <t>Ratio</t>
  </si>
  <si>
    <t>Description</t>
  </si>
  <si>
    <t>Summary Output</t>
  </si>
  <si>
    <t>Risk Free Rate, Rf</t>
  </si>
  <si>
    <t>Rretax Interest Coverage</t>
  </si>
  <si>
    <t>Expected Market Return Rm</t>
  </si>
  <si>
    <t>Interest Expense on Debt, 2012</t>
  </si>
  <si>
    <t>Regression Statistics</t>
  </si>
  <si>
    <t>SJR Cost of Equity, Re</t>
  </si>
  <si>
    <t>EBITDA Interest Coverage</t>
  </si>
  <si>
    <t>Cost of debt</t>
  </si>
  <si>
    <t>Multiple R</t>
  </si>
  <si>
    <t>Average Maturity of Debt</t>
  </si>
  <si>
    <t>12.76 Year</t>
  </si>
  <si>
    <t>R-square</t>
  </si>
  <si>
    <t>Tax-adjusted CAPM: Re = Rf(1-T) + β[(Rm-Rf(1-T)]</t>
  </si>
  <si>
    <t>Funds from Operations/ Total Debt</t>
  </si>
  <si>
    <t>Book Value of Debt, 2012</t>
  </si>
  <si>
    <t>Adjusted R Square</t>
  </si>
  <si>
    <t>BB</t>
  </si>
  <si>
    <t>Makret Value of Equity, 2012</t>
  </si>
  <si>
    <t>Standard Error</t>
  </si>
  <si>
    <t>SJR Tax Rate, T</t>
  </si>
  <si>
    <t>Free Operating Cashflow/ Total Debt</t>
  </si>
  <si>
    <t>Book Value of Equity</t>
  </si>
  <si>
    <t>Observations</t>
  </si>
  <si>
    <t>Source form bloomberg</t>
  </si>
  <si>
    <t>Google</t>
  </si>
  <si>
    <t>Pretax Return on Permanent Capital</t>
  </si>
  <si>
    <t>ANOVA</t>
  </si>
  <si>
    <t>Yahoo</t>
  </si>
  <si>
    <t>AA</t>
  </si>
  <si>
    <t>Estimated MV of SJR Debt</t>
  </si>
  <si>
    <t>df</t>
  </si>
  <si>
    <t>SS</t>
  </si>
  <si>
    <t>MS</t>
  </si>
  <si>
    <t>F</t>
  </si>
  <si>
    <t>Significance F</t>
  </si>
  <si>
    <t>Bloomberg</t>
  </si>
  <si>
    <t>Regression</t>
  </si>
  <si>
    <t>calculated</t>
  </si>
  <si>
    <t>Operating Income/ Sales</t>
  </si>
  <si>
    <t>Market</t>
  </si>
  <si>
    <t>Book</t>
  </si>
  <si>
    <t>Residual</t>
  </si>
  <si>
    <t>Recommended</t>
  </si>
  <si>
    <t>D/E</t>
  </si>
  <si>
    <t>Total</t>
  </si>
  <si>
    <t>D/V</t>
  </si>
  <si>
    <t>FINANCIAL RATIOS BY BOND RATING</t>
  </si>
  <si>
    <t>COMPUTING OPTIMAL D/E RATIO  BY USING UNLEVERED BETA</t>
  </si>
  <si>
    <t>AAA</t>
  </si>
  <si>
    <t>A</t>
  </si>
  <si>
    <t>B</t>
  </si>
  <si>
    <t>CCC</t>
  </si>
  <si>
    <t>EBIT interest cov.</t>
  </si>
  <si>
    <t>Debt Ratio</t>
  </si>
  <si>
    <t>Cost of Equity</t>
  </si>
  <si>
    <t>Bond Rating</t>
  </si>
  <si>
    <t>Interest rate on debt</t>
  </si>
  <si>
    <t>Tax Rate</t>
  </si>
  <si>
    <t>Cost of Debt(after-tax)</t>
  </si>
  <si>
    <t>Cost of Capital</t>
  </si>
  <si>
    <t>EBITDA interest cov.</t>
  </si>
  <si>
    <t>Funds flow/total debt</t>
  </si>
  <si>
    <t>Free oper. Cash flow/ total debt (%)</t>
  </si>
  <si>
    <t>A-</t>
  </si>
  <si>
    <t>Return on capital (%)</t>
  </si>
  <si>
    <t>Oper. Income/ sales (%)</t>
  </si>
  <si>
    <t>Long-term debt/capital (%)</t>
  </si>
  <si>
    <t>Total Debt/ Capital (%)</t>
  </si>
  <si>
    <t>Number of firms</t>
  </si>
  <si>
    <t>Source: Standard and Poors</t>
  </si>
  <si>
    <t>Growth Rate Analysis</t>
  </si>
  <si>
    <t>HISTORICAL GROWTH RATE</t>
  </si>
  <si>
    <t>LINEAR AND LOG-LINEAR REGRESSION MODELS</t>
  </si>
  <si>
    <t>FUNDAMENTAL GROWTH RATES</t>
  </si>
  <si>
    <t>GROWTH RATE: STABLE RETURN ON CAPITAL SCENARIO</t>
  </si>
  <si>
    <t>ARIMA MODEL</t>
  </si>
  <si>
    <t>BREAK-EVEN GROWTH ANALYSIS</t>
  </si>
  <si>
    <t>Formula:</t>
  </si>
  <si>
    <t>The Gordon Dividend Model Scenario</t>
  </si>
  <si>
    <t>Arithmetic Average  Revenue Growth Rate for Past 10 Years</t>
  </si>
  <si>
    <r>
      <rPr>
        <rFont val="Times New Roman"/>
        <color theme="1"/>
        <sz val="11.0"/>
      </rPr>
      <t>EPS</t>
    </r>
    <r>
      <rPr>
        <rFont val="Times New Roman"/>
        <color theme="1"/>
        <sz val="10.0"/>
      </rPr>
      <t xml:space="preserve">t </t>
    </r>
    <r>
      <rPr>
        <rFont val="Times New Roman"/>
        <color theme="1"/>
        <sz val="11.0"/>
      </rPr>
      <t>= a + bt</t>
    </r>
  </si>
  <si>
    <t>Retention Ratio = Retained Earnings/ Current Earnings</t>
  </si>
  <si>
    <t>Expected Growth = Reinvestment Rate * Return on Capital</t>
  </si>
  <si>
    <t>ARIMA (p, d, q)</t>
  </si>
  <si>
    <t>Geometric Average Revenue Growth Rate for Past 10 Years</t>
  </si>
  <si>
    <r>
      <rPr>
        <rFont val="Times New Roman"/>
        <color theme="1"/>
        <sz val="11.0"/>
      </rPr>
      <t>ln(EPS</t>
    </r>
    <r>
      <rPr>
        <rFont val="Times New Roman"/>
        <color theme="1"/>
        <sz val="10.0"/>
      </rPr>
      <t>t</t>
    </r>
    <r>
      <rPr>
        <rFont val="Times New Roman"/>
        <color theme="1"/>
        <sz val="11.0"/>
      </rPr>
      <t>) = a + bt</t>
    </r>
  </si>
  <si>
    <t>Return on Investment = ROE = Net Income/ Book Value of Equity</t>
  </si>
  <si>
    <t>PV of Firm=  Div/(r-g)</t>
  </si>
  <si>
    <t>Arithmetic Average Free Cashflow Growth Rate for Past 10 Years</t>
  </si>
  <si>
    <t>ln(EPSt) = Natural logarithm of earnings per share in period t</t>
  </si>
  <si>
    <t>Geometric Average Free Cashflow Growth Rate for Past 10 Years</t>
  </si>
  <si>
    <t>Model 1: SARIMA (1, 0, 0) X (0, 1, 0)s =4</t>
  </si>
  <si>
    <t>Current Stock Price</t>
  </si>
  <si>
    <t>Current Retention Ratio = 1- DPS/ EPS</t>
  </si>
  <si>
    <t>Current DPS</t>
  </si>
  <si>
    <t>Arithmetic Average  Revenue Growth Rate for Past 5 Years</t>
  </si>
  <si>
    <t>Calendar Year</t>
  </si>
  <si>
    <t>EPS</t>
  </si>
  <si>
    <t>% Change in EPS</t>
  </si>
  <si>
    <t>ln (EPS)</t>
  </si>
  <si>
    <t>Geometric Average Revenue Growth Rate for Past 5 Years</t>
  </si>
  <si>
    <t>-</t>
  </si>
  <si>
    <t>Retention Ratio</t>
  </si>
  <si>
    <t>ROE</t>
  </si>
  <si>
    <t>DPS</t>
  </si>
  <si>
    <t>Expected Growth</t>
  </si>
  <si>
    <t>Reinvestment Rate</t>
  </si>
  <si>
    <t>Return on Capital</t>
  </si>
  <si>
    <t>Model 2: SARIMA (0, 1, 1) X (0, 1, 1)s = 4</t>
  </si>
  <si>
    <t>Arithmetic Average Free Cashflow Growth Rate for Past 5 Years</t>
  </si>
  <si>
    <t>Break-even Growth Rate</t>
  </si>
  <si>
    <t>Geometric Average Free Cashflow Growth Rate for Past 5 Years</t>
  </si>
  <si>
    <t>Model 3: SARIMA (1, 0, 0) X (0, 1, 1)s =4</t>
  </si>
  <si>
    <t>The Discount Free Cashflow Scenario</t>
  </si>
  <si>
    <t>Arithmetic Average  Revenue Growth Rate for Past 3 Years</t>
  </si>
  <si>
    <t>Geometric Average Revenue Growth Rate for Past 3 Years</t>
  </si>
  <si>
    <t>Pv of Firm = FCFF/(WACC-g)</t>
  </si>
  <si>
    <t>Arithmetic Average Free Cashflow Growth Rate for Past 3 Years</t>
  </si>
  <si>
    <t>Output</t>
  </si>
  <si>
    <t>Geometric Average Free Cashflow Growth Rate for Past 3 Years</t>
  </si>
  <si>
    <t xml:space="preserve">Variable </t>
  </si>
  <si>
    <t>Coefficient</t>
  </si>
  <si>
    <t>Std. Error</t>
  </si>
  <si>
    <t>T-Statistic</t>
  </si>
  <si>
    <t>Prob.</t>
  </si>
  <si>
    <t>AR(1)</t>
  </si>
  <si>
    <t>Current Free Cashflow</t>
  </si>
  <si>
    <t>Adjust Arithmetic Average Growth Rate</t>
  </si>
  <si>
    <t>AR(2)</t>
  </si>
  <si>
    <t>WACC</t>
  </si>
  <si>
    <t>Adjust Geometric Average Growth Rate</t>
  </si>
  <si>
    <t>MA(1)</t>
  </si>
  <si>
    <t>Linear Regression: EPS = -0.145 +0.165t</t>
  </si>
  <si>
    <t>2013E</t>
  </si>
  <si>
    <t>Adjust growth rate will exclude abnormal years which are:</t>
  </si>
  <si>
    <t>R^2 = 0.73</t>
  </si>
  <si>
    <t>R-squared</t>
  </si>
  <si>
    <t>Mean Dependent Var</t>
  </si>
  <si>
    <t>1997: Asian financial crisis</t>
  </si>
  <si>
    <t xml:space="preserve">Growth Rate in Earnings per Share </t>
  </si>
  <si>
    <t>Growth Rate, 2013E</t>
  </si>
  <si>
    <t>Adjusted R-squared</t>
  </si>
  <si>
    <t>S.D. Dependent Var</t>
  </si>
  <si>
    <t>2000: American internet bubble</t>
  </si>
  <si>
    <t>S.E. of Regression</t>
  </si>
  <si>
    <t>Akaike Info Criterion</t>
  </si>
  <si>
    <t>2008: Subprime crsis</t>
  </si>
  <si>
    <t>Log-linear Regression: ln(EPS) = -1.64 + 0.248t</t>
  </si>
  <si>
    <t>Sum Squared Resid</t>
  </si>
  <si>
    <t>Schwarz Criterion</t>
  </si>
  <si>
    <t>2010: Sovereign debt crisis</t>
  </si>
  <si>
    <t>R^2 = 0.58</t>
  </si>
  <si>
    <t>Log likehood</t>
  </si>
  <si>
    <t>Durbin-Watson Stat</t>
  </si>
  <si>
    <t>Growth Rate in Earnings per Share</t>
  </si>
  <si>
    <t>Inverted AR Roots</t>
  </si>
  <si>
    <t>.57-.11i</t>
  </si>
  <si>
    <t>.57+.11i</t>
  </si>
  <si>
    <t>Inverted MA Roots</t>
  </si>
  <si>
    <t>Forecast YF</t>
  </si>
  <si>
    <t>Actual Y</t>
  </si>
  <si>
    <t>Forecast Sample</t>
  </si>
  <si>
    <t>Adjusted Sample</t>
  </si>
  <si>
    <t>Included observations</t>
  </si>
  <si>
    <t>Root Mean S-quared Error</t>
  </si>
  <si>
    <t>Mean Abs. Error</t>
  </si>
  <si>
    <t>Mean Abs. Percent Error</t>
  </si>
  <si>
    <t>Eias Proportion</t>
  </si>
  <si>
    <t>Variance Proportion</t>
  </si>
  <si>
    <t>Covariance Propertion</t>
  </si>
  <si>
    <t>HISTORICAL FREE CASHFLOW</t>
  </si>
  <si>
    <t>Fiscal Year</t>
  </si>
  <si>
    <t>EBIT*(1-t)</t>
  </si>
  <si>
    <t>Capital Expenditure</t>
  </si>
  <si>
    <t>Change in Working Capital</t>
  </si>
  <si>
    <t>DCF MODEL</t>
  </si>
  <si>
    <t>Revenue</t>
  </si>
  <si>
    <t>EBIT (1-t)</t>
  </si>
  <si>
    <t xml:space="preserve"> - Reinvestment</t>
  </si>
  <si>
    <t>Tax</t>
  </si>
  <si>
    <t>FCFF</t>
  </si>
  <si>
    <t>Depreiciaton</t>
  </si>
  <si>
    <t>Operating CashFlow</t>
  </si>
  <si>
    <t xml:space="preserve">  in Working Capital</t>
  </si>
  <si>
    <t>Discount Factor</t>
  </si>
  <si>
    <t>PV (FCFF)</t>
  </si>
  <si>
    <t>Terminal Cash Flow</t>
  </si>
  <si>
    <t>Terminal Value</t>
  </si>
  <si>
    <t>PV (Terminal Value)</t>
  </si>
  <si>
    <t>Enterprise Value, EV</t>
  </si>
  <si>
    <t>Debt</t>
  </si>
  <si>
    <t>Cash</t>
  </si>
  <si>
    <t>Value of Equity, Ve</t>
  </si>
  <si>
    <t>Number of Shares</t>
  </si>
  <si>
    <t>Price per share</t>
  </si>
  <si>
    <t>Sensitivity Matrix: Growth Vs. Discount Rate</t>
  </si>
  <si>
    <t>Growth Rates</t>
  </si>
  <si>
    <t>Discount Rates</t>
  </si>
  <si>
    <t>Sensitivity Matrix: Margin of Safety%</t>
  </si>
  <si>
    <t>Piotroski Score</t>
  </si>
  <si>
    <t>Profitability</t>
  </si>
  <si>
    <t>* Positive return on assets in the current year</t>
  </si>
  <si>
    <t>(1 point)</t>
  </si>
  <si>
    <t>* Positive operating cashflow the current year</t>
  </si>
  <si>
    <t>* Higher return on assets (ROA) in the current period compared to the ROA in the previous year</t>
  </si>
  <si>
    <t>* Cashflow from operations are greater than ROA</t>
  </si>
  <si>
    <t>Leverage, Liquidity and Source of Funds</t>
  </si>
  <si>
    <t>* Lower ratio of long-term debt to in the current period compared value in the previous year</t>
  </si>
  <si>
    <t>* Higher current ratio this year compared to the previos year</t>
  </si>
  <si>
    <t>* No new shares were issued in the last year</t>
  </si>
  <si>
    <t>Operating Efficiency</t>
  </si>
  <si>
    <t>* A higher gross margin compared to the previous year</t>
  </si>
  <si>
    <t>* A higher asset turnover ratio compared to the previos</t>
  </si>
  <si>
    <t>Net Income</t>
  </si>
  <si>
    <t>Operating Cashflow</t>
  </si>
  <si>
    <t>Return on Assets</t>
  </si>
  <si>
    <t>Quality of Earning</t>
  </si>
  <si>
    <t>LT Debt vs Assets</t>
  </si>
  <si>
    <t>Shares Outstanding</t>
  </si>
  <si>
    <t>Altman Z Score</t>
  </si>
  <si>
    <t>Z-Score = 1.2A + 1.4B + 3.3C + 0.6D + 1.0E</t>
  </si>
  <si>
    <t>A = Working Capital/ Total Assets</t>
  </si>
  <si>
    <t>B = Retained Earnings/ Total Assets</t>
  </si>
  <si>
    <t>C = Earnings Before Interest &amp; Tax/ Total Assets</t>
  </si>
  <si>
    <t>D  = Market Value of Equity/ Total Liabilities</t>
  </si>
  <si>
    <t>E = Sales/ Total Assets</t>
  </si>
  <si>
    <t>Market Value of Equity</t>
  </si>
  <si>
    <t>Net Sales</t>
  </si>
  <si>
    <t>Original Altman Z Score</t>
  </si>
  <si>
    <t>When Z is 3.0 or more</t>
  </si>
  <si>
    <t>The companty is most likely safe based on the financial data</t>
  </si>
  <si>
    <t>When Z is 2.7 to 3.0</t>
  </si>
  <si>
    <t>The company is probably safe from bankruptcy</t>
  </si>
  <si>
    <t>When Z is 1.8 to 2.7</t>
  </si>
  <si>
    <t>The company is likely to be bankrupt</t>
  </si>
  <si>
    <t>When Z is below 1.8</t>
  </si>
  <si>
    <t>The company is highly likely to be bankrupt</t>
  </si>
  <si>
    <t>The Beneish Model - M Score Variable</t>
  </si>
  <si>
    <t>DSRI</t>
  </si>
  <si>
    <t>Days' sales in receivable index</t>
  </si>
  <si>
    <t>GMI</t>
  </si>
  <si>
    <t>Gross margin index</t>
  </si>
  <si>
    <t>AQI</t>
  </si>
  <si>
    <t>Asset quality index</t>
  </si>
  <si>
    <t>SGI</t>
  </si>
  <si>
    <t>Sales growth index</t>
  </si>
  <si>
    <t>DEPI</t>
  </si>
  <si>
    <t>Depreciation index</t>
  </si>
  <si>
    <t>SGAI</t>
  </si>
  <si>
    <t>Sales and general and administrative expenses index</t>
  </si>
  <si>
    <t>LVGI</t>
  </si>
  <si>
    <t>Leverage index</t>
  </si>
  <si>
    <t>TATA</t>
  </si>
  <si>
    <t>Total accruals to total assets</t>
  </si>
  <si>
    <t>The Beneish M Score Formula</t>
  </si>
  <si>
    <t>The eight variables M score formula</t>
  </si>
  <si>
    <t>M = -4.84 + 0.92*DSRI + 0.528*GMI + 0.404*AQI + 0.892*SGI + 0.115*DEPI -0.172*SGAI + 4.679*TATA -0.327*LVGI</t>
  </si>
  <si>
    <t>The Score greater than -2.22 indicates a strong likelihood of a firm being a manipulator</t>
  </si>
  <si>
    <t>The five variable version of the beneish fomula</t>
  </si>
  <si>
    <t>M = -6.065 + 0.823*DSRI + 0.906*GMI + 0.593*AQI + 0.717*SGI + 0.107*DEPI</t>
  </si>
  <si>
    <t>The Score greater than -2.22 indicates a strong likelihood of afirm being a manipulator</t>
  </si>
  <si>
    <t>M Score - 8 Variable</t>
  </si>
  <si>
    <t>M Score - 5 Variable</t>
  </si>
  <si>
    <t>Adj Close</t>
  </si>
  <si>
    <t>2008E</t>
  </si>
  <si>
    <t>2011E</t>
  </si>
  <si>
    <t>2009E</t>
  </si>
  <si>
    <t>2010E</t>
  </si>
  <si>
    <t>Company</t>
  </si>
  <si>
    <t>Ticker</t>
  </si>
  <si>
    <t>Mkt Cap</t>
  </si>
  <si>
    <t>Volume</t>
  </si>
  <si>
    <t>5-Year Growth</t>
  </si>
  <si>
    <t>ROA</t>
  </si>
  <si>
    <t>Shaw Communication</t>
  </si>
  <si>
    <t>SJR.B</t>
  </si>
  <si>
    <t>10.35B</t>
  </si>
  <si>
    <t>0.73M</t>
  </si>
  <si>
    <t>BCE Inc</t>
  </si>
  <si>
    <t xml:space="preserve">BCE </t>
  </si>
  <si>
    <t>36.59B</t>
  </si>
  <si>
    <t>1.24M</t>
  </si>
  <si>
    <t>Rogers Communication</t>
  </si>
  <si>
    <t>RCI.B</t>
  </si>
  <si>
    <t>26.67B</t>
  </si>
  <si>
    <t>0.86M</t>
  </si>
  <si>
    <t>TELUS Corporation</t>
  </si>
  <si>
    <t>T</t>
  </si>
  <si>
    <t>34.59B</t>
  </si>
  <si>
    <t>1.09M</t>
  </si>
  <si>
    <t>Cogeco Cable Inc</t>
  </si>
  <si>
    <t>CCA</t>
  </si>
  <si>
    <t>2.17B</t>
  </si>
  <si>
    <t>0.2M</t>
  </si>
  <si>
    <t>Quebecor,  Inc</t>
  </si>
  <si>
    <t>QBR.B</t>
  </si>
  <si>
    <t>2.86B</t>
  </si>
  <si>
    <t>0.13M</t>
  </si>
  <si>
    <t>Corus Entertainment Inc</t>
  </si>
  <si>
    <t>CJR.B</t>
  </si>
  <si>
    <t>2.06B</t>
  </si>
  <si>
    <t>0.21M</t>
  </si>
  <si>
    <t>Astral Media, Inc</t>
  </si>
  <si>
    <t>ACM.A</t>
  </si>
  <si>
    <t>2.74B</t>
  </si>
  <si>
    <t>0.11M</t>
  </si>
  <si>
    <t>Maintoba Telecom Services</t>
  </si>
  <si>
    <t>MBT</t>
  </si>
  <si>
    <t>2.16B</t>
  </si>
  <si>
    <t>0.27M</t>
  </si>
  <si>
    <t>Comparable Company</t>
  </si>
  <si>
    <t>P/E</t>
  </si>
  <si>
    <t>P/B</t>
  </si>
  <si>
    <t>P/S</t>
  </si>
  <si>
    <t>eps</t>
  </si>
  <si>
    <t>book value</t>
  </si>
  <si>
    <t>sales</t>
  </si>
  <si>
    <t>Market Profile</t>
  </si>
  <si>
    <t>52 Week Price Range</t>
  </si>
  <si>
    <t>$18.93-25.33</t>
  </si>
  <si>
    <t>Average Daily Volume</t>
  </si>
  <si>
    <t>Dividend Yield</t>
  </si>
  <si>
    <t>448.04M</t>
  </si>
  <si>
    <t>Market Capitalization</t>
  </si>
  <si>
    <t>Institutional Holdings</t>
  </si>
  <si>
    <t>Insider Holdings</t>
  </si>
  <si>
    <t>Book Value per Share</t>
  </si>
  <si>
    <t>Debt to Total Capital</t>
  </si>
  <si>
    <t>Return on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</si>
</sst>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#,##0.0"/>
    <numFmt numFmtId="165" formatCode="0.0000"/>
    <numFmt numFmtId="166" formatCode="0.000"/>
    <numFmt numFmtId="167" formatCode="#,##0.00_ "/>
    <numFmt numFmtId="168" formatCode="_ * #,##0.00_ ;_ * \-#,##0.00_ ;_ * &quot;-&quot;??_ ;_ @_ "/>
    <numFmt numFmtId="169" formatCode="0.00000%"/>
    <numFmt numFmtId="170" formatCode="_ * #,##0_ ;_ * \-#,##0_ ;_ * &quot;-&quot;??_ ;_ @_ "/>
    <numFmt numFmtId="171" formatCode="0.0%"/>
    <numFmt numFmtId="172" formatCode="\$#,##0.00_);[Red]\(\$#,##0.00\)"/>
    <numFmt numFmtId="173" formatCode="\$#,##0_);[Red]\(\$#,##0\)"/>
    <numFmt numFmtId="174" formatCode="0.0"/>
    <numFmt numFmtId="175" formatCode="#,##0.0_ "/>
    <numFmt numFmtId="176" formatCode="_-\$* #,##0.00_ ;_-\$* \-#,##0.00\ ;_-\$* &quot;-&quot;??_ ;_-@_ "/>
  </numFmts>
  <fonts count="22">
    <font>
      <sz val="11.0"/>
      <color theme="1"/>
      <name val="Arial"/>
    </font>
    <font>
      <sz val="8.0"/>
      <color rgb="FF000000"/>
      <name val="Arial"/>
    </font>
    <font>
      <b/>
      <sz val="10.0"/>
      <color rgb="FFFFFFFF"/>
      <name val="Arial"/>
    </font>
    <font/>
    <font>
      <b/>
      <sz val="8.0"/>
      <color rgb="FF000000"/>
      <name val="Arial"/>
    </font>
    <font>
      <sz val="18.0"/>
      <color theme="1"/>
      <name val="Times New Roman"/>
    </font>
    <font>
      <sz val="11.0"/>
      <color theme="1"/>
      <name val="Times New Roman"/>
    </font>
    <font>
      <b/>
      <sz val="11.0"/>
      <color rgb="FFECECEC"/>
      <name val="Tahoma"/>
    </font>
    <font>
      <sz val="11.0"/>
      <color theme="1"/>
      <name val="Calibri"/>
    </font>
    <font>
      <sz val="9.0"/>
      <color rgb="FF000000"/>
      <name val="Times New Roman"/>
    </font>
    <font>
      <b/>
      <sz val="11.0"/>
      <color theme="1"/>
      <name val="Times New Roman"/>
    </font>
    <font>
      <sz val="12.0"/>
      <color theme="1"/>
      <name val="Times New Roman"/>
    </font>
    <font>
      <i/>
      <sz val="11.0"/>
      <color theme="1"/>
      <name val="Times New Roman"/>
    </font>
    <font>
      <b/>
      <sz val="16.0"/>
      <color theme="1"/>
      <name val="Times New Roman"/>
    </font>
    <font>
      <sz val="11.0"/>
      <color theme="4"/>
      <name val="Times New Roman"/>
    </font>
    <font>
      <sz val="11.0"/>
      <color rgb="FF7F7F7F"/>
      <name val="Times New Roman"/>
    </font>
    <font>
      <sz val="11.0"/>
      <color rgb="FFFF0000"/>
      <name val="Times New Roman"/>
    </font>
    <font>
      <sz val="11.0"/>
      <color rgb="FF00B050"/>
      <name val="Times New Roman"/>
    </font>
    <font>
      <b/>
      <sz val="11.0"/>
      <color rgb="FF00B050"/>
      <name val="Times New Roman"/>
    </font>
    <font>
      <b/>
      <sz val="14.0"/>
      <color theme="1"/>
      <name val="Times New Roman"/>
    </font>
    <font>
      <b/>
      <sz val="11.0"/>
      <color rgb="FFFF0000"/>
      <name val="Times New Roman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8DB3E2"/>
        <bgColor rgb="FF8DB3E2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</fills>
  <borders count="4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righ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4" xfId="0" applyAlignment="1" applyFont="1" applyNumberFormat="1">
      <alignment horizontal="right" shrinkToFit="0" vertical="center" wrapText="1"/>
    </xf>
    <xf borderId="4" fillId="2" fontId="2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1" fillId="5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0" fillId="0" fontId="6" numFmtId="164" xfId="0" applyAlignment="1" applyFont="1" applyNumberFormat="1">
      <alignment vertical="center"/>
    </xf>
    <xf borderId="0" fillId="0" fontId="6" numFmtId="165" xfId="0" applyAlignment="1" applyFont="1" applyNumberFormat="1">
      <alignment vertical="center"/>
    </xf>
    <xf borderId="9" fillId="0" fontId="6" numFmtId="0" xfId="0" applyAlignment="1" applyBorder="1" applyFont="1">
      <alignment horizontal="right" vertical="center"/>
    </xf>
    <xf borderId="0" fillId="0" fontId="6" numFmtId="4" xfId="0" applyAlignment="1" applyFont="1" applyNumberFormat="1">
      <alignment vertical="center"/>
    </xf>
    <xf borderId="9" fillId="0" fontId="6" numFmtId="4" xfId="0" applyAlignment="1" applyBorder="1" applyFont="1" applyNumberFormat="1">
      <alignment vertical="center"/>
    </xf>
    <xf borderId="0" fillId="0" fontId="6" numFmtId="2" xfId="0" applyAlignment="1" applyFont="1" applyNumberFormat="1">
      <alignment vertical="center"/>
    </xf>
    <xf borderId="9" fillId="0" fontId="6" numFmtId="10" xfId="0" applyAlignment="1" applyBorder="1" applyFont="1" applyNumberFormat="1">
      <alignment vertical="center"/>
    </xf>
    <xf borderId="0" fillId="0" fontId="6" numFmtId="10" xfId="0" applyAlignment="1" applyFont="1" applyNumberFormat="1">
      <alignment vertical="center"/>
    </xf>
    <xf borderId="0" fillId="0" fontId="6" numFmtId="166" xfId="0" applyAlignment="1" applyFont="1" applyNumberFormat="1">
      <alignment vertical="center"/>
    </xf>
    <xf borderId="9" fillId="0" fontId="6" numFmtId="2" xfId="0" applyAlignment="1" applyBorder="1" applyFont="1" applyNumberFormat="1">
      <alignment vertical="center"/>
    </xf>
    <xf borderId="0" fillId="0" fontId="6" numFmtId="0" xfId="0" applyAlignment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7" fontId="6" numFmtId="0" xfId="0" applyAlignment="1" applyBorder="1" applyFill="1" applyFont="1">
      <alignment vertical="center"/>
    </xf>
    <xf borderId="11" fillId="7" fontId="6" numFmtId="0" xfId="0" applyAlignment="1" applyBorder="1" applyFont="1">
      <alignment vertical="center"/>
    </xf>
    <xf borderId="12" fillId="7" fontId="6" numFmtId="10" xfId="0" applyAlignment="1" applyBorder="1" applyFont="1" applyNumberFormat="1">
      <alignment vertical="center"/>
    </xf>
    <xf borderId="8" fillId="0" fontId="6" numFmtId="0" xfId="0" applyAlignment="1" applyBorder="1" applyFont="1">
      <alignment horizontal="center" vertical="center"/>
    </xf>
    <xf borderId="9" fillId="0" fontId="6" numFmtId="9" xfId="0" applyAlignment="1" applyBorder="1" applyFont="1" applyNumberFormat="1">
      <alignment vertical="center"/>
    </xf>
    <xf borderId="13" fillId="0" fontId="6" numFmtId="0" xfId="0" applyAlignment="1" applyBorder="1" applyFont="1">
      <alignment vertical="center"/>
    </xf>
    <xf borderId="14" fillId="0" fontId="6" numFmtId="2" xfId="0" applyAlignment="1" applyBorder="1" applyFont="1" applyNumberForma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8" fillId="0" fontId="9" numFmtId="15" xfId="0" applyAlignment="1" applyBorder="1" applyFont="1" applyNumberFormat="1">
      <alignment horizontal="right" vertical="center"/>
    </xf>
    <xf borderId="15" fillId="0" fontId="6" numFmtId="10" xfId="0" applyAlignment="1" applyBorder="1" applyFont="1" applyNumberFormat="1">
      <alignment vertical="center"/>
    </xf>
    <xf borderId="8" fillId="0" fontId="6" numFmtId="9" xfId="0" applyAlignment="1" applyBorder="1" applyFont="1" applyNumberFormat="1">
      <alignment vertical="center"/>
    </xf>
    <xf borderId="0" fillId="0" fontId="6" numFmtId="9" xfId="0" applyAlignment="1" applyFont="1" applyNumberFormat="1">
      <alignment vertical="center"/>
    </xf>
    <xf borderId="0" fillId="0" fontId="6" numFmtId="167" xfId="0" applyAlignment="1" applyFont="1" applyNumberFormat="1">
      <alignment vertical="center"/>
    </xf>
    <xf borderId="9" fillId="0" fontId="6" numFmtId="167" xfId="0" applyAlignment="1" applyBorder="1" applyFont="1" applyNumberFormat="1">
      <alignment vertical="center"/>
    </xf>
    <xf borderId="11" fillId="7" fontId="6" numFmtId="10" xfId="0" applyAlignment="1" applyBorder="1" applyFont="1" applyNumberFormat="1">
      <alignment vertical="center"/>
    </xf>
    <xf borderId="16" fillId="0" fontId="6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0" fontId="6" numFmtId="0" xfId="0" applyAlignment="1" applyBorder="1" applyFont="1">
      <alignment vertical="center"/>
    </xf>
    <xf borderId="21" fillId="0" fontId="6" numFmtId="10" xfId="0" applyAlignment="1" applyBorder="1" applyFont="1" applyNumberFormat="1">
      <alignment vertical="center"/>
    </xf>
    <xf borderId="16" fillId="0" fontId="10" numFmtId="0" xfId="0" applyAlignment="1" applyBorder="1" applyFont="1">
      <alignment vertical="center"/>
    </xf>
    <xf borderId="22" fillId="0" fontId="10" numFmtId="0" xfId="0" applyAlignment="1" applyBorder="1" applyFont="1">
      <alignment vertical="center"/>
    </xf>
    <xf borderId="23" fillId="0" fontId="6" numFmtId="2" xfId="0" applyAlignment="1" applyBorder="1" applyFont="1" applyNumberFormat="1">
      <alignment horizontal="center" vertical="center"/>
    </xf>
    <xf borderId="24" fillId="0" fontId="6" numFmtId="0" xfId="0" applyAlignment="1" applyBorder="1" applyFont="1">
      <alignment horizontal="center" vertical="center"/>
    </xf>
    <xf borderId="0" fillId="0" fontId="6" numFmtId="168" xfId="0" applyAlignment="1" applyFont="1" applyNumberFormat="1">
      <alignment vertical="center"/>
    </xf>
    <xf borderId="13" fillId="0" fontId="8" numFmtId="0" xfId="0" applyAlignment="1" applyBorder="1" applyFont="1">
      <alignment vertical="center"/>
    </xf>
    <xf borderId="13" fillId="0" fontId="6" numFmtId="9" xfId="0" applyAlignment="1" applyBorder="1" applyFont="1" applyNumberFormat="1">
      <alignment vertical="center"/>
    </xf>
    <xf borderId="14" fillId="0" fontId="6" numFmtId="10" xfId="0" applyAlignment="1" applyBorder="1" applyFont="1" applyNumberFormat="1">
      <alignment vertical="center"/>
    </xf>
    <xf borderId="4" fillId="6" fontId="6" numFmtId="169" xfId="0" applyAlignment="1" applyBorder="1" applyFont="1" applyNumberFormat="1">
      <alignment vertical="center"/>
    </xf>
    <xf borderId="23" fillId="0" fontId="6" numFmtId="9" xfId="0" applyAlignment="1" applyBorder="1" applyFont="1" applyNumberFormat="1">
      <alignment horizontal="center" vertical="center"/>
    </xf>
    <xf borderId="0" fillId="0" fontId="6" numFmtId="170" xfId="0" applyAlignment="1" applyFont="1" applyNumberFormat="1">
      <alignment vertical="center"/>
    </xf>
    <xf borderId="5" fillId="0" fontId="11" numFmtId="0" xfId="0" applyAlignment="1" applyBorder="1" applyFont="1">
      <alignment vertical="center"/>
    </xf>
    <xf borderId="4" fillId="6" fontId="6" numFmtId="10" xfId="0" applyAlignment="1" applyBorder="1" applyFont="1" applyNumberFormat="1">
      <alignment vertical="center"/>
    </xf>
    <xf borderId="6" fillId="0" fontId="8" numFmtId="0" xfId="0" applyAlignment="1" applyBorder="1" applyFont="1">
      <alignment vertical="center"/>
    </xf>
    <xf borderId="8" fillId="0" fontId="12" numFmtId="0" xfId="0" applyAlignment="1" applyBorder="1" applyFont="1">
      <alignment vertical="center"/>
    </xf>
    <xf borderId="25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vertical="center"/>
    </xf>
    <xf borderId="8" fillId="0" fontId="6" numFmtId="9" xfId="0" applyAlignment="1" applyBorder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0" fontId="6" numFmtId="10" xfId="0" applyAlignment="1" applyFont="1" applyNumberFormat="1">
      <alignment horizontal="center" vertical="center"/>
    </xf>
    <xf borderId="0" fillId="0" fontId="6" numFmtId="9" xfId="0" applyAlignment="1" applyFont="1" applyNumberFormat="1">
      <alignment horizontal="center" vertical="center"/>
    </xf>
    <xf borderId="9" fillId="0" fontId="6" numFmtId="10" xfId="0" applyAlignment="1" applyBorder="1" applyFont="1" applyNumberForma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9" fillId="0" fontId="6" numFmtId="9" xfId="0" applyAlignment="1" applyBorder="1" applyFont="1" applyNumberFormat="1">
      <alignment horizontal="center" vertical="center"/>
    </xf>
    <xf borderId="20" fillId="0" fontId="6" numFmtId="2" xfId="0" applyAlignment="1" applyBorder="1" applyFont="1" applyNumberFormat="1">
      <alignment horizontal="center" vertical="center"/>
    </xf>
    <xf borderId="20" fillId="0" fontId="6" numFmtId="10" xfId="0" applyAlignment="1" applyBorder="1" applyFont="1" applyNumberFormat="1">
      <alignment horizontal="center" vertical="center"/>
    </xf>
    <xf borderId="20" fillId="0" fontId="6" numFmtId="0" xfId="0" applyAlignment="1" applyBorder="1" applyFont="1">
      <alignment horizontal="center" vertical="center"/>
    </xf>
    <xf borderId="21" fillId="0" fontId="6" numFmtId="10" xfId="0" applyAlignment="1" applyBorder="1" applyFont="1" applyNumberFormat="1">
      <alignment horizontal="center" vertical="center"/>
    </xf>
    <xf borderId="26" fillId="0" fontId="6" numFmtId="0" xfId="0" applyAlignment="1" applyBorder="1" applyFont="1">
      <alignment vertical="center"/>
    </xf>
    <xf borderId="27" fillId="0" fontId="6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9" fillId="0" fontId="6" numFmtId="171" xfId="0" applyAlignment="1" applyBorder="1" applyFont="1" applyNumberFormat="1">
      <alignment vertical="center"/>
    </xf>
    <xf borderId="9" fillId="0" fontId="6" numFmtId="172" xfId="0" applyAlignment="1" applyBorder="1" applyFont="1" applyNumberFormat="1">
      <alignment vertical="center"/>
    </xf>
    <xf borderId="9" fillId="0" fontId="6" numFmtId="165" xfId="0" applyAlignment="1" applyBorder="1" applyFont="1" applyNumberFormat="1">
      <alignment horizontal="right" vertical="center"/>
    </xf>
    <xf borderId="0" fillId="0" fontId="6" numFmtId="165" xfId="0" applyAlignment="1" applyFont="1" applyNumberFormat="1">
      <alignment horizontal="right" vertical="center"/>
    </xf>
    <xf borderId="8" fillId="0" fontId="6" numFmtId="165" xfId="0" applyAlignment="1" applyBorder="1" applyFont="1" applyNumberFormat="1">
      <alignment horizontal="right" vertical="center"/>
    </xf>
    <xf borderId="9" fillId="0" fontId="6" numFmtId="165" xfId="0" applyAlignment="1" applyBorder="1" applyFont="1" applyNumberFormat="1">
      <alignment vertical="center"/>
    </xf>
    <xf borderId="0" fillId="0" fontId="6" numFmtId="9" xfId="0" applyAlignment="1" applyFont="1" applyNumberFormat="1">
      <alignment horizontal="right" vertical="center"/>
    </xf>
    <xf borderId="9" fillId="0" fontId="6" numFmtId="10" xfId="0" applyAlignment="1" applyBorder="1" applyFont="1" applyNumberFormat="1">
      <alignment horizontal="right" vertical="center"/>
    </xf>
    <xf borderId="0" fillId="0" fontId="6" numFmtId="171" xfId="0" applyAlignment="1" applyFont="1" applyNumberFormat="1">
      <alignment vertical="center"/>
    </xf>
    <xf borderId="0" fillId="0" fontId="6" numFmtId="171" xfId="0" applyAlignment="1" applyFont="1" applyNumberFormat="1">
      <alignment horizontal="right" vertical="center"/>
    </xf>
    <xf borderId="28" fillId="0" fontId="6" numFmtId="0" xfId="0" applyAlignment="1" applyBorder="1" applyFont="1">
      <alignment vertical="center"/>
    </xf>
    <xf borderId="29" fillId="0" fontId="6" numFmtId="0" xfId="0" applyAlignment="1" applyBorder="1" applyFont="1">
      <alignment vertical="center"/>
    </xf>
    <xf borderId="30" fillId="0" fontId="6" numFmtId="0" xfId="0" applyAlignment="1" applyBorder="1" applyFont="1">
      <alignment vertical="center"/>
    </xf>
    <xf borderId="9" fillId="0" fontId="6" numFmtId="173" xfId="0" applyAlignment="1" applyBorder="1" applyFont="1" applyNumberFormat="1">
      <alignment vertical="center"/>
    </xf>
    <xf borderId="8" fillId="0" fontId="6" numFmtId="0" xfId="0" applyAlignment="1" applyBorder="1" applyFont="1">
      <alignment horizontal="right" vertical="center"/>
    </xf>
    <xf borderId="8" fillId="0" fontId="6" numFmtId="10" xfId="0" applyAlignment="1" applyBorder="1" applyFont="1" applyNumberFormat="1">
      <alignment vertical="center"/>
    </xf>
    <xf borderId="14" fillId="0" fontId="6" numFmtId="9" xfId="0" applyAlignment="1" applyBorder="1" applyFont="1" applyNumberFormat="1">
      <alignment vertical="center"/>
    </xf>
    <xf borderId="0" fillId="0" fontId="6" numFmtId="10" xfId="0" applyAlignment="1" applyFont="1" applyNumberFormat="1">
      <alignment horizontal="right" vertical="center"/>
    </xf>
    <xf borderId="0" fillId="0" fontId="6" numFmtId="0" xfId="0" applyAlignment="1" applyFont="1">
      <alignment horizontal="right" vertical="center"/>
    </xf>
    <xf borderId="0" fillId="0" fontId="6" numFmtId="1" xfId="0" applyAlignment="1" applyFont="1" applyNumberFormat="1">
      <alignment vertical="center"/>
    </xf>
    <xf borderId="14" fillId="0" fontId="6" numFmtId="1" xfId="0" applyAlignment="1" applyBorder="1" applyFont="1" applyNumberFormat="1">
      <alignment vertical="center"/>
    </xf>
    <xf borderId="0" fillId="0" fontId="14" numFmtId="0" xfId="0" applyAlignment="1" applyFont="1">
      <alignment vertical="center"/>
    </xf>
    <xf borderId="14" fillId="0" fontId="6" numFmtId="170" xfId="0" applyAlignment="1" applyBorder="1" applyFont="1" applyNumberFormat="1">
      <alignment vertical="center"/>
    </xf>
    <xf borderId="0" fillId="0" fontId="6" numFmtId="3" xfId="0" applyAlignment="1" applyFont="1" applyNumberFormat="1">
      <alignment vertical="center"/>
    </xf>
    <xf borderId="0" fillId="0" fontId="15" numFmtId="9" xfId="0" applyAlignment="1" applyFont="1" applyNumberFormat="1">
      <alignment vertical="center"/>
    </xf>
    <xf borderId="0" fillId="0" fontId="10" numFmtId="9" xfId="0" applyAlignment="1" applyFont="1" applyNumberFormat="1">
      <alignment vertical="center"/>
    </xf>
    <xf borderId="31" fillId="0" fontId="16" numFmtId="0" xfId="0" applyAlignment="1" applyBorder="1" applyFont="1">
      <alignment horizontal="center" vertical="center"/>
    </xf>
    <xf borderId="32" fillId="0" fontId="16" numFmtId="0" xfId="0" applyAlignment="1" applyBorder="1" applyFont="1">
      <alignment horizontal="center" vertical="center"/>
    </xf>
    <xf borderId="32" fillId="0" fontId="17" numFmtId="0" xfId="0" applyAlignment="1" applyBorder="1" applyFont="1">
      <alignment horizontal="center" vertical="center"/>
    </xf>
    <xf borderId="33" fillId="0" fontId="17" numFmtId="0" xfId="0" applyAlignment="1" applyBorder="1" applyFont="1">
      <alignment horizontal="center" vertical="center"/>
    </xf>
    <xf borderId="34" fillId="0" fontId="16" numFmtId="0" xfId="0" applyAlignment="1" applyBorder="1" applyFont="1">
      <alignment horizontal="center" vertical="center"/>
    </xf>
    <xf borderId="35" fillId="0" fontId="17" numFmtId="0" xfId="0" applyAlignment="1" applyBorder="1" applyFont="1">
      <alignment horizontal="center" vertical="center"/>
    </xf>
    <xf borderId="36" fillId="0" fontId="18" numFmtId="0" xfId="0" applyAlignment="1" applyBorder="1" applyFont="1">
      <alignment horizontal="center" vertical="center"/>
    </xf>
    <xf borderId="37" fillId="0" fontId="16" numFmtId="0" xfId="0" applyAlignment="1" applyBorder="1" applyFont="1">
      <alignment horizontal="center" vertical="center"/>
    </xf>
    <xf borderId="38" fillId="0" fontId="16" numFmtId="0" xfId="0" applyAlignment="1" applyBorder="1" applyFont="1">
      <alignment horizontal="center" vertical="center"/>
    </xf>
    <xf borderId="39" fillId="0" fontId="17" numFmtId="0" xfId="0" applyAlignment="1" applyBorder="1" applyFont="1">
      <alignment horizontal="center" vertical="center"/>
    </xf>
    <xf borderId="38" fillId="0" fontId="17" numFmtId="0" xfId="0" applyAlignment="1" applyBorder="1" applyFont="1">
      <alignment horizontal="center" vertical="center"/>
    </xf>
    <xf borderId="31" fillId="0" fontId="16" numFmtId="10" xfId="0" applyAlignment="1" applyBorder="1" applyFont="1" applyNumberFormat="1">
      <alignment vertical="center"/>
    </xf>
    <xf borderId="32" fillId="0" fontId="16" numFmtId="10" xfId="0" applyAlignment="1" applyBorder="1" applyFont="1" applyNumberFormat="1">
      <alignment vertical="center"/>
    </xf>
    <xf borderId="32" fillId="0" fontId="17" numFmtId="10" xfId="0" applyAlignment="1" applyBorder="1" applyFont="1" applyNumberFormat="1">
      <alignment vertical="center"/>
    </xf>
    <xf borderId="33" fillId="0" fontId="17" numFmtId="10" xfId="0" applyAlignment="1" applyBorder="1" applyFont="1" applyNumberFormat="1">
      <alignment vertical="center"/>
    </xf>
    <xf borderId="34" fillId="0" fontId="16" numFmtId="10" xfId="0" applyAlignment="1" applyBorder="1" applyFont="1" applyNumberFormat="1">
      <alignment vertical="center"/>
    </xf>
    <xf borderId="35" fillId="0" fontId="17" numFmtId="10" xfId="0" applyAlignment="1" applyBorder="1" applyFont="1" applyNumberFormat="1">
      <alignment vertical="center"/>
    </xf>
    <xf borderId="36" fillId="0" fontId="18" numFmtId="10" xfId="0" applyAlignment="1" applyBorder="1" applyFont="1" applyNumberFormat="1">
      <alignment vertical="center"/>
    </xf>
    <xf borderId="37" fillId="0" fontId="16" numFmtId="10" xfId="0" applyAlignment="1" applyBorder="1" applyFont="1" applyNumberFormat="1">
      <alignment vertical="center"/>
    </xf>
    <xf borderId="38" fillId="0" fontId="16" numFmtId="10" xfId="0" applyAlignment="1" applyBorder="1" applyFont="1" applyNumberFormat="1">
      <alignment vertical="center"/>
    </xf>
    <xf borderId="39" fillId="0" fontId="17" numFmtId="10" xfId="0" applyAlignment="1" applyBorder="1" applyFont="1" applyNumberFormat="1">
      <alignment vertical="center"/>
    </xf>
    <xf borderId="38" fillId="0" fontId="17" numFmtId="10" xfId="0" applyAlignment="1" applyBorder="1" applyFont="1" applyNumberFormat="1">
      <alignment vertical="center"/>
    </xf>
    <xf borderId="0" fillId="0" fontId="19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20" numFmtId="0" xfId="0" applyAlignment="1" applyFont="1">
      <alignment vertical="center"/>
    </xf>
    <xf borderId="0" fillId="0" fontId="10" numFmtId="174" xfId="0" applyAlignment="1" applyFont="1" applyNumberFormat="1">
      <alignment vertical="center"/>
    </xf>
    <xf borderId="0" fillId="0" fontId="20" numFmtId="174" xfId="0" applyAlignment="1" applyFont="1" applyNumberFormat="1">
      <alignment vertical="center"/>
    </xf>
    <xf borderId="0" fillId="0" fontId="18" numFmtId="174" xfId="0" applyAlignment="1" applyFont="1" applyNumberFormat="1">
      <alignment vertical="center"/>
    </xf>
    <xf borderId="0" fillId="0" fontId="12" numFmtId="0" xfId="0" applyAlignment="1" applyFont="1">
      <alignment vertical="center"/>
    </xf>
    <xf borderId="0" fillId="0" fontId="10" numFmtId="2" xfId="0" applyAlignment="1" applyFont="1" applyNumberFormat="1">
      <alignment vertical="center"/>
    </xf>
    <xf borderId="0" fillId="0" fontId="6" numFmtId="175" xfId="0" applyAlignment="1" applyFont="1" applyNumberFormat="1">
      <alignment vertical="center"/>
    </xf>
    <xf borderId="0" fillId="0" fontId="6" numFmtId="176" xfId="0" applyAlignment="1" applyFont="1" applyNumberFormat="1">
      <alignment vertical="center"/>
    </xf>
    <xf borderId="0" fillId="0" fontId="6" numFmtId="14" xfId="0" applyAlignment="1" applyFont="1" applyNumberFormat="1">
      <alignment vertical="center"/>
    </xf>
    <xf borderId="0" fillId="0" fontId="6" numFmtId="174" xfId="0" applyAlignment="1" applyFont="1" applyNumberFormat="1">
      <alignment vertical="center"/>
    </xf>
    <xf borderId="0" fillId="0" fontId="6" numFmtId="2" xfId="0" applyAlignment="1" applyFont="1" applyNumberFormat="1">
      <alignment horizontal="right" vertical="center"/>
    </xf>
    <xf borderId="0" fillId="0" fontId="6" numFmtId="174" xfId="0" applyAlignment="1" applyFont="1" applyNumberFormat="1">
      <alignment horizontal="right" vertical="center"/>
    </xf>
    <xf borderId="16" fillId="0" fontId="19" numFmtId="0" xfId="0" applyAlignment="1" applyBorder="1" applyFont="1">
      <alignment vertical="center"/>
    </xf>
    <xf borderId="0" fillId="0" fontId="2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Cost of Equity</c:v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WACC!$AI$91:$AI$100</c:f>
            </c:strRef>
          </c:cat>
          <c:val>
            <c:numRef>
              <c:f>WACC!$AK$91:$AK$100</c:f>
              <c:numCache/>
            </c:numRef>
          </c:val>
          <c:smooth val="0"/>
        </c:ser>
        <c:ser>
          <c:idx val="1"/>
          <c:order val="1"/>
          <c:tx>
            <c:v>Cost of Debt (After Tax)</c:v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WACC!$AI$91:$AI$100</c:f>
            </c:strRef>
          </c:cat>
          <c:val>
            <c:numRef>
              <c:f>WACC!$AO$91:$AO$100</c:f>
              <c:numCache/>
            </c:numRef>
          </c:val>
          <c:smooth val="0"/>
        </c:ser>
        <c:ser>
          <c:idx val="2"/>
          <c:order val="2"/>
          <c:tx>
            <c:v>Cost of Capital</c:v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WACC!$AI$91:$AI$100</c:f>
            </c:strRef>
          </c:cat>
          <c:val>
            <c:numRef>
              <c:f>WACC!$AP$91:$AP$100</c:f>
              <c:numCache/>
            </c:numRef>
          </c:val>
          <c:smooth val="0"/>
        </c:ser>
        <c:axId val="1763073540"/>
        <c:axId val="2137907232"/>
      </c:lineChart>
      <c:catAx>
        <c:axId val="1763073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Debt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907232"/>
      </c:catAx>
      <c:valAx>
        <c:axId val="213790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07354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Historical Price</c:v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'Price VS Instr'!$A$2:$A$274</c:f>
            </c:strRef>
          </c:cat>
          <c:val>
            <c:numRef>
              <c:f>'Price VS Instr'!$B$2:$B$274</c:f>
              <c:numCache/>
            </c:numRef>
          </c:val>
          <c:smooth val="0"/>
        </c:ser>
        <c:ser>
          <c:idx val="1"/>
          <c:order val="1"/>
          <c:tx>
            <c:v>Intrinstic Price</c:v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'Price VS Instr'!$A$2:$A$274</c:f>
            </c:strRef>
          </c:cat>
          <c:val>
            <c:numRef>
              <c:f>'Price VS Instr'!$C$2:$C$274</c:f>
              <c:numCache/>
            </c:numRef>
          </c:val>
          <c:smooth val="0"/>
        </c:ser>
        <c:ser>
          <c:idx val="2"/>
          <c:order val="2"/>
          <c:tx>
            <c:v>Buy Price (20% of MOS)</c:v>
          </c:tx>
          <c:spPr>
            <a:ln cmpd="sng" w="19050">
              <a:solidFill>
                <a:srgbClr val="9BBB59"/>
              </a:solidFill>
              <a:prstDash val="dash"/>
            </a:ln>
          </c:spPr>
          <c:marker>
            <c:symbol val="none"/>
          </c:marker>
          <c:cat>
            <c:strRef>
              <c:f>'Price VS Instr'!$A$2:$A$274</c:f>
            </c:strRef>
          </c:cat>
          <c:val>
            <c:numRef>
              <c:f>'Price VS Instr'!$D$2:$D$274</c:f>
              <c:numCache/>
            </c:numRef>
          </c:val>
          <c:smooth val="0"/>
        </c:ser>
        <c:axId val="470953642"/>
        <c:axId val="1071869027"/>
      </c:lineChart>
      <c:catAx>
        <c:axId val="470953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869027"/>
      </c:catAx>
      <c:valAx>
        <c:axId val="10718690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95364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Mkt Cap - Growth Rate Analysis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SJR.B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Method'!$F$3</c:f>
              <c:numCache/>
            </c:numRef>
          </c:yVal>
        </c:ser>
        <c:ser>
          <c:idx val="1"/>
          <c:order val="1"/>
          <c:tx>
            <c:v>BCE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Method'!$F$4</c:f>
              <c:numCache/>
            </c:numRef>
          </c:yVal>
        </c:ser>
        <c:ser>
          <c:idx val="2"/>
          <c:order val="2"/>
          <c:tx>
            <c:v>RCI.B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Method'!$F$5</c:f>
              <c:numCache/>
            </c:numRef>
          </c:yVal>
        </c:ser>
        <c:ser>
          <c:idx val="3"/>
          <c:order val="3"/>
          <c:tx>
            <c:v>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Method'!$F$6</c:f>
              <c:numCache/>
            </c:numRef>
          </c:yVal>
        </c:ser>
        <c:ser>
          <c:idx val="4"/>
          <c:order val="4"/>
          <c:tx>
            <c:v>CCA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Method'!$F$7</c:f>
              <c:numCache/>
            </c:numRef>
          </c:yVal>
        </c:ser>
        <c:ser>
          <c:idx val="5"/>
          <c:order val="5"/>
          <c:tx>
            <c:v>QBR.B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Method'!$F$8</c:f>
              <c:numCache/>
            </c:numRef>
          </c:yVal>
        </c:ser>
        <c:ser>
          <c:idx val="6"/>
          <c:order val="6"/>
          <c:tx>
            <c:v>CJR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Method'!$F$9</c:f>
              <c:numCache/>
            </c:numRef>
          </c:yVal>
        </c:ser>
        <c:ser>
          <c:idx val="7"/>
          <c:order val="7"/>
          <c:tx>
            <c:v>ACM.A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numRef>
              <c:f>'Relative Method'!$F$2</c:f>
            </c:numRef>
          </c:xVal>
          <c:yVal>
            <c:numRef>
              <c:f>'Relative Method'!$F$10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7011"/>
        <c:axId val="1203612105"/>
      </c:scatterChart>
      <c:valAx>
        <c:axId val="108547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MKT CAP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612105"/>
      </c:valAx>
      <c:valAx>
        <c:axId val="1203612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GROWTH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4701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Profitability Analysis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SJR.B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'Relative Method'!$G$2</c:f>
            </c:numRef>
          </c:xVal>
          <c:yVal>
            <c:numRef>
              <c:f>'Relative Method'!$L$2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82135"/>
        <c:axId val="1523052796"/>
      </c:scatterChart>
      <c:valAx>
        <c:axId val="611482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052796"/>
      </c:valAx>
      <c:valAx>
        <c:axId val="1523052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GROSS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48213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Operational Risk and Solvency Analysis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SJR.B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'Relative Method'!$K$2</c:f>
            </c:numRef>
          </c:xVal>
          <c:yVal>
            <c:numRef>
              <c:f>'Relative Method'!$J$2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11959"/>
        <c:axId val="214906505"/>
      </c:scatterChart>
      <c:valAx>
        <c:axId val="266011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Leverage Ratio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906505"/>
      </c:valAx>
      <c:valAx>
        <c:axId val="214906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Quick Ratio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01195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Financial Condition and Operational Risk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SJR.B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'Relative Method'!$O$2</c:f>
            </c:numRef>
          </c:xVal>
          <c:yVal>
            <c:numRef>
              <c:f>'Relative Method'!$P$2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873299"/>
        <c:axId val="566799456"/>
      </c:scatterChart>
      <c:valAx>
        <c:axId val="401873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Piotroski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799456"/>
      </c:valAx>
      <c:valAx>
        <c:axId val="566799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Altman Z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8732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9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11" Type="http://schemas.openxmlformats.org/officeDocument/2006/relationships/image" Target="../media/image8.png"/><Relationship Id="rId10" Type="http://schemas.openxmlformats.org/officeDocument/2006/relationships/image" Target="../media/image7.png"/><Relationship Id="rId12" Type="http://schemas.openxmlformats.org/officeDocument/2006/relationships/image" Target="../media/image6.png"/><Relationship Id="rId9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10.png"/><Relationship Id="rId8" Type="http://schemas.openxmlformats.org/officeDocument/2006/relationships/image" Target="../media/image1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9.png"/><Relationship Id="rId4" Type="http://schemas.openxmlformats.org/officeDocument/2006/relationships/image" Target="../media/image16.png"/><Relationship Id="rId5" Type="http://schemas.openxmlformats.org/officeDocument/2006/relationships/image" Target="../media/image17.png"/><Relationship Id="rId6" Type="http://schemas.openxmlformats.org/officeDocument/2006/relationships/image" Target="../media/image15.png"/><Relationship Id="rId7" Type="http://schemas.openxmlformats.org/officeDocument/2006/relationships/image" Target="../media/image14.png"/><Relationship Id="rId8" Type="http://schemas.openxmlformats.org/officeDocument/2006/relationships/image" Target="../media/image2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34</xdr:col>
      <xdr:colOff>95250</xdr:colOff>
      <xdr:row>100</xdr:row>
      <xdr:rowOff>66675</xdr:rowOff>
    </xdr:from>
    <xdr:ext cx="6391275" cy="3514725"/>
    <xdr:graphicFrame>
      <xdr:nvGraphicFramePr>
        <xdr:cNvPr id="3200284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36</xdr:col>
      <xdr:colOff>781050</xdr:colOff>
      <xdr:row>107</xdr:row>
      <xdr:rowOff>28575</xdr:rowOff>
    </xdr:from>
    <xdr:ext cx="533400" cy="466725"/>
    <xdr:grpSp>
      <xdr:nvGrpSpPr>
        <xdr:cNvPr id="2" name="Shape 2"/>
        <xdr:cNvGrpSpPr/>
      </xdr:nvGrpSpPr>
      <xdr:grpSpPr>
        <a:xfrm>
          <a:off x="5084138" y="3551400"/>
          <a:ext cx="523800" cy="457200"/>
          <a:chOff x="5084138" y="3551400"/>
          <a:chExt cx="523800" cy="457200"/>
        </a:xfrm>
      </xdr:grpSpPr>
      <xdr:cxnSp>
        <xdr:nvCxnSpPr>
          <xdr:cNvPr id="3" name="Shape 3"/>
          <xdr:cNvCxnSpPr>
            <a:stCxn id="4" idx="2"/>
          </xdr:cNvCxnSpPr>
        </xdr:nvCxnSpPr>
        <xdr:spPr>
          <a:xfrm flipH="1">
            <a:off x="5084138" y="3551400"/>
            <a:ext cx="523800" cy="4572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36</xdr:col>
      <xdr:colOff>809625</xdr:colOff>
      <xdr:row>105</xdr:row>
      <xdr:rowOff>57150</xdr:rowOff>
    </xdr:from>
    <xdr:ext cx="1000125" cy="381000"/>
    <xdr:sp>
      <xdr:nvSpPr>
        <xdr:cNvPr id="4" name="Shape 4"/>
        <xdr:cNvSpPr txBox="1"/>
      </xdr:nvSpPr>
      <xdr:spPr>
        <a:xfrm>
          <a:off x="4850700" y="3594263"/>
          <a:ext cx="990600" cy="371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Optimal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D/E ratio</a:t>
          </a:r>
          <a:endParaRPr sz="1100"/>
        </a:p>
      </xdr:txBody>
    </xdr:sp>
    <xdr:clientData fLocksWithSheet="0"/>
  </xdr:oneCellAnchor>
  <xdr:oneCellAnchor>
    <xdr:from>
      <xdr:col>39</xdr:col>
      <xdr:colOff>38100</xdr:colOff>
      <xdr:row>102</xdr:row>
      <xdr:rowOff>19050</xdr:rowOff>
    </xdr:from>
    <xdr:ext cx="1457325" cy="381000"/>
    <xdr:sp>
      <xdr:nvSpPr>
        <xdr:cNvPr id="5" name="Shape 5"/>
        <xdr:cNvSpPr txBox="1"/>
      </xdr:nvSpPr>
      <xdr:spPr>
        <a:xfrm>
          <a:off x="4617338" y="3594263"/>
          <a:ext cx="1457325" cy="371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Current D/E Ratio</a:t>
          </a:r>
          <a:endParaRPr sz="1100"/>
        </a:p>
      </xdr:txBody>
    </xdr:sp>
    <xdr:clientData fLocksWithSheet="0"/>
  </xdr:oneCellAnchor>
  <xdr:oneCellAnchor>
    <xdr:from>
      <xdr:col>40</xdr:col>
      <xdr:colOff>76200</xdr:colOff>
      <xdr:row>104</xdr:row>
      <xdr:rowOff>0</xdr:rowOff>
    </xdr:from>
    <xdr:ext cx="152400" cy="342900"/>
    <xdr:grpSp>
      <xdr:nvGrpSpPr>
        <xdr:cNvPr id="2" name="Shape 2"/>
        <xdr:cNvGrpSpPr/>
      </xdr:nvGrpSpPr>
      <xdr:grpSpPr>
        <a:xfrm>
          <a:off x="5274638" y="3608550"/>
          <a:ext cx="142800" cy="342900"/>
          <a:chOff x="5274638" y="3608550"/>
          <a:chExt cx="142800" cy="342900"/>
        </a:xfrm>
      </xdr:grpSpPr>
      <xdr:cxnSp>
        <xdr:nvCxnSpPr>
          <xdr:cNvPr id="6" name="Shape 6"/>
          <xdr:cNvCxnSpPr>
            <a:stCxn id="5" idx="2"/>
          </xdr:cNvCxnSpPr>
        </xdr:nvCxnSpPr>
        <xdr:spPr>
          <a:xfrm flipH="1">
            <a:off x="5274638" y="3608550"/>
            <a:ext cx="142800" cy="3429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14</xdr:col>
      <xdr:colOff>142875</xdr:colOff>
      <xdr:row>5</xdr:row>
      <xdr:rowOff>47625</xdr:rowOff>
    </xdr:from>
    <xdr:ext cx="1800225" cy="352425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3</xdr:row>
      <xdr:rowOff>161925</xdr:rowOff>
    </xdr:from>
    <xdr:ext cx="2457450" cy="6191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152400</xdr:colOff>
      <xdr:row>72</xdr:row>
      <xdr:rowOff>76200</xdr:rowOff>
    </xdr:from>
    <xdr:ext cx="3381375" cy="3238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76200</xdr:colOff>
      <xdr:row>74</xdr:row>
      <xdr:rowOff>9525</xdr:rowOff>
    </xdr:from>
    <xdr:ext cx="762000" cy="4191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57150</xdr:colOff>
      <xdr:row>76</xdr:row>
      <xdr:rowOff>76200</xdr:rowOff>
    </xdr:from>
    <xdr:ext cx="3067050" cy="32385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66675</xdr:colOff>
      <xdr:row>78</xdr:row>
      <xdr:rowOff>66675</xdr:rowOff>
    </xdr:from>
    <xdr:ext cx="4152900" cy="304800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66675</xdr:colOff>
      <xdr:row>80</xdr:row>
      <xdr:rowOff>76200</xdr:rowOff>
    </xdr:from>
    <xdr:ext cx="3638550" cy="50482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47625</xdr:colOff>
      <xdr:row>83</xdr:row>
      <xdr:rowOff>0</xdr:rowOff>
    </xdr:from>
    <xdr:ext cx="2943225" cy="61912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66675</xdr:colOff>
      <xdr:row>14</xdr:row>
      <xdr:rowOff>123825</xdr:rowOff>
    </xdr:from>
    <xdr:ext cx="7334250" cy="11096625"/>
    <xdr:pic>
      <xdr:nvPicPr>
        <xdr:cNvPr id="0" name="image7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</xdr:col>
      <xdr:colOff>76200</xdr:colOff>
      <xdr:row>3</xdr:row>
      <xdr:rowOff>28575</xdr:rowOff>
    </xdr:from>
    <xdr:ext cx="1514475" cy="419100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</xdr:row>
      <xdr:rowOff>0</xdr:rowOff>
    </xdr:from>
    <xdr:ext cx="1752600" cy="152400"/>
    <xdr:pic>
      <xdr:nvPicPr>
        <xdr:cNvPr id="0" name="image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76200</xdr:colOff>
      <xdr:row>7</xdr:row>
      <xdr:rowOff>0</xdr:rowOff>
    </xdr:from>
    <xdr:ext cx="3819525" cy="4191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19050</xdr:colOff>
      <xdr:row>5</xdr:row>
      <xdr:rowOff>66675</xdr:rowOff>
    </xdr:from>
    <xdr:ext cx="4162425" cy="419100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19050</xdr:colOff>
      <xdr:row>7</xdr:row>
      <xdr:rowOff>114300</xdr:rowOff>
    </xdr:from>
    <xdr:ext cx="2019300" cy="419100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28575</xdr:colOff>
      <xdr:row>5</xdr:row>
      <xdr:rowOff>66675</xdr:rowOff>
    </xdr:from>
    <xdr:ext cx="4162425" cy="209550"/>
    <xdr:pic>
      <xdr:nvPicPr>
        <xdr:cNvPr id="0" name="image1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66675</xdr:colOff>
      <xdr:row>11</xdr:row>
      <xdr:rowOff>76200</xdr:rowOff>
    </xdr:from>
    <xdr:ext cx="3457575" cy="209550"/>
    <xdr:pic>
      <xdr:nvPicPr>
        <xdr:cNvPr id="0" name="image1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57150</xdr:colOff>
      <xdr:row>8</xdr:row>
      <xdr:rowOff>38100</xdr:rowOff>
    </xdr:from>
    <xdr:ext cx="2600325" cy="209550"/>
    <xdr:pic>
      <xdr:nvPicPr>
        <xdr:cNvPr id="0" name="image1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47625</xdr:colOff>
      <xdr:row>14</xdr:row>
      <xdr:rowOff>66675</xdr:rowOff>
    </xdr:from>
    <xdr:ext cx="2847975" cy="209550"/>
    <xdr:pic>
      <xdr:nvPicPr>
        <xdr:cNvPr id="0" name="image1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6</xdr:row>
      <xdr:rowOff>47625</xdr:rowOff>
    </xdr:from>
    <xdr:ext cx="3676650" cy="352425"/>
    <xdr:pic>
      <xdr:nvPicPr>
        <xdr:cNvPr id="0" name="image2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15</xdr:row>
      <xdr:rowOff>161925</xdr:rowOff>
    </xdr:from>
    <xdr:ext cx="7267575" cy="38100"/>
    <xdr:grpSp>
      <xdr:nvGrpSpPr>
        <xdr:cNvPr id="2" name="Shape 2"/>
        <xdr:cNvGrpSpPr/>
      </xdr:nvGrpSpPr>
      <xdr:grpSpPr>
        <a:xfrm>
          <a:off x="1712213" y="3780000"/>
          <a:ext cx="7267575" cy="0"/>
          <a:chOff x="1712213" y="3780000"/>
          <a:chExt cx="7267575" cy="0"/>
        </a:xfrm>
      </xdr:grpSpPr>
      <xdr:cxnSp>
        <xdr:nvCxnSpPr>
          <xdr:cNvPr id="7" name="Shape 7"/>
          <xdr:cNvCxnSpPr/>
        </xdr:nvCxnSpPr>
        <xdr:spPr>
          <a:xfrm>
            <a:off x="1712213" y="3780000"/>
            <a:ext cx="72675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21</xdr:col>
      <xdr:colOff>190500</xdr:colOff>
      <xdr:row>16</xdr:row>
      <xdr:rowOff>85725</xdr:rowOff>
    </xdr:from>
    <xdr:ext cx="5848350" cy="38100"/>
    <xdr:grpSp>
      <xdr:nvGrpSpPr>
        <xdr:cNvPr id="2" name="Shape 2"/>
        <xdr:cNvGrpSpPr/>
      </xdr:nvGrpSpPr>
      <xdr:grpSpPr>
        <a:xfrm>
          <a:off x="2421825" y="3780000"/>
          <a:ext cx="5848350" cy="0"/>
          <a:chOff x="2421825" y="3780000"/>
          <a:chExt cx="5848350" cy="0"/>
        </a:xfrm>
      </xdr:grpSpPr>
      <xdr:cxnSp>
        <xdr:nvCxnSpPr>
          <xdr:cNvPr id="8" name="Shape 8"/>
          <xdr:cNvCxnSpPr/>
        </xdr:nvCxnSpPr>
        <xdr:spPr>
          <a:xfrm>
            <a:off x="2421825" y="3780000"/>
            <a:ext cx="584835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409575</xdr:colOff>
      <xdr:row>15</xdr:row>
      <xdr:rowOff>85725</xdr:rowOff>
    </xdr:from>
    <xdr:ext cx="38100" cy="333375"/>
    <xdr:grpSp>
      <xdr:nvGrpSpPr>
        <xdr:cNvPr id="2" name="Shape 2"/>
        <xdr:cNvGrpSpPr/>
      </xdr:nvGrpSpPr>
      <xdr:grpSpPr>
        <a:xfrm>
          <a:off x="5346000" y="3613313"/>
          <a:ext cx="0" cy="333375"/>
          <a:chOff x="5346000" y="3613313"/>
          <a:chExt cx="0" cy="333375"/>
        </a:xfrm>
      </xdr:grpSpPr>
      <xdr:cxnSp>
        <xdr:nvCxnSpPr>
          <xdr:cNvPr id="9" name="Shape 9"/>
          <xdr:cNvCxnSpPr/>
        </xdr:nvCxnSpPr>
        <xdr:spPr>
          <a:xfrm>
            <a:off x="5346000" y="3613313"/>
            <a:ext cx="0" cy="3333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22</xdr:col>
      <xdr:colOff>361950</xdr:colOff>
      <xdr:row>15</xdr:row>
      <xdr:rowOff>76200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23</xdr:col>
      <xdr:colOff>361950</xdr:colOff>
      <xdr:row>15</xdr:row>
      <xdr:rowOff>76200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24</xdr:col>
      <xdr:colOff>238125</xdr:colOff>
      <xdr:row>15</xdr:row>
      <xdr:rowOff>76200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1" name="Shape 11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25</xdr:col>
      <xdr:colOff>266700</xdr:colOff>
      <xdr:row>15</xdr:row>
      <xdr:rowOff>66675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2" name="Shape 12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257175</xdr:colOff>
      <xdr:row>15</xdr:row>
      <xdr:rowOff>76200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3" name="Shape 13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27</xdr:col>
      <xdr:colOff>257175</xdr:colOff>
      <xdr:row>15</xdr:row>
      <xdr:rowOff>85725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28</xdr:col>
      <xdr:colOff>257175</xdr:colOff>
      <xdr:row>15</xdr:row>
      <xdr:rowOff>85725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29</xdr:col>
      <xdr:colOff>238125</xdr:colOff>
      <xdr:row>15</xdr:row>
      <xdr:rowOff>57150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30</xdr:col>
      <xdr:colOff>257175</xdr:colOff>
      <xdr:row>15</xdr:row>
      <xdr:rowOff>76200</xdr:rowOff>
    </xdr:from>
    <xdr:ext cx="38100" cy="219075"/>
    <xdr:grpSp>
      <xdr:nvGrpSpPr>
        <xdr:cNvPr id="2" name="Shape 2"/>
        <xdr:cNvGrpSpPr/>
      </xdr:nvGrpSpPr>
      <xdr:grpSpPr>
        <a:xfrm>
          <a:off x="5346000" y="3670463"/>
          <a:ext cx="0" cy="219075"/>
          <a:chOff x="5346000" y="3670463"/>
          <a:chExt cx="0" cy="219075"/>
        </a:xfrm>
      </xdr:grpSpPr>
      <xdr:cxnSp>
        <xdr:nvCxnSpPr>
          <xdr:cNvPr id="10" name="Shape 10"/>
          <xdr:cNvCxnSpPr/>
        </xdr:nvCxnSpPr>
        <xdr:spPr>
          <a:xfrm>
            <a:off x="5346000" y="3670463"/>
            <a:ext cx="0" cy="219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142875</xdr:colOff>
      <xdr:row>17</xdr:row>
      <xdr:rowOff>9525</xdr:rowOff>
    </xdr:from>
    <xdr:ext cx="4857750" cy="257175"/>
    <xdr:sp>
      <xdr:nvSpPr>
        <xdr:cNvPr id="14" name="Shape 14"/>
        <xdr:cNvSpPr txBox="1"/>
      </xdr:nvSpPr>
      <xdr:spPr>
        <a:xfrm>
          <a:off x="2921888" y="3656175"/>
          <a:ext cx="4848225" cy="2476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Discount at $ Cost of Capital (WACC) =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7.85% * 0.333 + 7.42% * 0.667 * (1 - 28%) = 6.77%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25</xdr:col>
      <xdr:colOff>133350</xdr:colOff>
      <xdr:row>18</xdr:row>
      <xdr:rowOff>57150</xdr:rowOff>
    </xdr:from>
    <xdr:ext cx="1695450" cy="123825"/>
    <xdr:grpSp>
      <xdr:nvGrpSpPr>
        <xdr:cNvPr id="2" name="Shape 2"/>
        <xdr:cNvGrpSpPr/>
      </xdr:nvGrpSpPr>
      <xdr:grpSpPr>
        <a:xfrm>
          <a:off x="4502963" y="3722850"/>
          <a:ext cx="1686000" cy="114300"/>
          <a:chOff x="4502963" y="3722850"/>
          <a:chExt cx="1686000" cy="114300"/>
        </a:xfrm>
      </xdr:grpSpPr>
      <xdr:cxnSp>
        <xdr:nvCxnSpPr>
          <xdr:cNvPr id="15" name="Shape 15"/>
          <xdr:cNvCxnSpPr>
            <a:endCxn id="14" idx="2"/>
          </xdr:cNvCxnSpPr>
        </xdr:nvCxnSpPr>
        <xdr:spPr>
          <a:xfrm rot="10800000">
            <a:off x="4502963" y="3722850"/>
            <a:ext cx="1686000" cy="114300"/>
          </a:xfrm>
          <a:prstGeom prst="bentConnector2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27</xdr:col>
      <xdr:colOff>247650</xdr:colOff>
      <xdr:row>20</xdr:row>
      <xdr:rowOff>0</xdr:rowOff>
    </xdr:from>
    <xdr:ext cx="2343150" cy="628650"/>
    <xdr:sp>
      <xdr:nvSpPr>
        <xdr:cNvPr id="16" name="Shape 16"/>
        <xdr:cNvSpPr txBox="1"/>
      </xdr:nvSpPr>
      <xdr:spPr>
        <a:xfrm>
          <a:off x="4179188" y="3470438"/>
          <a:ext cx="2333625" cy="6191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Weights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 = 33.3%, D = 66.7%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Based on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historical book value of D/E ratio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23</xdr:col>
      <xdr:colOff>352425</xdr:colOff>
      <xdr:row>20</xdr:row>
      <xdr:rowOff>0</xdr:rowOff>
    </xdr:from>
    <xdr:ext cx="1895475" cy="971550"/>
    <xdr:sp>
      <xdr:nvSpPr>
        <xdr:cNvPr id="17" name="Shape 17"/>
        <xdr:cNvSpPr txBox="1"/>
      </xdr:nvSpPr>
      <xdr:spPr>
        <a:xfrm>
          <a:off x="4403025" y="3298988"/>
          <a:ext cx="1885950" cy="9620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Cost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of Debt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Rd = 7.24%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Overall Rating for SJR : BBB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Interest Spread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0" i="0" lang="en-US" sz="1100" u="none" strike="noStrik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3.40%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Risk Free Rate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0" i="0" lang="en-US" sz="1100" u="none" strike="noStrik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3.84%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47625</xdr:colOff>
      <xdr:row>20</xdr:row>
      <xdr:rowOff>28575</xdr:rowOff>
    </xdr:from>
    <xdr:ext cx="1238250" cy="447675"/>
    <xdr:sp>
      <xdr:nvSpPr>
        <xdr:cNvPr id="18" name="Shape 18"/>
        <xdr:cNvSpPr txBox="1"/>
      </xdr:nvSpPr>
      <xdr:spPr>
        <a:xfrm>
          <a:off x="4731638" y="3560925"/>
          <a:ext cx="1228725" cy="4381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Cost of Equity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7.85%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21</xdr:col>
      <xdr:colOff>47625</xdr:colOff>
      <xdr:row>25</xdr:row>
      <xdr:rowOff>114300</xdr:rowOff>
    </xdr:from>
    <xdr:ext cx="4829175" cy="1257300"/>
    <xdr:sp>
      <xdr:nvSpPr>
        <xdr:cNvPr id="19" name="Shape 19"/>
        <xdr:cNvSpPr/>
      </xdr:nvSpPr>
      <xdr:spPr>
        <a:xfrm>
          <a:off x="2940938" y="3156113"/>
          <a:ext cx="4810125" cy="1247775"/>
        </a:xfrm>
        <a:prstGeom prst="rect">
          <a:avLst/>
        </a:prstGeom>
        <a:solidFill>
          <a:schemeClr val="lt1">
            <a:alpha val="0"/>
          </a:schemeClr>
        </a:solidFill>
        <a:ln cap="flat" cmpd="sng" w="127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152400</xdr:colOff>
      <xdr:row>26</xdr:row>
      <xdr:rowOff>38100</xdr:rowOff>
    </xdr:from>
    <xdr:ext cx="1381125" cy="657225"/>
    <xdr:sp>
      <xdr:nvSpPr>
        <xdr:cNvPr id="20" name="Shape 20"/>
        <xdr:cNvSpPr txBox="1"/>
      </xdr:nvSpPr>
      <xdr:spPr>
        <a:xfrm>
          <a:off x="4660200" y="3456150"/>
          <a:ext cx="1371600" cy="6477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Riskfree 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3.84% (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7 Yr T-bill)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Source: Bank of Canada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23</xdr:col>
      <xdr:colOff>371475</xdr:colOff>
      <xdr:row>26</xdr:row>
      <xdr:rowOff>152400</xdr:rowOff>
    </xdr:from>
    <xdr:ext cx="295275" cy="285750"/>
    <xdr:sp>
      <xdr:nvSpPr>
        <xdr:cNvPr id="21" name="Shape 21"/>
        <xdr:cNvSpPr txBox="1"/>
      </xdr:nvSpPr>
      <xdr:spPr>
        <a:xfrm>
          <a:off x="5203125" y="3641888"/>
          <a:ext cx="285750" cy="2762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lt1">
              <a:alpha val="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+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85725</xdr:colOff>
      <xdr:row>26</xdr:row>
      <xdr:rowOff>171450</xdr:rowOff>
    </xdr:from>
    <xdr:ext cx="295275" cy="285750"/>
    <xdr:sp>
      <xdr:nvSpPr>
        <xdr:cNvPr id="22" name="Shape 22"/>
        <xdr:cNvSpPr txBox="1"/>
      </xdr:nvSpPr>
      <xdr:spPr>
        <a:xfrm>
          <a:off x="5203125" y="3641888"/>
          <a:ext cx="285750" cy="2762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lt1">
              <a:alpha val="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*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24</xdr:col>
      <xdr:colOff>9525</xdr:colOff>
      <xdr:row>26</xdr:row>
      <xdr:rowOff>47625</xdr:rowOff>
    </xdr:from>
    <xdr:ext cx="1266825" cy="447675"/>
    <xdr:sp>
      <xdr:nvSpPr>
        <xdr:cNvPr id="23" name="Shape 23"/>
        <xdr:cNvSpPr txBox="1"/>
      </xdr:nvSpPr>
      <xdr:spPr>
        <a:xfrm>
          <a:off x="4717350" y="3560925"/>
          <a:ext cx="1257300" cy="4381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Beta: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0.68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Based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on Calculated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23</xdr:col>
      <xdr:colOff>47625</xdr:colOff>
      <xdr:row>30</xdr:row>
      <xdr:rowOff>0</xdr:rowOff>
    </xdr:from>
    <xdr:ext cx="1304925" cy="295275"/>
    <xdr:sp>
      <xdr:nvSpPr>
        <xdr:cNvPr id="24" name="Shape 24"/>
        <xdr:cNvSpPr txBox="1"/>
      </xdr:nvSpPr>
      <xdr:spPr>
        <a:xfrm>
          <a:off x="4698300" y="3632363"/>
          <a:ext cx="1295400" cy="2952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Unlevered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Beta: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0.28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25</xdr:col>
      <xdr:colOff>266700</xdr:colOff>
      <xdr:row>29</xdr:row>
      <xdr:rowOff>171450</xdr:rowOff>
    </xdr:from>
    <xdr:ext cx="1123950" cy="314325"/>
    <xdr:sp>
      <xdr:nvSpPr>
        <xdr:cNvPr id="25" name="Shape 25"/>
        <xdr:cNvSpPr txBox="1"/>
      </xdr:nvSpPr>
      <xdr:spPr>
        <a:xfrm>
          <a:off x="4788788" y="3627600"/>
          <a:ext cx="1114425" cy="3048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Firm's D/E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Ratio: 2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438150</xdr:colOff>
      <xdr:row>26</xdr:row>
      <xdr:rowOff>66675</xdr:rowOff>
    </xdr:from>
    <xdr:ext cx="1190625" cy="447675"/>
    <xdr:sp>
      <xdr:nvSpPr>
        <xdr:cNvPr id="26" name="Shape 26"/>
        <xdr:cNvSpPr txBox="1"/>
      </xdr:nvSpPr>
      <xdr:spPr>
        <a:xfrm>
          <a:off x="4755450" y="3560925"/>
          <a:ext cx="1181100" cy="4381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Market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Premium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5.9%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25</xdr:col>
      <xdr:colOff>-9525</xdr:colOff>
      <xdr:row>28</xdr:row>
      <xdr:rowOff>95250</xdr:rowOff>
    </xdr:from>
    <xdr:ext cx="38100" cy="161925"/>
    <xdr:grpSp>
      <xdr:nvGrpSpPr>
        <xdr:cNvPr id="2" name="Shape 2"/>
        <xdr:cNvGrpSpPr/>
      </xdr:nvGrpSpPr>
      <xdr:grpSpPr>
        <a:xfrm>
          <a:off x="5346000" y="3699038"/>
          <a:ext cx="0" cy="162000"/>
          <a:chOff x="5346000" y="3699038"/>
          <a:chExt cx="0" cy="162000"/>
        </a:xfrm>
      </xdr:grpSpPr>
      <xdr:cxnSp>
        <xdr:nvCxnSpPr>
          <xdr:cNvPr id="27" name="Shape 27"/>
          <xdr:cNvCxnSpPr>
            <a:stCxn id="23" idx="2"/>
          </xdr:cNvCxnSpPr>
        </xdr:nvCxnSpPr>
        <xdr:spPr>
          <a:xfrm>
            <a:off x="5346000" y="3699038"/>
            <a:ext cx="0" cy="162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sm" w="sm" type="none"/>
          </a:ln>
        </xdr:spPr>
      </xdr:cxnSp>
    </xdr:grpSp>
    <xdr:clientData fLocksWithSheet="0"/>
  </xdr:oneCellAnchor>
  <xdr:oneCellAnchor>
    <xdr:from>
      <xdr:col>24</xdr:col>
      <xdr:colOff>76200</xdr:colOff>
      <xdr:row>29</xdr:row>
      <xdr:rowOff>85725</xdr:rowOff>
    </xdr:from>
    <xdr:ext cx="38100" cy="85725"/>
    <xdr:grpSp>
      <xdr:nvGrpSpPr>
        <xdr:cNvPr id="2" name="Shape 2"/>
        <xdr:cNvGrpSpPr/>
      </xdr:nvGrpSpPr>
      <xdr:grpSpPr>
        <a:xfrm>
          <a:off x="5346000" y="3737138"/>
          <a:ext cx="0" cy="85725"/>
          <a:chOff x="5346000" y="3737138"/>
          <a:chExt cx="0" cy="85725"/>
        </a:xfrm>
      </xdr:grpSpPr>
      <xdr:cxnSp>
        <xdr:nvCxnSpPr>
          <xdr:cNvPr id="28" name="Shape 28"/>
          <xdr:cNvCxnSpPr/>
        </xdr:nvCxnSpPr>
        <xdr:spPr>
          <a:xfrm rot="10800000">
            <a:off x="5346000" y="3737138"/>
            <a:ext cx="0" cy="857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209550</xdr:colOff>
      <xdr:row>29</xdr:row>
      <xdr:rowOff>76200</xdr:rowOff>
    </xdr:from>
    <xdr:ext cx="38100" cy="95250"/>
    <xdr:grpSp>
      <xdr:nvGrpSpPr>
        <xdr:cNvPr id="2" name="Shape 2"/>
        <xdr:cNvGrpSpPr/>
      </xdr:nvGrpSpPr>
      <xdr:grpSpPr>
        <a:xfrm>
          <a:off x="5346000" y="3732225"/>
          <a:ext cx="0" cy="95400"/>
          <a:chOff x="5346000" y="3732225"/>
          <a:chExt cx="0" cy="95400"/>
        </a:xfrm>
      </xdr:grpSpPr>
      <xdr:cxnSp>
        <xdr:nvCxnSpPr>
          <xdr:cNvPr id="29" name="Shape 29"/>
          <xdr:cNvCxnSpPr>
            <a:stCxn id="25" idx="0"/>
          </xdr:cNvCxnSpPr>
        </xdr:nvCxnSpPr>
        <xdr:spPr>
          <a:xfrm rot="10800000">
            <a:off x="5346000" y="3732225"/>
            <a:ext cx="0" cy="954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24</xdr:col>
      <xdr:colOff>95250</xdr:colOff>
      <xdr:row>29</xdr:row>
      <xdr:rowOff>57150</xdr:rowOff>
    </xdr:from>
    <xdr:ext cx="1323975" cy="38100"/>
    <xdr:grpSp>
      <xdr:nvGrpSpPr>
        <xdr:cNvPr id="2" name="Shape 2"/>
        <xdr:cNvGrpSpPr/>
      </xdr:nvGrpSpPr>
      <xdr:grpSpPr>
        <a:xfrm>
          <a:off x="4684013" y="3780000"/>
          <a:ext cx="1323975" cy="0"/>
          <a:chOff x="4684013" y="3780000"/>
          <a:chExt cx="1323975" cy="0"/>
        </a:xfrm>
      </xdr:grpSpPr>
      <xdr:cxnSp>
        <xdr:nvCxnSpPr>
          <xdr:cNvPr id="30" name="Shape 30"/>
          <xdr:cNvCxnSpPr/>
        </xdr:nvCxnSpPr>
        <xdr:spPr>
          <a:xfrm>
            <a:off x="4684013" y="3780000"/>
            <a:ext cx="13239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22</xdr:col>
      <xdr:colOff>219075</xdr:colOff>
      <xdr:row>22</xdr:row>
      <xdr:rowOff>76200</xdr:rowOff>
    </xdr:from>
    <xdr:ext cx="38100" cy="619125"/>
    <xdr:grpSp>
      <xdr:nvGrpSpPr>
        <xdr:cNvPr id="2" name="Shape 2"/>
        <xdr:cNvGrpSpPr/>
      </xdr:nvGrpSpPr>
      <xdr:grpSpPr>
        <a:xfrm>
          <a:off x="5346000" y="3470438"/>
          <a:ext cx="0" cy="619125"/>
          <a:chOff x="5346000" y="3470438"/>
          <a:chExt cx="0" cy="619125"/>
        </a:xfrm>
      </xdr:grpSpPr>
      <xdr:cxnSp>
        <xdr:nvCxnSpPr>
          <xdr:cNvPr id="31" name="Shape 31"/>
          <xdr:cNvCxnSpPr/>
        </xdr:nvCxnSpPr>
        <xdr:spPr>
          <a:xfrm rot="10800000">
            <a:off x="5346000" y="3470438"/>
            <a:ext cx="0" cy="6191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723900</xdr:colOff>
      <xdr:row>19</xdr:row>
      <xdr:rowOff>-19050</xdr:rowOff>
    </xdr:from>
    <xdr:ext cx="1990725" cy="38100"/>
    <xdr:grpSp>
      <xdr:nvGrpSpPr>
        <xdr:cNvPr id="2" name="Shape 2"/>
        <xdr:cNvGrpSpPr/>
      </xdr:nvGrpSpPr>
      <xdr:grpSpPr>
        <a:xfrm>
          <a:off x="4350638" y="3780000"/>
          <a:ext cx="1990725" cy="0"/>
          <a:chOff x="4350638" y="3780000"/>
          <a:chExt cx="1990725" cy="0"/>
        </a:xfrm>
      </xdr:grpSpPr>
      <xdr:cxnSp>
        <xdr:nvCxnSpPr>
          <xdr:cNvPr id="32" name="Shape 32"/>
          <xdr:cNvCxnSpPr/>
        </xdr:nvCxnSpPr>
        <xdr:spPr>
          <a:xfrm>
            <a:off x="4350638" y="3780000"/>
            <a:ext cx="199072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695325</xdr:colOff>
      <xdr:row>18</xdr:row>
      <xdr:rowOff>180975</xdr:rowOff>
    </xdr:from>
    <xdr:ext cx="38100" cy="247650"/>
    <xdr:grpSp>
      <xdr:nvGrpSpPr>
        <xdr:cNvPr id="2" name="Shape 2"/>
        <xdr:cNvGrpSpPr/>
      </xdr:nvGrpSpPr>
      <xdr:grpSpPr>
        <a:xfrm>
          <a:off x="5346000" y="3656175"/>
          <a:ext cx="0" cy="247650"/>
          <a:chOff x="5346000" y="3656175"/>
          <a:chExt cx="0" cy="247650"/>
        </a:xfrm>
      </xdr:grpSpPr>
      <xdr:cxnSp>
        <xdr:nvCxnSpPr>
          <xdr:cNvPr id="33" name="Shape 33"/>
          <xdr:cNvCxnSpPr/>
        </xdr:nvCxnSpPr>
        <xdr:spPr>
          <a:xfrm>
            <a:off x="5346000" y="3656175"/>
            <a:ext cx="0" cy="2476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28</xdr:col>
      <xdr:colOff>0</xdr:colOff>
      <xdr:row>19</xdr:row>
      <xdr:rowOff>0</xdr:rowOff>
    </xdr:from>
    <xdr:ext cx="38100" cy="200025"/>
    <xdr:grpSp>
      <xdr:nvGrpSpPr>
        <xdr:cNvPr id="2" name="Shape 2"/>
        <xdr:cNvGrpSpPr/>
      </xdr:nvGrpSpPr>
      <xdr:grpSpPr>
        <a:xfrm>
          <a:off x="5346000" y="3679988"/>
          <a:ext cx="0" cy="200025"/>
          <a:chOff x="5346000" y="3679988"/>
          <a:chExt cx="0" cy="200025"/>
        </a:xfrm>
      </xdr:grpSpPr>
      <xdr:cxnSp>
        <xdr:nvCxnSpPr>
          <xdr:cNvPr id="34" name="Shape 34"/>
          <xdr:cNvCxnSpPr/>
        </xdr:nvCxnSpPr>
        <xdr:spPr>
          <a:xfrm>
            <a:off x="5346000" y="3679988"/>
            <a:ext cx="0" cy="2000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25</xdr:col>
      <xdr:colOff>114300</xdr:colOff>
      <xdr:row>18</xdr:row>
      <xdr:rowOff>161925</xdr:rowOff>
    </xdr:from>
    <xdr:ext cx="38100" cy="247650"/>
    <xdr:grpSp>
      <xdr:nvGrpSpPr>
        <xdr:cNvPr id="2" name="Shape 2"/>
        <xdr:cNvGrpSpPr/>
      </xdr:nvGrpSpPr>
      <xdr:grpSpPr>
        <a:xfrm>
          <a:off x="5346000" y="3656175"/>
          <a:ext cx="0" cy="247650"/>
          <a:chOff x="5346000" y="3656175"/>
          <a:chExt cx="0" cy="247650"/>
        </a:xfrm>
      </xdr:grpSpPr>
      <xdr:cxnSp>
        <xdr:nvCxnSpPr>
          <xdr:cNvPr id="35" name="Shape 35"/>
          <xdr:cNvCxnSpPr/>
        </xdr:nvCxnSpPr>
        <xdr:spPr>
          <a:xfrm>
            <a:off x="5346000" y="3656175"/>
            <a:ext cx="0" cy="2476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0</xdr:colOff>
      <xdr:row>12</xdr:row>
      <xdr:rowOff>47625</xdr:rowOff>
    </xdr:from>
    <xdr:ext cx="1076325" cy="800100"/>
    <xdr:sp>
      <xdr:nvSpPr>
        <xdr:cNvPr id="36" name="Shape 36"/>
        <xdr:cNvSpPr txBox="1"/>
      </xdr:nvSpPr>
      <xdr:spPr>
        <a:xfrm>
          <a:off x="4807838" y="3379950"/>
          <a:ext cx="1076325" cy="8001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Terminal Yr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1,846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477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1,369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29</xdr:col>
      <xdr:colOff>419100</xdr:colOff>
      <xdr:row>10</xdr:row>
      <xdr:rowOff>9525</xdr:rowOff>
    </xdr:from>
    <xdr:ext cx="2714625" cy="295275"/>
    <xdr:sp>
      <xdr:nvSpPr>
        <xdr:cNvPr id="37" name="Shape 37"/>
        <xdr:cNvSpPr txBox="1"/>
      </xdr:nvSpPr>
      <xdr:spPr>
        <a:xfrm>
          <a:off x="3993450" y="3632363"/>
          <a:ext cx="2705100" cy="2952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Terminal Value =  1,369 / (8.32%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- 2%) =22,817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33</xdr:col>
      <xdr:colOff>0</xdr:colOff>
      <xdr:row>11</xdr:row>
      <xdr:rowOff>114300</xdr:rowOff>
    </xdr:from>
    <xdr:ext cx="38100" cy="161925"/>
    <xdr:grpSp>
      <xdr:nvGrpSpPr>
        <xdr:cNvPr id="2" name="Shape 2"/>
        <xdr:cNvGrpSpPr/>
      </xdr:nvGrpSpPr>
      <xdr:grpSpPr>
        <a:xfrm>
          <a:off x="5346000" y="3699038"/>
          <a:ext cx="0" cy="161925"/>
          <a:chOff x="5346000" y="3699038"/>
          <a:chExt cx="0" cy="161925"/>
        </a:xfrm>
      </xdr:grpSpPr>
      <xdr:cxnSp>
        <xdr:nvCxnSpPr>
          <xdr:cNvPr id="38" name="Shape 38"/>
          <xdr:cNvCxnSpPr/>
        </xdr:nvCxnSpPr>
        <xdr:spPr>
          <a:xfrm>
            <a:off x="5346000" y="3699038"/>
            <a:ext cx="0" cy="1619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sm" w="sm" type="none"/>
          </a:ln>
        </xdr:spPr>
      </xdr:cxnSp>
    </xdr:grpSp>
    <xdr:clientData fLocksWithSheet="0"/>
  </xdr:oneCellAnchor>
  <xdr:oneCellAnchor>
    <xdr:from>
      <xdr:col>29</xdr:col>
      <xdr:colOff>438150</xdr:colOff>
      <xdr:row>6</xdr:row>
      <xdr:rowOff>0</xdr:rowOff>
    </xdr:from>
    <xdr:ext cx="2371725" cy="609600"/>
    <xdr:sp>
      <xdr:nvSpPr>
        <xdr:cNvPr id="39" name="Shape 39"/>
        <xdr:cNvSpPr txBox="1"/>
      </xdr:nvSpPr>
      <xdr:spPr>
        <a:xfrm>
          <a:off x="4164900" y="3479963"/>
          <a:ext cx="2362200" cy="6000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Stable Growth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g = 2%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( Expect GDP of Canada)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Cost of Capital = 8.32% ( Industry Average)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31</xdr:col>
      <xdr:colOff>-9525</xdr:colOff>
      <xdr:row>9</xdr:row>
      <xdr:rowOff>0</xdr:rowOff>
    </xdr:from>
    <xdr:ext cx="38100" cy="209550"/>
    <xdr:grpSp>
      <xdr:nvGrpSpPr>
        <xdr:cNvPr id="2" name="Shape 2"/>
        <xdr:cNvGrpSpPr/>
      </xdr:nvGrpSpPr>
      <xdr:grpSpPr>
        <a:xfrm>
          <a:off x="5346000" y="3675225"/>
          <a:ext cx="0" cy="209550"/>
          <a:chOff x="5346000" y="3675225"/>
          <a:chExt cx="0" cy="209550"/>
        </a:xfrm>
      </xdr:grpSpPr>
      <xdr:cxnSp>
        <xdr:nvCxnSpPr>
          <xdr:cNvPr id="40" name="Shape 40"/>
          <xdr:cNvCxnSpPr/>
        </xdr:nvCxnSpPr>
        <xdr:spPr>
          <a:xfrm>
            <a:off x="5346000" y="3675225"/>
            <a:ext cx="0" cy="2095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22</xdr:col>
      <xdr:colOff>85725</xdr:colOff>
      <xdr:row>11</xdr:row>
      <xdr:rowOff>104775</xdr:rowOff>
    </xdr:from>
    <xdr:ext cx="38100" cy="304800"/>
    <xdr:grpSp>
      <xdr:nvGrpSpPr>
        <xdr:cNvPr id="2" name="Shape 2"/>
        <xdr:cNvGrpSpPr/>
      </xdr:nvGrpSpPr>
      <xdr:grpSpPr>
        <a:xfrm>
          <a:off x="5346000" y="3627600"/>
          <a:ext cx="0" cy="304800"/>
          <a:chOff x="5346000" y="3627600"/>
          <a:chExt cx="0" cy="304800"/>
        </a:xfrm>
      </xdr:grpSpPr>
      <xdr:cxnSp>
        <xdr:nvCxnSpPr>
          <xdr:cNvPr id="41" name="Shape 41"/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23</xdr:col>
      <xdr:colOff>447675</xdr:colOff>
      <xdr:row>7</xdr:row>
      <xdr:rowOff>104775</xdr:rowOff>
    </xdr:from>
    <xdr:ext cx="1133475" cy="657225"/>
    <xdr:sp>
      <xdr:nvSpPr>
        <xdr:cNvPr id="42" name="Shape 42"/>
        <xdr:cNvSpPr txBox="1"/>
      </xdr:nvSpPr>
      <xdr:spPr>
        <a:xfrm>
          <a:off x="4784025" y="3456150"/>
          <a:ext cx="1123950" cy="6477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Expected Growth in Revenue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5%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95250</xdr:colOff>
      <xdr:row>8</xdr:row>
      <xdr:rowOff>152400</xdr:rowOff>
    </xdr:from>
    <xdr:ext cx="1924050" cy="495300"/>
    <xdr:sp>
      <xdr:nvSpPr>
        <xdr:cNvPr id="43" name="Shape 43"/>
        <xdr:cNvSpPr txBox="1"/>
      </xdr:nvSpPr>
      <xdr:spPr>
        <a:xfrm>
          <a:off x="4388738" y="3537113"/>
          <a:ext cx="1914525" cy="4857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Arithmetic Average (3 Yr) 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7.52%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Geometric Average (3 Yr)   4.14%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20</xdr:col>
      <xdr:colOff>876300</xdr:colOff>
      <xdr:row>7</xdr:row>
      <xdr:rowOff>95250</xdr:rowOff>
    </xdr:from>
    <xdr:ext cx="1304925" cy="466725"/>
    <xdr:sp>
      <xdr:nvSpPr>
        <xdr:cNvPr id="44" name="Shape 44"/>
        <xdr:cNvSpPr txBox="1"/>
      </xdr:nvSpPr>
      <xdr:spPr>
        <a:xfrm>
          <a:off x="4698300" y="3551400"/>
          <a:ext cx="1295400" cy="4572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ARIMA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Model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6.24%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85725</xdr:colOff>
      <xdr:row>2</xdr:row>
      <xdr:rowOff>38100</xdr:rowOff>
    </xdr:from>
    <xdr:ext cx="1657350" cy="666750"/>
    <xdr:sp>
      <xdr:nvSpPr>
        <xdr:cNvPr id="45" name="Shape 45"/>
        <xdr:cNvSpPr txBox="1"/>
      </xdr:nvSpPr>
      <xdr:spPr>
        <a:xfrm>
          <a:off x="4522088" y="3451388"/>
          <a:ext cx="1647825" cy="6572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Expect ROE   20%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Retention Ratio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 0.38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Expect Growth Rate 7.65% 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26</xdr:col>
      <xdr:colOff>95250</xdr:colOff>
      <xdr:row>6</xdr:row>
      <xdr:rowOff>9525</xdr:rowOff>
    </xdr:from>
    <xdr:ext cx="1400175" cy="466725"/>
    <xdr:sp>
      <xdr:nvSpPr>
        <xdr:cNvPr id="46" name="Shape 46"/>
        <xdr:cNvSpPr txBox="1"/>
      </xdr:nvSpPr>
      <xdr:spPr>
        <a:xfrm>
          <a:off x="4650675" y="3551400"/>
          <a:ext cx="1390650" cy="4572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Linear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regression Model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12.61%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20</xdr:col>
      <xdr:colOff>962025</xdr:colOff>
      <xdr:row>2</xdr:row>
      <xdr:rowOff>76200</xdr:rowOff>
    </xdr:from>
    <xdr:ext cx="1257300" cy="466725"/>
    <xdr:sp>
      <xdr:nvSpPr>
        <xdr:cNvPr id="47" name="Shape 47"/>
        <xdr:cNvSpPr txBox="1"/>
      </xdr:nvSpPr>
      <xdr:spPr>
        <a:xfrm>
          <a:off x="4722113" y="3551400"/>
          <a:ext cx="1247775" cy="45720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Breakeven Growth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3.22% - 4.11%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23</xdr:col>
      <xdr:colOff>371475</xdr:colOff>
      <xdr:row>2</xdr:row>
      <xdr:rowOff>38100</xdr:rowOff>
    </xdr:from>
    <xdr:ext cx="1485900" cy="476250"/>
    <xdr:sp>
      <xdr:nvSpPr>
        <xdr:cNvPr id="48" name="Shape 48"/>
        <xdr:cNvSpPr txBox="1"/>
      </xdr:nvSpPr>
      <xdr:spPr>
        <a:xfrm>
          <a:off x="4607813" y="3546638"/>
          <a:ext cx="1476375" cy="4667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ROC  30%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Reinvestment Rate  10%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638175</xdr:colOff>
      <xdr:row>8</xdr:row>
      <xdr:rowOff>114300</xdr:rowOff>
    </xdr:from>
    <xdr:ext cx="409575" cy="38100"/>
    <xdr:grpSp>
      <xdr:nvGrpSpPr>
        <xdr:cNvPr id="2" name="Shape 2"/>
        <xdr:cNvGrpSpPr/>
      </xdr:nvGrpSpPr>
      <xdr:grpSpPr>
        <a:xfrm>
          <a:off x="5141213" y="3780000"/>
          <a:ext cx="409500" cy="0"/>
          <a:chOff x="5141213" y="3780000"/>
          <a:chExt cx="409500" cy="0"/>
        </a:xfrm>
      </xdr:grpSpPr>
      <xdr:cxnSp>
        <xdr:nvCxnSpPr>
          <xdr:cNvPr id="49" name="Shape 49"/>
          <xdr:cNvCxnSpPr>
            <a:stCxn id="44" idx="3"/>
          </xdr:cNvCxnSpPr>
        </xdr:nvCxnSpPr>
        <xdr:spPr>
          <a:xfrm>
            <a:off x="5141213" y="3780000"/>
            <a:ext cx="409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25</xdr:col>
      <xdr:colOff>381000</xdr:colOff>
      <xdr:row>10</xdr:row>
      <xdr:rowOff>-9525</xdr:rowOff>
    </xdr:from>
    <xdr:ext cx="314325" cy="38100"/>
    <xdr:grpSp>
      <xdr:nvGrpSpPr>
        <xdr:cNvPr id="2" name="Shape 2"/>
        <xdr:cNvGrpSpPr/>
      </xdr:nvGrpSpPr>
      <xdr:grpSpPr>
        <a:xfrm>
          <a:off x="5188763" y="3780000"/>
          <a:ext cx="314400" cy="0"/>
          <a:chOff x="5188763" y="3780000"/>
          <a:chExt cx="314400" cy="0"/>
        </a:xfrm>
      </xdr:grpSpPr>
      <xdr:cxnSp>
        <xdr:nvCxnSpPr>
          <xdr:cNvPr id="50" name="Shape 50"/>
          <xdr:cNvCxnSpPr>
            <a:stCxn id="43" idx="1"/>
          </xdr:cNvCxnSpPr>
        </xdr:nvCxnSpPr>
        <xdr:spPr>
          <a:xfrm rot="10800000">
            <a:off x="5188763" y="3780000"/>
            <a:ext cx="314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25</xdr:col>
      <xdr:colOff>371475</xdr:colOff>
      <xdr:row>7</xdr:row>
      <xdr:rowOff>152400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75" cy="0"/>
          <a:chOff x="5179313" y="3780000"/>
          <a:chExt cx="333375" cy="0"/>
        </a:xfrm>
      </xdr:grpSpPr>
      <xdr:cxnSp>
        <xdr:nvCxnSpPr>
          <xdr:cNvPr id="51" name="Shape 51"/>
          <xdr:cNvCxnSpPr/>
        </xdr:nvCxnSpPr>
        <xdr:spPr>
          <a:xfrm rot="10800000">
            <a:off x="5179313" y="3780000"/>
            <a:ext cx="3333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25</xdr:col>
      <xdr:colOff>257175</xdr:colOff>
      <xdr:row>5</xdr:row>
      <xdr:rowOff>0</xdr:rowOff>
    </xdr:from>
    <xdr:ext cx="419100" cy="514350"/>
    <xdr:grpSp>
      <xdr:nvGrpSpPr>
        <xdr:cNvPr id="2" name="Shape 2"/>
        <xdr:cNvGrpSpPr/>
      </xdr:nvGrpSpPr>
      <xdr:grpSpPr>
        <a:xfrm>
          <a:off x="5141213" y="3527588"/>
          <a:ext cx="409575" cy="504825"/>
          <a:chOff x="5141213" y="3527588"/>
          <a:chExt cx="409575" cy="504825"/>
        </a:xfrm>
      </xdr:grpSpPr>
      <xdr:cxnSp>
        <xdr:nvCxnSpPr>
          <xdr:cNvPr id="52" name="Shape 52"/>
          <xdr:cNvCxnSpPr/>
        </xdr:nvCxnSpPr>
        <xdr:spPr>
          <a:xfrm flipH="1">
            <a:off x="5141213" y="3527588"/>
            <a:ext cx="409575" cy="5048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24</xdr:col>
      <xdr:colOff>276225</xdr:colOff>
      <xdr:row>4</xdr:row>
      <xdr:rowOff>114300</xdr:rowOff>
    </xdr:from>
    <xdr:ext cx="3810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cxnSp>
        <xdr:nvCxnSpPr>
          <xdr:cNvPr id="53" name="Shape 53"/>
          <xdr:cNvCxnSpPr/>
        </xdr:nvCxnSpPr>
        <xdr:spPr>
          <a:xfrm>
            <a:off x="5346000" y="3479963"/>
            <a:ext cx="0" cy="600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23</xdr:col>
      <xdr:colOff>66675</xdr:colOff>
      <xdr:row>4</xdr:row>
      <xdr:rowOff>123825</xdr:rowOff>
    </xdr:from>
    <xdr:ext cx="542925" cy="581025"/>
    <xdr:grpSp>
      <xdr:nvGrpSpPr>
        <xdr:cNvPr id="2" name="Shape 2"/>
        <xdr:cNvGrpSpPr/>
      </xdr:nvGrpSpPr>
      <xdr:grpSpPr>
        <a:xfrm>
          <a:off x="5079300" y="3494250"/>
          <a:ext cx="533400" cy="571500"/>
          <a:chOff x="5079300" y="3494250"/>
          <a:chExt cx="533400" cy="571500"/>
        </a:xfrm>
      </xdr:grpSpPr>
      <xdr:cxnSp>
        <xdr:nvCxnSpPr>
          <xdr:cNvPr id="54" name="Shape 54"/>
          <xdr:cNvCxnSpPr/>
        </xdr:nvCxnSpPr>
        <xdr:spPr>
          <a:xfrm>
            <a:off x="5079300" y="3494250"/>
            <a:ext cx="533400" cy="571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20</xdr:col>
      <xdr:colOff>171450</xdr:colOff>
      <xdr:row>11</xdr:row>
      <xdr:rowOff>76200</xdr:rowOff>
    </xdr:from>
    <xdr:ext cx="2857500" cy="38100"/>
    <xdr:grpSp>
      <xdr:nvGrpSpPr>
        <xdr:cNvPr id="2" name="Shape 2"/>
        <xdr:cNvGrpSpPr/>
      </xdr:nvGrpSpPr>
      <xdr:grpSpPr>
        <a:xfrm>
          <a:off x="3917250" y="3780000"/>
          <a:ext cx="2857500" cy="0"/>
          <a:chOff x="3917250" y="3780000"/>
          <a:chExt cx="2857500" cy="0"/>
        </a:xfrm>
      </xdr:grpSpPr>
      <xdr:cxnSp>
        <xdr:nvCxnSpPr>
          <xdr:cNvPr id="55" name="Shape 55"/>
          <xdr:cNvCxnSpPr/>
        </xdr:nvCxnSpPr>
        <xdr:spPr>
          <a:xfrm>
            <a:off x="3917250" y="3780000"/>
            <a:ext cx="2857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24</xdr:col>
      <xdr:colOff>285750</xdr:colOff>
      <xdr:row>10</xdr:row>
      <xdr:rowOff>161925</xdr:rowOff>
    </xdr:from>
    <xdr:ext cx="38100" cy="142875"/>
    <xdr:grpSp>
      <xdr:nvGrpSpPr>
        <xdr:cNvPr id="2" name="Shape 2"/>
        <xdr:cNvGrpSpPr/>
      </xdr:nvGrpSpPr>
      <xdr:grpSpPr>
        <a:xfrm>
          <a:off x="5346000" y="3708563"/>
          <a:ext cx="0" cy="142875"/>
          <a:chOff x="5346000" y="3708563"/>
          <a:chExt cx="0" cy="142875"/>
        </a:xfrm>
      </xdr:grpSpPr>
      <xdr:cxnSp>
        <xdr:nvCxnSpPr>
          <xdr:cNvPr id="56" name="Shape 56"/>
          <xdr:cNvCxnSpPr/>
        </xdr:nvCxnSpPr>
        <xdr:spPr>
          <a:xfrm>
            <a:off x="5346000" y="3708563"/>
            <a:ext cx="0" cy="1428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1266825</xdr:colOff>
      <xdr:row>1</xdr:row>
      <xdr:rowOff>0</xdr:rowOff>
    </xdr:from>
    <xdr:ext cx="1400175" cy="1876425"/>
    <xdr:sp>
      <xdr:nvSpPr>
        <xdr:cNvPr id="57" name="Shape 57"/>
        <xdr:cNvSpPr txBox="1"/>
      </xdr:nvSpPr>
      <xdr:spPr>
        <a:xfrm>
          <a:off x="4645913" y="2841788"/>
          <a:ext cx="1400175" cy="18764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Current Cashflow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to Firm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EBIT (1-t)	1134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+Depreciation	837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- CapEx	1050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-/+CWC	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=FCFF	921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20</xdr:col>
      <xdr:colOff>152400</xdr:colOff>
      <xdr:row>10</xdr:row>
      <xdr:rowOff>66675</xdr:rowOff>
    </xdr:from>
    <xdr:ext cx="38100" cy="247650"/>
    <xdr:grpSp>
      <xdr:nvGrpSpPr>
        <xdr:cNvPr id="2" name="Shape 2"/>
        <xdr:cNvGrpSpPr/>
      </xdr:nvGrpSpPr>
      <xdr:grpSpPr>
        <a:xfrm>
          <a:off x="5346000" y="3656175"/>
          <a:ext cx="0" cy="247650"/>
          <a:chOff x="5346000" y="3656175"/>
          <a:chExt cx="0" cy="247650"/>
        </a:xfrm>
      </xdr:grpSpPr>
      <xdr:cxnSp>
        <xdr:nvCxnSpPr>
          <xdr:cNvPr id="33" name="Shape 33"/>
          <xdr:cNvCxnSpPr/>
        </xdr:nvCxnSpPr>
        <xdr:spPr>
          <a:xfrm>
            <a:off x="5346000" y="3656175"/>
            <a:ext cx="0" cy="2476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133350</xdr:colOff>
      <xdr:row>0</xdr:row>
      <xdr:rowOff>57150</xdr:rowOff>
    </xdr:from>
    <xdr:ext cx="1447800" cy="447675"/>
    <xdr:sp>
      <xdr:nvSpPr>
        <xdr:cNvPr id="58" name="Shape 58"/>
        <xdr:cNvSpPr txBox="1"/>
      </xdr:nvSpPr>
      <xdr:spPr>
        <a:xfrm>
          <a:off x="4622100" y="3556163"/>
          <a:ext cx="1447800" cy="4476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EBIT as % Revenue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	30%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266700</xdr:colOff>
      <xdr:row>6</xdr:row>
      <xdr:rowOff>47625</xdr:rowOff>
    </xdr:from>
    <xdr:ext cx="1343025" cy="476250"/>
    <xdr:sp>
      <xdr:nvSpPr>
        <xdr:cNvPr id="59" name="Shape 59"/>
        <xdr:cNvSpPr txBox="1"/>
      </xdr:nvSpPr>
      <xdr:spPr>
        <a:xfrm>
          <a:off x="4679250" y="3541875"/>
          <a:ext cx="1333500" cy="4762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CapEx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as % Revenue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	20%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447675</xdr:colOff>
      <xdr:row>2</xdr:row>
      <xdr:rowOff>152400</xdr:rowOff>
    </xdr:from>
    <xdr:ext cx="1762125" cy="657225"/>
    <xdr:sp>
      <xdr:nvSpPr>
        <xdr:cNvPr id="60" name="Shape 60"/>
        <xdr:cNvSpPr txBox="1"/>
      </xdr:nvSpPr>
      <xdr:spPr>
        <a:xfrm>
          <a:off x="4469700" y="3451388"/>
          <a:ext cx="1752600" cy="65722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Straight Line Dep rule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Dt = Dt-1</a:t>
          </a:r>
          <a:r>
            <a:rPr i="1"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+ [Capext/N]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Depreciation rule(# years): 10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95250</xdr:colOff>
      <xdr:row>9</xdr:row>
      <xdr:rowOff>0</xdr:rowOff>
    </xdr:from>
    <xdr:ext cx="1514475" cy="485775"/>
    <xdr:sp>
      <xdr:nvSpPr>
        <xdr:cNvPr id="61" name="Shape 61"/>
        <xdr:cNvSpPr txBox="1"/>
      </xdr:nvSpPr>
      <xdr:spPr>
        <a:xfrm>
          <a:off x="4588763" y="3537113"/>
          <a:ext cx="1514475" cy="4857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Negative, prefer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use 0 for future forecasting</a:t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17</xdr:col>
      <xdr:colOff>981075</xdr:colOff>
      <xdr:row>1</xdr:row>
      <xdr:rowOff>85725</xdr:rowOff>
    </xdr:from>
    <xdr:ext cx="295275" cy="209550"/>
    <xdr:grpSp>
      <xdr:nvGrpSpPr>
        <xdr:cNvPr id="2" name="Shape 2"/>
        <xdr:cNvGrpSpPr/>
      </xdr:nvGrpSpPr>
      <xdr:grpSpPr>
        <a:xfrm>
          <a:off x="5198363" y="3679988"/>
          <a:ext cx="295200" cy="200100"/>
          <a:chOff x="5198363" y="3679988"/>
          <a:chExt cx="295200" cy="200100"/>
        </a:xfrm>
      </xdr:grpSpPr>
      <xdr:cxnSp>
        <xdr:nvCxnSpPr>
          <xdr:cNvPr id="62" name="Shape 62"/>
          <xdr:cNvCxnSpPr>
            <a:stCxn id="58" idx="3"/>
          </xdr:cNvCxnSpPr>
        </xdr:nvCxnSpPr>
        <xdr:spPr>
          <a:xfrm>
            <a:off x="5198363" y="3679988"/>
            <a:ext cx="295200" cy="200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17</xdr:col>
      <xdr:colOff>1000125</xdr:colOff>
      <xdr:row>4</xdr:row>
      <xdr:rowOff>47625</xdr:rowOff>
    </xdr:from>
    <xdr:ext cx="276225" cy="28575"/>
    <xdr:grpSp>
      <xdr:nvGrpSpPr>
        <xdr:cNvPr id="2" name="Shape 2"/>
        <xdr:cNvGrpSpPr/>
      </xdr:nvGrpSpPr>
      <xdr:grpSpPr>
        <a:xfrm>
          <a:off x="5207888" y="3765788"/>
          <a:ext cx="276300" cy="28500"/>
          <a:chOff x="5207888" y="3765788"/>
          <a:chExt cx="276300" cy="28500"/>
        </a:xfrm>
      </xdr:grpSpPr>
      <xdr:cxnSp>
        <xdr:nvCxnSpPr>
          <xdr:cNvPr id="63" name="Shape 63"/>
          <xdr:cNvCxnSpPr>
            <a:stCxn id="60" idx="3"/>
          </xdr:cNvCxnSpPr>
        </xdr:nvCxnSpPr>
        <xdr:spPr>
          <a:xfrm flipH="1" rot="10800000">
            <a:off x="5207888" y="3765788"/>
            <a:ext cx="276300" cy="28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17</xdr:col>
      <xdr:colOff>1000125</xdr:colOff>
      <xdr:row>5</xdr:row>
      <xdr:rowOff>123825</xdr:rowOff>
    </xdr:from>
    <xdr:ext cx="266700" cy="371475"/>
    <xdr:grpSp>
      <xdr:nvGrpSpPr>
        <xdr:cNvPr id="2" name="Shape 2"/>
        <xdr:cNvGrpSpPr/>
      </xdr:nvGrpSpPr>
      <xdr:grpSpPr>
        <a:xfrm>
          <a:off x="5217413" y="3598875"/>
          <a:ext cx="257100" cy="362100"/>
          <a:chOff x="5217413" y="3598875"/>
          <a:chExt cx="257100" cy="362100"/>
        </a:xfrm>
      </xdr:grpSpPr>
      <xdr:cxnSp>
        <xdr:nvCxnSpPr>
          <xdr:cNvPr id="64" name="Shape 64"/>
          <xdr:cNvCxnSpPr>
            <a:stCxn id="59" idx="3"/>
            <a:endCxn id="57" idx="1"/>
          </xdr:cNvCxnSpPr>
        </xdr:nvCxnSpPr>
        <xdr:spPr>
          <a:xfrm flipH="1" rot="10800000">
            <a:off x="5217413" y="3598875"/>
            <a:ext cx="257100" cy="362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17</xdr:col>
      <xdr:colOff>1009650</xdr:colOff>
      <xdr:row>7</xdr:row>
      <xdr:rowOff>133350</xdr:rowOff>
    </xdr:from>
    <xdr:ext cx="257175" cy="514350"/>
    <xdr:grpSp>
      <xdr:nvGrpSpPr>
        <xdr:cNvPr id="2" name="Shape 2"/>
        <xdr:cNvGrpSpPr/>
      </xdr:nvGrpSpPr>
      <xdr:grpSpPr>
        <a:xfrm>
          <a:off x="5222175" y="3527513"/>
          <a:ext cx="247500" cy="504900"/>
          <a:chOff x="5222175" y="3527513"/>
          <a:chExt cx="247500" cy="504900"/>
        </a:xfrm>
      </xdr:grpSpPr>
      <xdr:cxnSp>
        <xdr:nvCxnSpPr>
          <xdr:cNvPr id="65" name="Shape 65"/>
          <xdr:cNvCxnSpPr>
            <a:stCxn id="61" idx="3"/>
          </xdr:cNvCxnSpPr>
        </xdr:nvCxnSpPr>
        <xdr:spPr>
          <a:xfrm flipH="1" rot="10800000">
            <a:off x="5222175" y="3527513"/>
            <a:ext cx="247500" cy="504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17</xdr:col>
      <xdr:colOff>228600</xdr:colOff>
      <xdr:row>12</xdr:row>
      <xdr:rowOff>0</xdr:rowOff>
    </xdr:from>
    <xdr:ext cx="1581150" cy="1314450"/>
    <xdr:sp>
      <xdr:nvSpPr>
        <xdr:cNvPr id="66" name="Shape 66"/>
        <xdr:cNvSpPr txBox="1"/>
      </xdr:nvSpPr>
      <xdr:spPr>
        <a:xfrm>
          <a:off x="4555425" y="3122775"/>
          <a:ext cx="1581150" cy="1314450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Op.</a:t>
          </a: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Assets:	        7,260         + Cash:	        427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+Non-Op:	       5,035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-Debt:	       7,373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=Equity	       5,349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-Options	       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Value/ Share	       11.94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</xdr:col>
      <xdr:colOff>0</xdr:colOff>
      <xdr:row>20</xdr:row>
      <xdr:rowOff>0</xdr:rowOff>
    </xdr:from>
    <xdr:ext cx="76200" cy="209550"/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5</xdr:row>
      <xdr:rowOff>19050</xdr:rowOff>
    </xdr:from>
    <xdr:ext cx="3848100" cy="2209800"/>
    <xdr:graphicFrame>
      <xdr:nvGraphicFramePr>
        <xdr:cNvPr id="52630994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400050</xdr:colOff>
      <xdr:row>11</xdr:row>
      <xdr:rowOff>19050</xdr:rowOff>
    </xdr:from>
    <xdr:ext cx="4962525" cy="3762375"/>
    <xdr:graphicFrame>
      <xdr:nvGraphicFramePr>
        <xdr:cNvPr id="169595521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76200</xdr:colOff>
      <xdr:row>29</xdr:row>
      <xdr:rowOff>180975</xdr:rowOff>
    </xdr:from>
    <xdr:ext cx="5800725" cy="4057650"/>
    <xdr:graphicFrame>
      <xdr:nvGraphicFramePr>
        <xdr:cNvPr id="5946773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361950</xdr:colOff>
      <xdr:row>30</xdr:row>
      <xdr:rowOff>47625</xdr:rowOff>
    </xdr:from>
    <xdr:ext cx="5010150" cy="4067175"/>
    <xdr:graphicFrame>
      <xdr:nvGraphicFramePr>
        <xdr:cNvPr id="119995494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57150</xdr:colOff>
      <xdr:row>50</xdr:row>
      <xdr:rowOff>123825</xdr:rowOff>
    </xdr:from>
    <xdr:ext cx="5819775" cy="4029075"/>
    <xdr:graphicFrame>
      <xdr:nvGraphicFramePr>
        <xdr:cNvPr id="115828730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19050</xdr:colOff>
      <xdr:row>14</xdr:row>
      <xdr:rowOff>19050</xdr:rowOff>
    </xdr:from>
    <xdr:ext cx="1362075" cy="1600200"/>
    <xdr:sp>
      <xdr:nvSpPr>
        <xdr:cNvPr id="67" name="Shape 67"/>
        <xdr:cNvSpPr/>
      </xdr:nvSpPr>
      <xdr:spPr>
        <a:xfrm>
          <a:off x="4669725" y="2989425"/>
          <a:ext cx="1352550" cy="1581150"/>
        </a:xfrm>
        <a:prstGeom prst="ellipse">
          <a:avLst/>
        </a:prstGeom>
        <a:solidFill>
          <a:schemeClr val="lt1">
            <a:alpha val="0"/>
          </a:schemeClr>
        </a:solidFill>
        <a:ln cap="flat" cmpd="sng" w="15875">
          <a:solidFill>
            <a:srgbClr val="395E8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542925</xdr:colOff>
      <xdr:row>13</xdr:row>
      <xdr:rowOff>142875</xdr:rowOff>
    </xdr:from>
    <xdr:ext cx="1905000" cy="1276350"/>
    <xdr:sp>
      <xdr:nvSpPr>
        <xdr:cNvPr id="68" name="Shape 68"/>
        <xdr:cNvSpPr/>
      </xdr:nvSpPr>
      <xdr:spPr>
        <a:xfrm>
          <a:off x="4398263" y="3146588"/>
          <a:ext cx="1895475" cy="1266825"/>
        </a:xfrm>
        <a:prstGeom prst="rect">
          <a:avLst/>
        </a:prstGeom>
        <a:solidFill>
          <a:schemeClr val="accent6">
            <a:alpha val="27843"/>
          </a:scheme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552450</xdr:colOff>
      <xdr:row>20</xdr:row>
      <xdr:rowOff>85725</xdr:rowOff>
    </xdr:from>
    <xdr:ext cx="1905000" cy="1257300"/>
    <xdr:sp>
      <xdr:nvSpPr>
        <xdr:cNvPr id="69" name="Shape 69"/>
        <xdr:cNvSpPr/>
      </xdr:nvSpPr>
      <xdr:spPr>
        <a:xfrm>
          <a:off x="4398263" y="3151350"/>
          <a:ext cx="1895475" cy="1257300"/>
        </a:xfrm>
        <a:prstGeom prst="rect">
          <a:avLst/>
        </a:prstGeom>
        <a:solidFill>
          <a:srgbClr val="00B050">
            <a:alpha val="27843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228600</xdr:colOff>
      <xdr:row>13</xdr:row>
      <xdr:rowOff>142875</xdr:rowOff>
    </xdr:from>
    <xdr:ext cx="1933575" cy="1276350"/>
    <xdr:sp>
      <xdr:nvSpPr>
        <xdr:cNvPr id="70" name="Shape 70"/>
        <xdr:cNvSpPr/>
      </xdr:nvSpPr>
      <xdr:spPr>
        <a:xfrm>
          <a:off x="4383975" y="3146588"/>
          <a:ext cx="1924050" cy="1266825"/>
        </a:xfrm>
        <a:prstGeom prst="rect">
          <a:avLst/>
        </a:prstGeom>
        <a:solidFill>
          <a:srgbClr val="0070C0">
            <a:alpha val="27843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228600</xdr:colOff>
      <xdr:row>20</xdr:row>
      <xdr:rowOff>85725</xdr:rowOff>
    </xdr:from>
    <xdr:ext cx="1933575" cy="1257300"/>
    <xdr:sp>
      <xdr:nvSpPr>
        <xdr:cNvPr id="71" name="Shape 71"/>
        <xdr:cNvSpPr/>
      </xdr:nvSpPr>
      <xdr:spPr>
        <a:xfrm>
          <a:off x="4383975" y="3151350"/>
          <a:ext cx="1924050" cy="1257300"/>
        </a:xfrm>
        <a:prstGeom prst="rect">
          <a:avLst/>
        </a:prstGeom>
        <a:solidFill>
          <a:srgbClr val="FF0000">
            <a:alpha val="27843"/>
          </a:srgbClr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419100</xdr:colOff>
      <xdr:row>33</xdr:row>
      <xdr:rowOff>66675</xdr:rowOff>
    </xdr:from>
    <xdr:ext cx="876300" cy="1057275"/>
    <xdr:sp>
      <xdr:nvSpPr>
        <xdr:cNvPr id="72" name="Shape 72"/>
        <xdr:cNvSpPr/>
      </xdr:nvSpPr>
      <xdr:spPr>
        <a:xfrm>
          <a:off x="4917375" y="3256125"/>
          <a:ext cx="857250" cy="1047750"/>
        </a:xfrm>
        <a:prstGeom prst="ellipse">
          <a:avLst/>
        </a:prstGeom>
        <a:solidFill>
          <a:schemeClr val="lt1">
            <a:alpha val="0"/>
          </a:schemeClr>
        </a:solidFill>
        <a:ln cap="flat" cmpd="sng" w="15875">
          <a:solidFill>
            <a:srgbClr val="395E8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790575</xdr:colOff>
      <xdr:row>37</xdr:row>
      <xdr:rowOff>9525</xdr:rowOff>
    </xdr:from>
    <xdr:ext cx="819150" cy="1057275"/>
    <xdr:sp>
      <xdr:nvSpPr>
        <xdr:cNvPr id="73" name="Shape 73"/>
        <xdr:cNvSpPr/>
      </xdr:nvSpPr>
      <xdr:spPr>
        <a:xfrm>
          <a:off x="4945950" y="3256125"/>
          <a:ext cx="800100" cy="1047750"/>
        </a:xfrm>
        <a:prstGeom prst="ellipse">
          <a:avLst/>
        </a:prstGeom>
        <a:solidFill>
          <a:schemeClr val="lt1">
            <a:alpha val="0"/>
          </a:schemeClr>
        </a:solidFill>
        <a:ln cap="flat" cmpd="sng" w="15875">
          <a:solidFill>
            <a:srgbClr val="395E8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304800</xdr:colOff>
      <xdr:row>52</xdr:row>
      <xdr:rowOff>9525</xdr:rowOff>
    </xdr:from>
    <xdr:ext cx="1009650" cy="1228725"/>
    <xdr:sp>
      <xdr:nvSpPr>
        <xdr:cNvPr id="74" name="Shape 74"/>
        <xdr:cNvSpPr/>
      </xdr:nvSpPr>
      <xdr:spPr>
        <a:xfrm>
          <a:off x="4850700" y="3170400"/>
          <a:ext cx="990600" cy="1219200"/>
        </a:xfrm>
        <a:prstGeom prst="ellipse">
          <a:avLst/>
        </a:prstGeom>
        <a:solidFill>
          <a:schemeClr val="lt1">
            <a:alpha val="0"/>
          </a:schemeClr>
        </a:solidFill>
        <a:ln cap="flat" cmpd="sng" w="15875">
          <a:solidFill>
            <a:srgbClr val="395E89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ocuments/OSV_Stock_Valuation_SAMPLE_Only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shboard"/>
      <sheetName val="DashData"/>
      <sheetName val="KeyData"/>
      <sheetName val="Lists"/>
      <sheetName val="Statements"/>
      <sheetName val="StatementsData"/>
      <sheetName val="YahooCSVData"/>
      <sheetName val="MiscData"/>
      <sheetName val="Statements%"/>
      <sheetName val="Ratios"/>
      <sheetName val="Charts"/>
      <sheetName val="RatiosData"/>
      <sheetName val="DCF Valuation"/>
      <sheetName val="DCFData"/>
      <sheetName val="PriceValueGraph"/>
      <sheetName val="YahooPrices"/>
      <sheetName val="Graham Valuation"/>
      <sheetName val="GrahamData"/>
      <sheetName val="AbsolutePE"/>
      <sheetName val="AbsolutePEData"/>
      <sheetName val="EPV"/>
      <sheetName val="EPVData"/>
      <sheetName val="NetNet"/>
      <sheetName val="NetNetData"/>
      <sheetName val="Quality"/>
      <sheetName val="PioData"/>
      <sheetName val="AltmanData"/>
      <sheetName val="BeneishData"/>
      <sheetName val="AccrualData"/>
      <sheetName val="Competitors"/>
      <sheetName val="CompData"/>
      <sheetName val="ChartsData"/>
      <sheetName val="StockDB"/>
      <sheetName val="StockDBData"/>
      <sheetName val="HelpSheet"/>
      <sheetName val="LOGIN"/>
      <sheetName val="SheetSt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9.75"/>
    <col customWidth="1" min="2" max="26" width="7.63"/>
  </cols>
  <sheetData>
    <row r="1" ht="13.5" customHeight="1">
      <c r="A1" s="1" t="s">
        <v>0</v>
      </c>
      <c r="B1" s="2" t="s">
        <v>1</v>
      </c>
      <c r="C1" s="3">
        <v>1997.0</v>
      </c>
      <c r="D1" s="3">
        <v>1998.0</v>
      </c>
      <c r="E1" s="3">
        <v>1999.0</v>
      </c>
      <c r="F1" s="3">
        <v>2000.0</v>
      </c>
      <c r="G1" s="3">
        <v>2001.0</v>
      </c>
      <c r="H1" s="3">
        <v>2002.0</v>
      </c>
      <c r="I1" s="3">
        <v>2003.0</v>
      </c>
      <c r="J1" s="3">
        <v>2004.0</v>
      </c>
      <c r="K1" s="3">
        <v>2005.0</v>
      </c>
      <c r="L1" s="3">
        <v>2006.0</v>
      </c>
      <c r="M1" s="3">
        <v>2007.0</v>
      </c>
      <c r="N1" s="3">
        <v>2008.0</v>
      </c>
      <c r="O1" s="3">
        <v>2009.0</v>
      </c>
      <c r="P1" s="3">
        <v>2010.0</v>
      </c>
      <c r="Q1" s="3">
        <v>2011.0</v>
      </c>
      <c r="R1" s="3">
        <v>2012.0</v>
      </c>
    </row>
    <row r="2" ht="13.5" customHeight="1">
      <c r="A2" s="4" t="s">
        <v>2</v>
      </c>
      <c r="B2" s="5"/>
      <c r="C2" s="5"/>
      <c r="D2" s="5"/>
      <c r="E2" s="5"/>
      <c r="F2" s="6"/>
      <c r="G2" s="4"/>
      <c r="H2" s="5"/>
      <c r="I2" s="5"/>
      <c r="J2" s="5"/>
      <c r="K2" s="6"/>
      <c r="L2" s="4"/>
      <c r="M2" s="5"/>
      <c r="N2" s="5"/>
      <c r="O2" s="5"/>
      <c r="P2" s="6"/>
      <c r="Q2" s="4"/>
      <c r="R2" s="6"/>
    </row>
    <row r="3" ht="13.5" customHeight="1">
      <c r="A3" s="7" t="s">
        <v>3</v>
      </c>
      <c r="B3" s="8">
        <v>584.4</v>
      </c>
      <c r="C3" s="8">
        <v>688.4</v>
      </c>
      <c r="D3" s="8">
        <v>783.8</v>
      </c>
      <c r="E3" s="8">
        <v>728.3</v>
      </c>
      <c r="F3" s="8">
        <v>971.0</v>
      </c>
      <c r="G3" s="9">
        <v>1572.0</v>
      </c>
      <c r="H3" s="9">
        <v>1888.6</v>
      </c>
      <c r="I3" s="9">
        <v>2076.7</v>
      </c>
      <c r="J3" s="9">
        <v>2079.7</v>
      </c>
      <c r="K3" s="9">
        <v>2209.8</v>
      </c>
      <c r="L3" s="9">
        <v>2459.3</v>
      </c>
      <c r="M3" s="9">
        <v>2774.4</v>
      </c>
      <c r="N3" s="9">
        <v>3104.9</v>
      </c>
      <c r="O3" s="9">
        <v>3390.9</v>
      </c>
      <c r="P3" s="9">
        <v>3717.6</v>
      </c>
      <c r="Q3" s="9">
        <v>4740.9</v>
      </c>
      <c r="R3" s="9">
        <v>4998.0</v>
      </c>
    </row>
    <row r="4" ht="13.5" customHeight="1">
      <c r="A4" s="10" t="s">
        <v>4</v>
      </c>
      <c r="B4" s="3">
        <v>584.4</v>
      </c>
      <c r="C4" s="3">
        <v>688.4</v>
      </c>
      <c r="D4" s="3">
        <v>783.8</v>
      </c>
      <c r="E4" s="3">
        <v>728.3</v>
      </c>
      <c r="F4" s="3">
        <v>971.0</v>
      </c>
      <c r="G4" s="11">
        <v>1572.0</v>
      </c>
      <c r="H4" s="11">
        <v>1888.6</v>
      </c>
      <c r="I4" s="11">
        <v>2076.7</v>
      </c>
      <c r="J4" s="11">
        <v>2079.7</v>
      </c>
      <c r="K4" s="11">
        <v>2209.8</v>
      </c>
      <c r="L4" s="11">
        <v>2459.3</v>
      </c>
      <c r="M4" s="11">
        <v>2774.4</v>
      </c>
      <c r="N4" s="11">
        <v>3104.9</v>
      </c>
      <c r="O4" s="11">
        <v>3390.9</v>
      </c>
      <c r="P4" s="11">
        <v>3717.6</v>
      </c>
      <c r="Q4" s="11">
        <v>4740.9</v>
      </c>
      <c r="R4" s="11">
        <v>4998.0</v>
      </c>
    </row>
    <row r="5" ht="13.5" customHeight="1">
      <c r="A5" s="10" t="s">
        <v>5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</row>
    <row r="6" ht="13.5" customHeight="1">
      <c r="A6" s="10" t="s">
        <v>6</v>
      </c>
      <c r="B6" s="3">
        <v>317.3</v>
      </c>
      <c r="C6" s="3">
        <v>386.2</v>
      </c>
      <c r="D6" s="3">
        <v>453.9</v>
      </c>
      <c r="E6" s="3">
        <v>415.1</v>
      </c>
      <c r="F6" s="3">
        <v>573.3</v>
      </c>
      <c r="G6" s="11">
        <v>1111.6</v>
      </c>
      <c r="H6" s="11">
        <v>1255.9</v>
      </c>
      <c r="I6" s="11">
        <v>1256.1</v>
      </c>
      <c r="J6" s="11">
        <v>1153.8</v>
      </c>
      <c r="K6" s="11">
        <v>1227.8</v>
      </c>
      <c r="L6" s="11">
        <v>1381.4</v>
      </c>
      <c r="M6" s="11">
        <v>1534.8</v>
      </c>
      <c r="N6" s="11">
        <v>1187.9</v>
      </c>
      <c r="O6" s="11">
        <v>2137.0</v>
      </c>
      <c r="P6" s="11">
        <v>1331.9</v>
      </c>
      <c r="Q6" s="11">
        <v>2792.3</v>
      </c>
      <c r="R6" s="11">
        <v>2866.0</v>
      </c>
    </row>
    <row r="7" ht="13.5" customHeight="1">
      <c r="A7" s="10" t="s">
        <v>7</v>
      </c>
      <c r="B7" s="3">
        <v>317.3</v>
      </c>
      <c r="C7" s="3">
        <v>386.2</v>
      </c>
      <c r="D7" s="3">
        <v>453.9</v>
      </c>
      <c r="E7" s="3">
        <v>415.1</v>
      </c>
      <c r="F7" s="3">
        <v>573.3</v>
      </c>
      <c r="G7" s="11">
        <v>1111.6</v>
      </c>
      <c r="H7" s="11">
        <v>1255.9</v>
      </c>
      <c r="I7" s="11">
        <v>1256.1</v>
      </c>
      <c r="J7" s="11">
        <v>1153.8</v>
      </c>
      <c r="K7" s="11">
        <v>1227.8</v>
      </c>
      <c r="L7" s="11">
        <v>1381.4</v>
      </c>
      <c r="M7" s="11">
        <v>1534.8</v>
      </c>
      <c r="N7" s="11">
        <v>1696.6</v>
      </c>
      <c r="O7" s="11">
        <v>1852.0</v>
      </c>
      <c r="P7" s="11">
        <v>1958.8</v>
      </c>
      <c r="Q7" s="11">
        <v>2710.1</v>
      </c>
      <c r="R7" s="11">
        <v>2871.0</v>
      </c>
    </row>
    <row r="8" ht="13.5" customHeight="1">
      <c r="A8" s="10" t="s">
        <v>8</v>
      </c>
      <c r="B8" s="3">
        <v>0.0</v>
      </c>
      <c r="C8" s="3">
        <v>0.0</v>
      </c>
      <c r="D8" s="3">
        <v>0.0</v>
      </c>
      <c r="E8" s="3">
        <v>313.2</v>
      </c>
      <c r="F8" s="3">
        <v>397.7</v>
      </c>
      <c r="G8" s="3">
        <v>460.3</v>
      </c>
      <c r="H8" s="3">
        <v>632.7</v>
      </c>
      <c r="I8" s="3">
        <v>820.6</v>
      </c>
      <c r="J8" s="3">
        <v>925.9</v>
      </c>
      <c r="K8" s="3">
        <v>982.0</v>
      </c>
      <c r="L8" s="11">
        <v>1077.9</v>
      </c>
      <c r="M8" s="11">
        <v>1239.6</v>
      </c>
      <c r="N8" s="11">
        <v>1917.0</v>
      </c>
      <c r="O8" s="11">
        <v>1253.9</v>
      </c>
      <c r="P8" s="11">
        <v>2385.7</v>
      </c>
      <c r="Q8" s="11">
        <v>1948.6</v>
      </c>
      <c r="R8" s="11">
        <v>2132.0</v>
      </c>
    </row>
    <row r="9" ht="13.5" customHeight="1">
      <c r="A9" s="7" t="s">
        <v>9</v>
      </c>
      <c r="B9" s="8">
        <v>267.1</v>
      </c>
      <c r="C9" s="8">
        <v>302.2</v>
      </c>
      <c r="D9" s="8">
        <v>329.9</v>
      </c>
      <c r="E9" s="8">
        <v>313.2</v>
      </c>
      <c r="F9" s="8">
        <v>397.7</v>
      </c>
      <c r="G9" s="8">
        <v>460.3</v>
      </c>
      <c r="H9" s="8">
        <v>632.7</v>
      </c>
      <c r="I9" s="8">
        <v>820.6</v>
      </c>
      <c r="J9" s="8">
        <v>925.9</v>
      </c>
      <c r="K9" s="8">
        <v>982.0</v>
      </c>
      <c r="L9" s="9">
        <v>1077.9</v>
      </c>
      <c r="M9" s="9">
        <v>1239.6</v>
      </c>
      <c r="N9" s="9">
        <v>1917.0</v>
      </c>
      <c r="O9" s="9">
        <v>1253.9</v>
      </c>
      <c r="P9" s="9">
        <v>2385.7</v>
      </c>
      <c r="Q9" s="9">
        <v>1948.6</v>
      </c>
      <c r="R9" s="9">
        <v>2132.0</v>
      </c>
    </row>
    <row r="10" ht="13.5" customHeight="1">
      <c r="A10" s="10" t="s">
        <v>10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 ht="13.5" customHeight="1">
      <c r="A11" s="10" t="s">
        <v>11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 ht="13.5" customHeight="1">
      <c r="A12" s="10" t="s">
        <v>12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 ht="13.5" customHeight="1">
      <c r="A13" s="10" t="s">
        <v>13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-11.1</v>
      </c>
      <c r="H13" s="3">
        <v>54.8</v>
      </c>
      <c r="I13" s="3">
        <v>234.4</v>
      </c>
      <c r="J13" s="3">
        <v>380.5</v>
      </c>
      <c r="K13" s="3">
        <v>441.0</v>
      </c>
      <c r="L13" s="3">
        <v>579.6</v>
      </c>
      <c r="M13" s="3">
        <v>766.5</v>
      </c>
      <c r="N13" s="3">
        <v>903.1</v>
      </c>
      <c r="O13" s="3">
        <v>955.8</v>
      </c>
      <c r="P13" s="11">
        <v>1102.5</v>
      </c>
      <c r="Q13" s="11">
        <v>1294.8</v>
      </c>
      <c r="R13" s="11">
        <v>1319.0</v>
      </c>
    </row>
    <row r="14" ht="13.5" customHeight="1">
      <c r="A14" s="7" t="s">
        <v>14</v>
      </c>
      <c r="B14" s="8">
        <v>267.1</v>
      </c>
      <c r="C14" s="8">
        <v>302.2</v>
      </c>
      <c r="D14" s="8">
        <v>329.9</v>
      </c>
      <c r="E14" s="8">
        <v>313.2</v>
      </c>
      <c r="F14" s="8">
        <v>397.7</v>
      </c>
      <c r="G14" s="8">
        <v>460.3</v>
      </c>
      <c r="H14" s="8">
        <v>632.7</v>
      </c>
      <c r="I14" s="8">
        <v>820.6</v>
      </c>
      <c r="J14" s="8">
        <v>925.9</v>
      </c>
      <c r="K14" s="8">
        <v>982.0</v>
      </c>
      <c r="L14" s="9">
        <v>1077.9</v>
      </c>
      <c r="M14" s="9">
        <v>1239.6</v>
      </c>
      <c r="N14" s="9">
        <v>1917.0</v>
      </c>
      <c r="O14" s="9">
        <v>1253.9</v>
      </c>
      <c r="P14" s="9">
        <v>2385.7</v>
      </c>
      <c r="Q14" s="9">
        <v>1948.6</v>
      </c>
      <c r="R14" s="9">
        <v>2132.0</v>
      </c>
    </row>
    <row r="15" ht="13.5" customHeight="1">
      <c r="A15" s="10" t="s">
        <v>15</v>
      </c>
      <c r="B15" s="3">
        <v>85.7</v>
      </c>
      <c r="C15" s="3">
        <v>117.8</v>
      </c>
      <c r="D15" s="3">
        <v>161.1</v>
      </c>
      <c r="E15" s="3">
        <v>159.1</v>
      </c>
      <c r="F15" s="3">
        <v>219.6</v>
      </c>
      <c r="G15" s="3">
        <v>471.4</v>
      </c>
      <c r="H15" s="3">
        <v>577.9</v>
      </c>
      <c r="I15" s="3">
        <v>586.2</v>
      </c>
      <c r="J15" s="3">
        <v>545.4</v>
      </c>
      <c r="K15" s="3">
        <v>541.0</v>
      </c>
      <c r="L15" s="3">
        <v>498.4</v>
      </c>
      <c r="M15" s="3">
        <v>473.1</v>
      </c>
      <c r="N15" s="3">
        <v>508.8</v>
      </c>
      <c r="O15" s="3">
        <v>587.2</v>
      </c>
      <c r="P15" s="3">
        <v>660.2</v>
      </c>
      <c r="Q15" s="3">
        <v>653.7</v>
      </c>
      <c r="R15" s="3">
        <v>813.0</v>
      </c>
    </row>
    <row r="16" ht="13.5" customHeight="1">
      <c r="A16" s="10" t="s">
        <v>16</v>
      </c>
      <c r="B16" s="3">
        <v>85.7</v>
      </c>
      <c r="C16" s="3">
        <v>117.8</v>
      </c>
      <c r="D16" s="3">
        <v>161.1</v>
      </c>
      <c r="E16" s="3">
        <v>159.1</v>
      </c>
      <c r="F16" s="3">
        <v>219.6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385.6</v>
      </c>
      <c r="M16" s="3">
        <v>381.9</v>
      </c>
      <c r="N16" s="3">
        <v>0.0</v>
      </c>
      <c r="O16" s="3">
        <v>480.6</v>
      </c>
      <c r="P16" s="3">
        <v>0.0</v>
      </c>
      <c r="Q16" s="3">
        <v>604.2</v>
      </c>
      <c r="R16" s="3">
        <v>692.0</v>
      </c>
    </row>
    <row r="17" ht="13.5" customHeight="1">
      <c r="A17" s="10" t="s">
        <v>17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471.4</v>
      </c>
      <c r="H17" s="3">
        <v>577.9</v>
      </c>
      <c r="I17" s="3">
        <v>586.2</v>
      </c>
      <c r="J17" s="3">
        <v>545.4</v>
      </c>
      <c r="K17" s="3">
        <v>541.0</v>
      </c>
      <c r="L17" s="3">
        <v>112.7</v>
      </c>
      <c r="M17" s="3">
        <v>91.2</v>
      </c>
      <c r="N17" s="3">
        <v>0.0</v>
      </c>
      <c r="O17" s="3">
        <v>391.6</v>
      </c>
      <c r="P17" s="3">
        <v>0.0</v>
      </c>
      <c r="Q17" s="3">
        <v>86.6</v>
      </c>
      <c r="R17" s="3">
        <v>116.0</v>
      </c>
    </row>
    <row r="18" ht="13.5" customHeight="1">
      <c r="A18" s="10" t="s">
        <v>18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33.3</v>
      </c>
      <c r="Q18" s="3">
        <v>45.2</v>
      </c>
      <c r="R18" s="3">
        <v>0.0</v>
      </c>
    </row>
    <row r="19" ht="13.5" customHeight="1">
      <c r="A19" s="7" t="s">
        <v>19</v>
      </c>
      <c r="B19" s="8">
        <v>181.4</v>
      </c>
      <c r="C19" s="8">
        <v>184.4</v>
      </c>
      <c r="D19" s="8">
        <v>168.8</v>
      </c>
      <c r="E19" s="8">
        <v>154.1</v>
      </c>
      <c r="F19" s="8">
        <v>178.0</v>
      </c>
      <c r="G19" s="8">
        <v>-11.1</v>
      </c>
      <c r="H19" s="8">
        <v>54.8</v>
      </c>
      <c r="I19" s="8">
        <v>234.4</v>
      </c>
      <c r="J19" s="8">
        <v>380.5</v>
      </c>
      <c r="K19" s="8">
        <v>441.0</v>
      </c>
      <c r="L19" s="8">
        <v>579.6</v>
      </c>
      <c r="M19" s="8">
        <v>766.5</v>
      </c>
      <c r="N19" s="9">
        <v>1408.2</v>
      </c>
      <c r="O19" s="8">
        <v>666.8</v>
      </c>
      <c r="P19" s="9">
        <v>1725.5</v>
      </c>
      <c r="Q19" s="9">
        <v>1294.8</v>
      </c>
      <c r="R19" s="9">
        <v>1319.0</v>
      </c>
    </row>
    <row r="20" ht="13.5" customHeight="1">
      <c r="A20" s="10" t="s">
        <v>20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3.5</v>
      </c>
      <c r="R20" s="3">
        <v>0.0</v>
      </c>
    </row>
    <row r="21" ht="13.5" customHeight="1">
      <c r="A21" s="10" t="s">
        <v>21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-53.5</v>
      </c>
      <c r="I21" s="3">
        <v>-1.9</v>
      </c>
      <c r="J21" s="3">
        <v>-0.3</v>
      </c>
      <c r="K21" s="3">
        <v>-0.3</v>
      </c>
      <c r="L21" s="3">
        <v>0.0</v>
      </c>
      <c r="M21" s="3">
        <v>0.4</v>
      </c>
      <c r="N21" s="3">
        <v>0.3</v>
      </c>
      <c r="O21" s="3">
        <v>0.0</v>
      </c>
      <c r="P21" s="3">
        <v>0.0</v>
      </c>
      <c r="Q21" s="3">
        <v>0.0</v>
      </c>
      <c r="R21" s="3">
        <v>0.0</v>
      </c>
    </row>
    <row r="22" ht="13.5" customHeight="1">
      <c r="A22" s="10" t="s">
        <v>22</v>
      </c>
      <c r="B22" s="3">
        <v>-3.5</v>
      </c>
      <c r="C22" s="3">
        <v>1.2</v>
      </c>
      <c r="D22" s="3">
        <v>6.4</v>
      </c>
      <c r="E22" s="3">
        <v>134.0</v>
      </c>
      <c r="F22" s="3">
        <v>106.1</v>
      </c>
      <c r="G22" s="3">
        <v>-174.1</v>
      </c>
      <c r="H22" s="3">
        <v>7.8</v>
      </c>
      <c r="I22" s="3">
        <v>43.9</v>
      </c>
      <c r="J22" s="3">
        <v>5.5</v>
      </c>
      <c r="K22" s="3">
        <v>47.5</v>
      </c>
      <c r="L22" s="3">
        <v>62.0</v>
      </c>
      <c r="M22" s="3">
        <v>9.5</v>
      </c>
      <c r="N22" s="3">
        <v>-490.0</v>
      </c>
      <c r="O22" s="3">
        <v>296.3</v>
      </c>
      <c r="P22" s="3">
        <v>-761.6</v>
      </c>
      <c r="Q22" s="3">
        <v>-196.4</v>
      </c>
      <c r="R22" s="3">
        <v>-14.0</v>
      </c>
    </row>
    <row r="23" ht="13.5" customHeight="1">
      <c r="A23" s="10" t="s">
        <v>23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</row>
    <row r="24" ht="13.5" customHeight="1">
      <c r="A24" s="10" t="s">
        <v>24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</row>
    <row r="25" ht="13.5" customHeight="1">
      <c r="A25" s="10" t="s">
        <v>25</v>
      </c>
      <c r="B25" s="3">
        <v>109.9</v>
      </c>
      <c r="C25" s="3">
        <v>-23.1</v>
      </c>
      <c r="D25" s="3">
        <v>41.5</v>
      </c>
      <c r="E25" s="3">
        <v>-60.8</v>
      </c>
      <c r="F25" s="3">
        <v>23.3</v>
      </c>
      <c r="G25" s="3">
        <v>-105.4</v>
      </c>
      <c r="H25" s="3">
        <v>-113.4</v>
      </c>
      <c r="I25" s="3">
        <v>-34.6</v>
      </c>
      <c r="J25" s="3">
        <v>-0.7</v>
      </c>
      <c r="K25" s="3">
        <v>-19.3</v>
      </c>
      <c r="L25" s="3">
        <v>-12.8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 ht="13.5" customHeight="1">
      <c r="A26" s="10" t="s">
        <v>26</v>
      </c>
      <c r="B26" s="3">
        <v>109.9</v>
      </c>
      <c r="C26" s="3">
        <v>-23.1</v>
      </c>
      <c r="D26" s="3">
        <v>41.5</v>
      </c>
      <c r="E26" s="3">
        <v>-60.8</v>
      </c>
      <c r="F26" s="3">
        <v>23.3</v>
      </c>
      <c r="G26" s="3">
        <v>-105.4</v>
      </c>
      <c r="H26" s="3">
        <v>-113.4</v>
      </c>
      <c r="I26" s="3">
        <v>-34.6</v>
      </c>
      <c r="J26" s="3">
        <v>-0.7</v>
      </c>
      <c r="K26" s="3">
        <v>-19.3</v>
      </c>
      <c r="L26" s="3">
        <v>-12.8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</row>
    <row r="27" ht="13.5" customHeight="1">
      <c r="A27" s="7" t="s">
        <v>27</v>
      </c>
      <c r="B27" s="8">
        <v>287.8</v>
      </c>
      <c r="C27" s="8">
        <v>162.5</v>
      </c>
      <c r="D27" s="8">
        <v>216.7</v>
      </c>
      <c r="E27" s="8">
        <v>227.3</v>
      </c>
      <c r="F27" s="8">
        <v>307.4</v>
      </c>
      <c r="G27" s="8">
        <v>-290.6</v>
      </c>
      <c r="H27" s="8">
        <v>-104.3</v>
      </c>
      <c r="I27" s="8">
        <v>241.8</v>
      </c>
      <c r="J27" s="8">
        <v>385.1</v>
      </c>
      <c r="K27" s="8">
        <v>468.9</v>
      </c>
      <c r="L27" s="8">
        <v>628.9</v>
      </c>
      <c r="M27" s="8">
        <v>776.4</v>
      </c>
      <c r="N27" s="8">
        <v>918.5</v>
      </c>
      <c r="O27" s="8">
        <v>963.1</v>
      </c>
      <c r="P27" s="8">
        <v>963.9</v>
      </c>
      <c r="Q27" s="9">
        <v>1101.9</v>
      </c>
      <c r="R27" s="9">
        <v>1305.0</v>
      </c>
    </row>
    <row r="28" ht="13.5" customHeight="1">
      <c r="A28" s="10" t="s">
        <v>28</v>
      </c>
      <c r="B28" s="3">
        <v>126.6</v>
      </c>
      <c r="C28" s="3">
        <v>135.4</v>
      </c>
      <c r="D28" s="3">
        <v>135.2</v>
      </c>
      <c r="E28" s="3">
        <v>100.0</v>
      </c>
      <c r="F28" s="3">
        <v>121.0</v>
      </c>
      <c r="G28" s="3">
        <v>206.9</v>
      </c>
      <c r="H28" s="3">
        <v>267.3</v>
      </c>
      <c r="I28" s="3">
        <v>259.7</v>
      </c>
      <c r="J28" s="3">
        <v>219.5</v>
      </c>
      <c r="K28" s="3">
        <v>214.4</v>
      </c>
      <c r="L28" s="3">
        <v>254.3</v>
      </c>
      <c r="M28" s="3">
        <v>245.0</v>
      </c>
      <c r="N28" s="3">
        <v>230.6</v>
      </c>
      <c r="O28" s="3">
        <v>237.0</v>
      </c>
      <c r="P28" s="3">
        <v>248.0</v>
      </c>
      <c r="Q28" s="3">
        <v>335.1</v>
      </c>
      <c r="R28" s="3">
        <v>330.0</v>
      </c>
    </row>
    <row r="29" ht="13.5" customHeight="1">
      <c r="A29" s="7" t="s">
        <v>29</v>
      </c>
      <c r="B29" s="8">
        <v>161.2</v>
      </c>
      <c r="C29" s="8">
        <v>27.1</v>
      </c>
      <c r="D29" s="8">
        <v>81.5</v>
      </c>
      <c r="E29" s="8">
        <v>127.3</v>
      </c>
      <c r="F29" s="8">
        <v>186.4</v>
      </c>
      <c r="G29" s="8">
        <v>-497.6</v>
      </c>
      <c r="H29" s="8">
        <v>-371.6</v>
      </c>
      <c r="I29" s="8">
        <v>-17.9</v>
      </c>
      <c r="J29" s="8">
        <v>165.6</v>
      </c>
      <c r="K29" s="8">
        <v>254.5</v>
      </c>
      <c r="L29" s="8">
        <v>374.6</v>
      </c>
      <c r="M29" s="8">
        <v>531.4</v>
      </c>
      <c r="N29" s="8">
        <v>687.9</v>
      </c>
      <c r="O29" s="8">
        <v>726.0</v>
      </c>
      <c r="P29" s="8">
        <v>715.9</v>
      </c>
      <c r="Q29" s="8">
        <v>766.9</v>
      </c>
      <c r="R29" s="8">
        <v>975.0</v>
      </c>
    </row>
    <row r="30" ht="13.5" customHeight="1">
      <c r="A30" s="10" t="s">
        <v>30</v>
      </c>
      <c r="B30" s="3">
        <v>75.7</v>
      </c>
      <c r="C30" s="3">
        <v>26.8</v>
      </c>
      <c r="D30" s="3">
        <v>71.4</v>
      </c>
      <c r="E30" s="3">
        <v>81.2</v>
      </c>
      <c r="F30" s="3">
        <v>71.4</v>
      </c>
      <c r="G30" s="3">
        <v>-349.4</v>
      </c>
      <c r="H30" s="3">
        <v>-83.3</v>
      </c>
      <c r="I30" s="3">
        <v>29.9</v>
      </c>
      <c r="J30" s="3">
        <v>74.7</v>
      </c>
      <c r="K30" s="3">
        <v>93.9</v>
      </c>
      <c r="L30" s="3">
        <v>-83.7</v>
      </c>
      <c r="M30" s="3">
        <v>142.9</v>
      </c>
      <c r="N30" s="3">
        <v>16.4</v>
      </c>
      <c r="O30" s="3">
        <v>190.8</v>
      </c>
      <c r="P30" s="3">
        <v>183.1</v>
      </c>
      <c r="Q30" s="3">
        <v>204.8</v>
      </c>
      <c r="R30" s="3">
        <v>214.0</v>
      </c>
    </row>
    <row r="31" ht="13.5" customHeight="1">
      <c r="A31" s="10" t="s">
        <v>31</v>
      </c>
      <c r="B31" s="3">
        <v>0.0</v>
      </c>
      <c r="C31" s="3">
        <v>0.0</v>
      </c>
      <c r="D31" s="3">
        <v>-3.4</v>
      </c>
      <c r="E31" s="3">
        <v>0.0</v>
      </c>
      <c r="F31" s="3">
        <v>-3.5</v>
      </c>
      <c r="G31" s="3">
        <v>-0.7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19.1</v>
      </c>
      <c r="R31" s="3">
        <v>33.0</v>
      </c>
    </row>
    <row r="32" ht="13.5" customHeight="1">
      <c r="A32" s="10" t="s">
        <v>32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</row>
    <row r="33" ht="13.5" customHeight="1">
      <c r="A33" s="10" t="s">
        <v>33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-426.3</v>
      </c>
      <c r="H33" s="3">
        <v>-318.1</v>
      </c>
      <c r="I33" s="3">
        <v>-16.0</v>
      </c>
      <c r="J33" s="3">
        <v>166.0</v>
      </c>
      <c r="K33" s="3">
        <v>254.7</v>
      </c>
      <c r="L33" s="3">
        <v>374.5</v>
      </c>
      <c r="M33" s="3">
        <v>531.0</v>
      </c>
      <c r="N33" s="3">
        <v>687.6</v>
      </c>
      <c r="O33" s="3">
        <v>726.1</v>
      </c>
      <c r="P33" s="3">
        <v>727.1</v>
      </c>
      <c r="Q33" s="3">
        <v>752.7</v>
      </c>
      <c r="R33" s="3">
        <v>975.0</v>
      </c>
    </row>
    <row r="34" ht="13.5" customHeight="1">
      <c r="A34" s="10" t="s">
        <v>34</v>
      </c>
      <c r="B34" s="3">
        <v>85.5</v>
      </c>
      <c r="C34" s="3">
        <v>0.2</v>
      </c>
      <c r="D34" s="3">
        <v>13.5</v>
      </c>
      <c r="E34" s="3">
        <v>46.1</v>
      </c>
      <c r="F34" s="3">
        <v>118.5</v>
      </c>
      <c r="G34" s="3">
        <v>-147.4</v>
      </c>
      <c r="H34" s="3">
        <v>-288.3</v>
      </c>
      <c r="I34" s="3">
        <v>-47.8</v>
      </c>
      <c r="J34" s="3">
        <v>90.9</v>
      </c>
      <c r="K34" s="3">
        <v>160.6</v>
      </c>
      <c r="L34" s="3">
        <v>458.3</v>
      </c>
      <c r="M34" s="3">
        <v>388.5</v>
      </c>
      <c r="N34" s="3">
        <v>671.6</v>
      </c>
      <c r="O34" s="3">
        <v>535.2</v>
      </c>
      <c r="P34" s="3">
        <v>532.7</v>
      </c>
      <c r="Q34" s="3">
        <v>562.1</v>
      </c>
      <c r="R34" s="3">
        <v>761.0</v>
      </c>
    </row>
    <row r="35" ht="13.5" customHeight="1">
      <c r="A35" s="10" t="s">
        <v>35</v>
      </c>
      <c r="B35" s="3">
        <v>-17.6</v>
      </c>
      <c r="C35" s="3">
        <v>-26.8</v>
      </c>
      <c r="D35" s="3">
        <v>0.0</v>
      </c>
      <c r="E35" s="3">
        <v>-0.3</v>
      </c>
      <c r="F35" s="3">
        <v>-0.2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-89.3</v>
      </c>
      <c r="R35" s="3">
        <v>0.0</v>
      </c>
    </row>
    <row r="36" ht="13.5" customHeight="1">
      <c r="A36" s="7" t="s">
        <v>36</v>
      </c>
      <c r="B36" s="8">
        <v>67.9</v>
      </c>
      <c r="C36" s="8">
        <v>-26.6</v>
      </c>
      <c r="D36" s="8">
        <v>13.5</v>
      </c>
      <c r="E36" s="8">
        <v>45.8</v>
      </c>
      <c r="F36" s="8">
        <v>118.3</v>
      </c>
      <c r="G36" s="8">
        <v>-147.4</v>
      </c>
      <c r="H36" s="8">
        <v>-288.3</v>
      </c>
      <c r="I36" s="8">
        <v>-47.8</v>
      </c>
      <c r="J36" s="8">
        <v>90.9</v>
      </c>
      <c r="K36" s="8">
        <v>160.6</v>
      </c>
      <c r="L36" s="8">
        <v>458.3</v>
      </c>
      <c r="M36" s="8">
        <v>388.5</v>
      </c>
      <c r="N36" s="8">
        <v>671.6</v>
      </c>
      <c r="O36" s="8">
        <v>535.2</v>
      </c>
      <c r="P36" s="8">
        <v>532.7</v>
      </c>
      <c r="Q36" s="8">
        <v>472.8</v>
      </c>
      <c r="R36" s="8">
        <v>761.0</v>
      </c>
    </row>
    <row r="37" ht="13.5" customHeight="1">
      <c r="A37" s="10" t="s">
        <v>37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</row>
    <row r="38" ht="13.5" customHeight="1">
      <c r="A38" s="10" t="s">
        <v>38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</row>
    <row r="39" ht="13.5" customHeight="1">
      <c r="A39" s="10" t="s">
        <v>39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</row>
    <row r="40" ht="13.5" customHeight="1">
      <c r="A40" s="10" t="s">
        <v>40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</row>
    <row r="41" ht="13.5" customHeight="1">
      <c r="A41" s="7" t="s">
        <v>41</v>
      </c>
      <c r="B41" s="8">
        <v>67.9</v>
      </c>
      <c r="C41" s="8">
        <v>-26.6</v>
      </c>
      <c r="D41" s="8">
        <v>13.5</v>
      </c>
      <c r="E41" s="8">
        <v>45.8</v>
      </c>
      <c r="F41" s="8">
        <v>118.3</v>
      </c>
      <c r="G41" s="8">
        <v>-147.4</v>
      </c>
      <c r="H41" s="8">
        <v>-288.3</v>
      </c>
      <c r="I41" s="8">
        <v>-47.8</v>
      </c>
      <c r="J41" s="8">
        <v>90.9</v>
      </c>
      <c r="K41" s="8">
        <v>160.6</v>
      </c>
      <c r="L41" s="8">
        <v>458.3</v>
      </c>
      <c r="M41" s="8">
        <v>388.5</v>
      </c>
      <c r="N41" s="8">
        <v>671.6</v>
      </c>
      <c r="O41" s="8">
        <v>535.2</v>
      </c>
      <c r="P41" s="8">
        <v>532.7</v>
      </c>
      <c r="Q41" s="8">
        <v>453.7</v>
      </c>
      <c r="R41" s="8">
        <v>728.0</v>
      </c>
    </row>
    <row r="42" ht="13.5" customHeight="1">
      <c r="A42" s="10" t="s">
        <v>42</v>
      </c>
      <c r="B42" s="3">
        <v>-24.4</v>
      </c>
      <c r="C42" s="3">
        <v>23.3</v>
      </c>
      <c r="D42" s="3">
        <v>-28.0</v>
      </c>
      <c r="E42" s="3">
        <v>106.9</v>
      </c>
      <c r="F42" s="3">
        <v>95.2</v>
      </c>
      <c r="G42" s="3">
        <v>-42.0</v>
      </c>
      <c r="H42" s="3">
        <v>-174.9</v>
      </c>
      <c r="I42" s="3">
        <v>-13.2</v>
      </c>
      <c r="J42" s="3">
        <v>91.6</v>
      </c>
      <c r="K42" s="3">
        <v>179.9</v>
      </c>
      <c r="L42" s="3">
        <v>471.0</v>
      </c>
      <c r="M42" s="3">
        <v>388.5</v>
      </c>
      <c r="N42" s="3">
        <v>671.6</v>
      </c>
      <c r="O42" s="3">
        <v>535.2</v>
      </c>
      <c r="P42" s="3">
        <v>532.7</v>
      </c>
      <c r="Q42" s="3">
        <v>562.1</v>
      </c>
      <c r="R42" s="3">
        <v>761.0</v>
      </c>
    </row>
    <row r="43" ht="13.5" customHeight="1">
      <c r="A43" s="10" t="s">
        <v>43</v>
      </c>
      <c r="B43" s="3">
        <v>85.5</v>
      </c>
      <c r="C43" s="3">
        <v>0.2</v>
      </c>
      <c r="D43" s="3">
        <v>13.5</v>
      </c>
      <c r="E43" s="3">
        <v>21.2</v>
      </c>
      <c r="F43" s="3">
        <v>80.0</v>
      </c>
      <c r="G43" s="3">
        <v>-147.4</v>
      </c>
      <c r="H43" s="3">
        <v>-330.6</v>
      </c>
      <c r="I43" s="3">
        <v>-47.8</v>
      </c>
      <c r="J43" s="3">
        <v>90.9</v>
      </c>
      <c r="K43" s="3">
        <v>160.6</v>
      </c>
      <c r="L43" s="3">
        <v>458.3</v>
      </c>
      <c r="M43" s="3">
        <v>388.5</v>
      </c>
      <c r="N43" s="3">
        <v>671.6</v>
      </c>
      <c r="O43" s="3">
        <v>535.2</v>
      </c>
      <c r="P43" s="3">
        <v>532.7</v>
      </c>
      <c r="Q43" s="3">
        <v>562.1</v>
      </c>
      <c r="R43" s="3">
        <v>761.0</v>
      </c>
    </row>
    <row r="44" ht="13.5" customHeight="1">
      <c r="A44" s="10" t="s">
        <v>44</v>
      </c>
      <c r="B44" s="3">
        <v>0.0</v>
      </c>
      <c r="C44" s="3">
        <v>0.0</v>
      </c>
      <c r="D44" s="3">
        <v>0.0</v>
      </c>
      <c r="E44" s="3">
        <v>24.9</v>
      </c>
      <c r="F44" s="3">
        <v>38.5</v>
      </c>
      <c r="G44" s="3">
        <v>0.0</v>
      </c>
      <c r="H44" s="3">
        <v>42.3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</row>
    <row r="45" ht="13.5" customHeight="1">
      <c r="A45" s="10" t="s">
        <v>45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</row>
    <row r="46" ht="13.5" customHeight="1">
      <c r="A46" s="10" t="s">
        <v>46</v>
      </c>
      <c r="B46" s="3">
        <v>0.29</v>
      </c>
      <c r="C46" s="3">
        <v>0.01</v>
      </c>
      <c r="D46" s="3">
        <v>-0.01</v>
      </c>
      <c r="E46" s="3">
        <v>0.06</v>
      </c>
      <c r="F46" s="3">
        <v>0.23</v>
      </c>
      <c r="G46" s="3">
        <v>-0.43</v>
      </c>
      <c r="H46" s="3">
        <v>-0.72</v>
      </c>
      <c r="I46" s="3">
        <v>-0.19</v>
      </c>
      <c r="J46" s="3">
        <v>0.11</v>
      </c>
      <c r="K46" s="3">
        <v>0.32</v>
      </c>
      <c r="L46" s="3">
        <v>1.06</v>
      </c>
      <c r="M46" s="3">
        <v>0.9</v>
      </c>
      <c r="N46" s="3">
        <v>0.31</v>
      </c>
      <c r="O46" s="3">
        <v>1.25</v>
      </c>
      <c r="P46" s="3">
        <v>1.23</v>
      </c>
      <c r="Q46" s="3">
        <v>1.24</v>
      </c>
      <c r="R46" s="3">
        <v>1.62</v>
      </c>
    </row>
    <row r="47" ht="13.5" customHeight="1">
      <c r="A47" s="10" t="s">
        <v>47</v>
      </c>
      <c r="B47" s="3">
        <v>-0.07</v>
      </c>
      <c r="C47" s="3">
        <v>0.06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-0.21</v>
      </c>
      <c r="R47" s="3">
        <v>0.0</v>
      </c>
    </row>
    <row r="48" ht="13.5" customHeight="1">
      <c r="A48" s="7" t="s">
        <v>48</v>
      </c>
      <c r="B48" s="8">
        <v>0.22</v>
      </c>
      <c r="C48" s="8">
        <v>0.07</v>
      </c>
      <c r="D48" s="8">
        <v>-0.01</v>
      </c>
      <c r="E48" s="8">
        <v>0.06</v>
      </c>
      <c r="F48" s="8">
        <v>0.23</v>
      </c>
      <c r="G48" s="8">
        <v>-0.43</v>
      </c>
      <c r="H48" s="8">
        <v>-0.72</v>
      </c>
      <c r="I48" s="8">
        <v>-0.19</v>
      </c>
      <c r="J48" s="8">
        <v>0.11</v>
      </c>
      <c r="K48" s="8">
        <v>0.32</v>
      </c>
      <c r="L48" s="8">
        <v>1.06</v>
      </c>
      <c r="M48" s="8">
        <v>0.9</v>
      </c>
      <c r="N48" s="8">
        <v>0.31</v>
      </c>
      <c r="O48" s="8">
        <v>1.25</v>
      </c>
      <c r="P48" s="8">
        <v>1.23</v>
      </c>
      <c r="Q48" s="8">
        <v>1.03</v>
      </c>
      <c r="R48" s="8">
        <v>1.62</v>
      </c>
    </row>
    <row r="49" ht="13.5" customHeight="1">
      <c r="A49" s="10" t="s">
        <v>49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</row>
    <row r="50" ht="13.5" customHeight="1">
      <c r="A50" s="10" t="s">
        <v>50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</row>
    <row r="51" ht="13.5" customHeight="1">
      <c r="A51" s="10" t="s">
        <v>51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</row>
    <row r="52" ht="13.5" customHeight="1">
      <c r="A52" s="10" t="s">
        <v>52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</row>
    <row r="53" ht="13.5" customHeight="1">
      <c r="A53" s="7" t="s">
        <v>53</v>
      </c>
      <c r="B53" s="8">
        <v>0.22</v>
      </c>
      <c r="C53" s="8">
        <v>0.07</v>
      </c>
      <c r="D53" s="8">
        <v>-0.01</v>
      </c>
      <c r="E53" s="8">
        <v>0.06</v>
      </c>
      <c r="F53" s="8">
        <v>0.23</v>
      </c>
      <c r="G53" s="8">
        <v>-0.43</v>
      </c>
      <c r="H53" s="8">
        <v>-0.72</v>
      </c>
      <c r="I53" s="8">
        <v>-0.19</v>
      </c>
      <c r="J53" s="8">
        <v>0.11</v>
      </c>
      <c r="K53" s="8">
        <v>0.32</v>
      </c>
      <c r="L53" s="8">
        <v>1.06</v>
      </c>
      <c r="M53" s="8">
        <v>0.9</v>
      </c>
      <c r="N53" s="8">
        <v>0.31</v>
      </c>
      <c r="O53" s="8">
        <v>1.25</v>
      </c>
      <c r="P53" s="8">
        <v>1.23</v>
      </c>
      <c r="Q53" s="8">
        <v>1.03</v>
      </c>
      <c r="R53" s="8">
        <v>1.62</v>
      </c>
    </row>
    <row r="54" ht="13.5" customHeight="1">
      <c r="A54" s="7" t="s">
        <v>54</v>
      </c>
      <c r="B54" s="8">
        <v>-0.08</v>
      </c>
      <c r="C54" s="8">
        <v>0.58</v>
      </c>
      <c r="D54" s="8">
        <v>0.0</v>
      </c>
      <c r="E54" s="8">
        <v>0.14</v>
      </c>
      <c r="F54" s="8">
        <v>0.18</v>
      </c>
      <c r="G54" s="8">
        <v>-0.12</v>
      </c>
      <c r="H54" s="8">
        <v>-0.43</v>
      </c>
      <c r="I54" s="8">
        <v>-0.05</v>
      </c>
      <c r="J54" s="8">
        <v>0.11</v>
      </c>
      <c r="K54" s="8">
        <v>0.36</v>
      </c>
      <c r="L54" s="8">
        <v>1.08</v>
      </c>
      <c r="M54" s="8">
        <v>0.9</v>
      </c>
      <c r="N54" s="8">
        <v>0.31</v>
      </c>
      <c r="O54" s="8">
        <v>1.25</v>
      </c>
      <c r="P54" s="8">
        <v>1.23</v>
      </c>
      <c r="Q54" s="8">
        <v>1.24</v>
      </c>
      <c r="R54" s="8">
        <v>1.62</v>
      </c>
    </row>
    <row r="55" ht="13.5" customHeight="1">
      <c r="A55" s="10" t="s">
        <v>55</v>
      </c>
      <c r="B55" s="3">
        <v>0.29</v>
      </c>
      <c r="C55" s="3">
        <v>0.01</v>
      </c>
      <c r="D55" s="3">
        <v>-0.01</v>
      </c>
      <c r="E55" s="3">
        <v>0.06</v>
      </c>
      <c r="F55" s="3">
        <v>0.23</v>
      </c>
      <c r="G55" s="3">
        <v>-0.43</v>
      </c>
      <c r="H55" s="3">
        <v>-0.72</v>
      </c>
      <c r="I55" s="3">
        <v>-0.19</v>
      </c>
      <c r="J55" s="3">
        <v>0.11</v>
      </c>
      <c r="K55" s="3">
        <v>0.32</v>
      </c>
      <c r="L55" s="3">
        <v>1.05</v>
      </c>
      <c r="M55" s="3">
        <v>0.89</v>
      </c>
      <c r="N55" s="3">
        <v>0.31</v>
      </c>
      <c r="O55" s="3">
        <v>1.24</v>
      </c>
      <c r="P55" s="3">
        <v>1.23</v>
      </c>
      <c r="Q55" s="3">
        <v>1.24</v>
      </c>
      <c r="R55" s="3">
        <v>1.61</v>
      </c>
    </row>
    <row r="56" ht="13.5" customHeight="1">
      <c r="A56" s="10" t="s">
        <v>56</v>
      </c>
      <c r="B56" s="3">
        <v>-0.07</v>
      </c>
      <c r="C56" s="3">
        <v>0.06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-0.21</v>
      </c>
      <c r="R56" s="3">
        <v>0.0</v>
      </c>
    </row>
    <row r="57" ht="13.5" customHeight="1">
      <c r="A57" s="7" t="s">
        <v>57</v>
      </c>
      <c r="B57" s="8">
        <v>0.22</v>
      </c>
      <c r="C57" s="8">
        <v>0.07</v>
      </c>
      <c r="D57" s="8">
        <v>-0.01</v>
      </c>
      <c r="E57" s="8">
        <v>0.06</v>
      </c>
      <c r="F57" s="8">
        <v>0.23</v>
      </c>
      <c r="G57" s="8">
        <v>-0.43</v>
      </c>
      <c r="H57" s="8">
        <v>-0.72</v>
      </c>
      <c r="I57" s="8">
        <v>-0.19</v>
      </c>
      <c r="J57" s="8">
        <v>0.11</v>
      </c>
      <c r="K57" s="8">
        <v>0.32</v>
      </c>
      <c r="L57" s="8">
        <v>1.05</v>
      </c>
      <c r="M57" s="8">
        <v>0.89</v>
      </c>
      <c r="N57" s="8">
        <v>0.31</v>
      </c>
      <c r="O57" s="8">
        <v>1.24</v>
      </c>
      <c r="P57" s="8">
        <v>1.23</v>
      </c>
      <c r="Q57" s="8">
        <v>1.03</v>
      </c>
      <c r="R57" s="8">
        <v>1.61</v>
      </c>
    </row>
    <row r="58" ht="13.5" customHeight="1">
      <c r="A58" s="10" t="s">
        <v>58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</row>
    <row r="59" ht="13.5" customHeight="1">
      <c r="A59" s="10" t="s">
        <v>59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</row>
    <row r="60" ht="13.5" customHeight="1">
      <c r="A60" s="10" t="s">
        <v>60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</row>
    <row r="61" ht="13.5" customHeight="1">
      <c r="A61" s="10" t="s">
        <v>61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</row>
    <row r="62" ht="13.5" customHeight="1">
      <c r="A62" s="7" t="s">
        <v>62</v>
      </c>
      <c r="B62" s="8">
        <v>0.22</v>
      </c>
      <c r="C62" s="8">
        <v>0.07</v>
      </c>
      <c r="D62" s="8">
        <v>-0.01</v>
      </c>
      <c r="E62" s="8">
        <v>0.06</v>
      </c>
      <c r="F62" s="8">
        <v>0.23</v>
      </c>
      <c r="G62" s="8">
        <v>-0.43</v>
      </c>
      <c r="H62" s="8">
        <v>-0.72</v>
      </c>
      <c r="I62" s="8">
        <v>-0.19</v>
      </c>
      <c r="J62" s="8">
        <v>0.11</v>
      </c>
      <c r="K62" s="8">
        <v>0.32</v>
      </c>
      <c r="L62" s="8">
        <v>1.05</v>
      </c>
      <c r="M62" s="8">
        <v>0.89</v>
      </c>
      <c r="N62" s="8">
        <v>0.31</v>
      </c>
      <c r="O62" s="8">
        <v>1.24</v>
      </c>
      <c r="P62" s="8">
        <v>1.23</v>
      </c>
      <c r="Q62" s="8">
        <v>1.03</v>
      </c>
      <c r="R62" s="8">
        <v>1.61</v>
      </c>
    </row>
    <row r="63" ht="13.5" customHeight="1">
      <c r="A63" s="7" t="s">
        <v>63</v>
      </c>
      <c r="B63" s="8">
        <v>-0.08</v>
      </c>
      <c r="C63" s="8">
        <v>0.58</v>
      </c>
      <c r="D63" s="8">
        <v>0.0</v>
      </c>
      <c r="E63" s="8">
        <v>0.14</v>
      </c>
      <c r="F63" s="8">
        <v>0.18</v>
      </c>
      <c r="G63" s="8">
        <v>-0.12</v>
      </c>
      <c r="H63" s="8">
        <v>-0.43</v>
      </c>
      <c r="I63" s="8">
        <v>-0.05</v>
      </c>
      <c r="J63" s="8">
        <v>0.11</v>
      </c>
      <c r="K63" s="8">
        <v>0.36</v>
      </c>
      <c r="L63" s="8">
        <v>1.07</v>
      </c>
      <c r="M63" s="8">
        <v>0.89</v>
      </c>
      <c r="N63" s="8">
        <v>0.31</v>
      </c>
      <c r="O63" s="8">
        <v>1.24</v>
      </c>
      <c r="P63" s="8">
        <v>1.23</v>
      </c>
      <c r="Q63" s="8">
        <v>1.24</v>
      </c>
      <c r="R63" s="8">
        <v>1.61</v>
      </c>
    </row>
    <row r="64" ht="13.5" customHeight="1">
      <c r="A64" s="7" t="s">
        <v>64</v>
      </c>
      <c r="B64" s="8">
        <v>0.02</v>
      </c>
      <c r="C64" s="8">
        <v>0.02</v>
      </c>
      <c r="D64" s="8">
        <v>0.02</v>
      </c>
      <c r="E64" s="8">
        <v>0.0</v>
      </c>
      <c r="F64" s="8">
        <v>0.0</v>
      </c>
      <c r="G64" s="8">
        <v>0.03</v>
      </c>
      <c r="H64" s="8">
        <v>0.03</v>
      </c>
      <c r="I64" s="8">
        <v>0.03</v>
      </c>
      <c r="J64" s="8">
        <v>0.08</v>
      </c>
      <c r="K64" s="8">
        <v>0.19</v>
      </c>
      <c r="L64" s="8">
        <v>0.24</v>
      </c>
      <c r="M64" s="8">
        <v>0.88</v>
      </c>
      <c r="N64" s="8">
        <v>0.71</v>
      </c>
      <c r="O64" s="8">
        <v>0.82</v>
      </c>
      <c r="P64" s="8">
        <v>0.86</v>
      </c>
      <c r="Q64" s="8">
        <v>0.9</v>
      </c>
      <c r="R64" s="8">
        <v>1.02</v>
      </c>
    </row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">
    <mergeCell ref="A2:F2"/>
    <mergeCell ref="G2:K2"/>
    <mergeCell ref="L2:P2"/>
    <mergeCell ref="Q2:R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7.88"/>
    <col customWidth="1" min="2" max="26" width="7.63"/>
  </cols>
  <sheetData>
    <row r="1" ht="13.5" customHeight="1">
      <c r="A1" s="1" t="s">
        <v>65</v>
      </c>
      <c r="B1" s="3">
        <v>1996.0</v>
      </c>
      <c r="C1" s="3">
        <v>1997.0</v>
      </c>
      <c r="D1" s="3">
        <v>1998.0</v>
      </c>
      <c r="E1" s="3">
        <v>1999.0</v>
      </c>
      <c r="F1" s="3">
        <v>2000.0</v>
      </c>
      <c r="G1" s="3">
        <v>2001.0</v>
      </c>
      <c r="H1" s="3">
        <v>2002.0</v>
      </c>
      <c r="I1" s="3">
        <v>2003.0</v>
      </c>
      <c r="J1" s="3">
        <v>2004.0</v>
      </c>
      <c r="K1" s="3">
        <v>2005.0</v>
      </c>
      <c r="L1" s="3">
        <v>2006.0</v>
      </c>
      <c r="M1" s="3">
        <v>2007.0</v>
      </c>
      <c r="N1" s="3">
        <v>2008.0</v>
      </c>
      <c r="O1" s="3">
        <v>2009.0</v>
      </c>
      <c r="P1" s="3">
        <v>2010.0</v>
      </c>
      <c r="Q1" s="3">
        <v>2011.0</v>
      </c>
      <c r="R1" s="3">
        <v>2012.0</v>
      </c>
    </row>
    <row r="2" ht="13.5" customHeight="1">
      <c r="A2" s="12" t="s">
        <v>66</v>
      </c>
      <c r="B2" s="12"/>
      <c r="C2" s="12"/>
      <c r="D2" s="12"/>
      <c r="E2" s="12"/>
      <c r="F2" s="12"/>
      <c r="G2" s="4"/>
      <c r="H2" s="5"/>
      <c r="I2" s="5"/>
      <c r="J2" s="5"/>
      <c r="K2" s="6"/>
      <c r="L2" s="4"/>
      <c r="M2" s="5"/>
      <c r="N2" s="5"/>
      <c r="O2" s="5"/>
      <c r="P2" s="6"/>
      <c r="Q2" s="4"/>
      <c r="R2" s="6"/>
    </row>
    <row r="3" ht="13.5" customHeight="1">
      <c r="A3" s="13" t="s">
        <v>67</v>
      </c>
      <c r="B3" s="5"/>
      <c r="C3" s="5"/>
      <c r="D3" s="5"/>
      <c r="E3" s="5"/>
      <c r="F3" s="6"/>
      <c r="G3" s="13"/>
      <c r="H3" s="5"/>
      <c r="I3" s="5"/>
      <c r="J3" s="5"/>
      <c r="K3" s="6"/>
      <c r="L3" s="13"/>
      <c r="M3" s="5"/>
      <c r="N3" s="5"/>
      <c r="O3" s="5"/>
      <c r="P3" s="6"/>
      <c r="Q3" s="13"/>
      <c r="R3" s="6"/>
    </row>
    <row r="4" ht="13.5" customHeight="1">
      <c r="A4" s="10" t="s">
        <v>68</v>
      </c>
      <c r="B4" s="3">
        <v>67.9</v>
      </c>
      <c r="C4" s="3">
        <v>-26.6</v>
      </c>
      <c r="D4" s="3">
        <v>13.5</v>
      </c>
      <c r="E4" s="3">
        <v>45.8</v>
      </c>
      <c r="F4" s="3">
        <v>118.3</v>
      </c>
      <c r="G4" s="3">
        <v>-147.4</v>
      </c>
      <c r="H4" s="3">
        <v>-288.3</v>
      </c>
      <c r="I4" s="3">
        <v>-47.8</v>
      </c>
      <c r="J4" s="3">
        <v>90.9</v>
      </c>
      <c r="K4" s="3">
        <v>160.6</v>
      </c>
      <c r="L4" s="3">
        <v>458.3</v>
      </c>
      <c r="M4" s="3">
        <v>388.5</v>
      </c>
      <c r="N4" s="3">
        <v>671.6</v>
      </c>
      <c r="O4" s="3">
        <v>535.2</v>
      </c>
      <c r="P4" s="3">
        <v>532.7</v>
      </c>
      <c r="Q4" s="3">
        <v>562.1</v>
      </c>
      <c r="R4" s="3">
        <v>761.0</v>
      </c>
    </row>
    <row r="5" ht="13.5" customHeight="1">
      <c r="A5" s="10" t="s">
        <v>15</v>
      </c>
      <c r="B5" s="3">
        <v>85.7</v>
      </c>
      <c r="C5" s="3">
        <v>117.8</v>
      </c>
      <c r="D5" s="3">
        <v>161.1</v>
      </c>
      <c r="E5" s="3">
        <v>159.1</v>
      </c>
      <c r="F5" s="3">
        <v>219.6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385.6</v>
      </c>
      <c r="M5" s="3">
        <v>381.9</v>
      </c>
      <c r="N5" s="3">
        <v>414.7</v>
      </c>
      <c r="O5" s="3">
        <v>480.6</v>
      </c>
      <c r="P5" s="3">
        <v>526.4</v>
      </c>
      <c r="Q5" s="3">
        <v>604.2</v>
      </c>
      <c r="R5" s="3">
        <v>0.0</v>
      </c>
    </row>
    <row r="6" ht="13.5" customHeight="1">
      <c r="A6" s="10" t="s">
        <v>17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471.4</v>
      </c>
      <c r="H6" s="3">
        <v>577.9</v>
      </c>
      <c r="I6" s="3">
        <v>586.2</v>
      </c>
      <c r="J6" s="3">
        <v>545.4</v>
      </c>
      <c r="K6" s="3">
        <v>541.0</v>
      </c>
      <c r="L6" s="3">
        <v>112.7</v>
      </c>
      <c r="M6" s="3">
        <v>91.2</v>
      </c>
      <c r="N6" s="3">
        <v>94.0</v>
      </c>
      <c r="O6" s="3">
        <v>106.6</v>
      </c>
      <c r="P6" s="3">
        <v>133.8</v>
      </c>
      <c r="Q6" s="3">
        <v>4.3</v>
      </c>
      <c r="R6" s="3">
        <v>813.0</v>
      </c>
    </row>
    <row r="7" ht="13.5" customHeight="1">
      <c r="A7" s="10" t="s">
        <v>18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45.2</v>
      </c>
      <c r="R7" s="3">
        <v>0.0</v>
      </c>
    </row>
    <row r="8" ht="13.5" customHeight="1">
      <c r="A8" s="10" t="s">
        <v>69</v>
      </c>
      <c r="B8" s="3">
        <v>61.6</v>
      </c>
      <c r="C8" s="3">
        <v>11.5</v>
      </c>
      <c r="D8" s="3">
        <v>55.1</v>
      </c>
      <c r="E8" s="3">
        <v>61.6</v>
      </c>
      <c r="F8" s="3">
        <v>37.0</v>
      </c>
      <c r="G8" s="3">
        <v>-387.8</v>
      </c>
      <c r="H8" s="3">
        <v>-120.7</v>
      </c>
      <c r="I8" s="3">
        <v>-5.8</v>
      </c>
      <c r="J8" s="3">
        <v>48.0</v>
      </c>
      <c r="K8" s="3">
        <v>70.9</v>
      </c>
      <c r="L8" s="3">
        <v>-85.5</v>
      </c>
      <c r="M8" s="3">
        <v>142.9</v>
      </c>
      <c r="N8" s="3">
        <v>16.4</v>
      </c>
      <c r="O8" s="3">
        <v>167.5</v>
      </c>
      <c r="P8" s="3">
        <v>15.4</v>
      </c>
      <c r="Q8" s="3">
        <v>-4.8</v>
      </c>
      <c r="R8" s="3">
        <v>-43.0</v>
      </c>
    </row>
    <row r="9" ht="13.5" customHeight="1">
      <c r="A9" s="10" t="s">
        <v>70</v>
      </c>
      <c r="B9" s="3">
        <v>-92.0</v>
      </c>
      <c r="C9" s="3">
        <v>49.1</v>
      </c>
      <c r="D9" s="3">
        <v>-51.2</v>
      </c>
      <c r="E9" s="3">
        <v>-55.7</v>
      </c>
      <c r="F9" s="3">
        <v>-137.1</v>
      </c>
      <c r="G9" s="3">
        <v>274.4</v>
      </c>
      <c r="H9" s="3">
        <v>163.2</v>
      </c>
      <c r="I9" s="3">
        <v>2.2</v>
      </c>
      <c r="J9" s="3">
        <v>10.5</v>
      </c>
      <c r="K9" s="3">
        <v>-9.2</v>
      </c>
      <c r="L9" s="3">
        <v>-39.9</v>
      </c>
      <c r="M9" s="3">
        <v>-2.0</v>
      </c>
      <c r="N9" s="3">
        <v>-0.3</v>
      </c>
      <c r="O9" s="3">
        <v>-17.3</v>
      </c>
      <c r="P9" s="3">
        <v>12.8</v>
      </c>
      <c r="Q9" s="3">
        <v>101.0</v>
      </c>
      <c r="R9" s="3">
        <v>-27.0</v>
      </c>
    </row>
    <row r="10" ht="13.5" customHeight="1">
      <c r="A10" s="10" t="s">
        <v>71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 ht="13.5" customHeight="1">
      <c r="A11" s="10" t="s">
        <v>72</v>
      </c>
      <c r="B11" s="3">
        <v>0.0</v>
      </c>
      <c r="C11" s="3">
        <v>0.0</v>
      </c>
      <c r="D11" s="3">
        <v>-13.4</v>
      </c>
      <c r="E11" s="3">
        <v>-8.0</v>
      </c>
      <c r="F11" s="3">
        <v>9.9</v>
      </c>
      <c r="G11" s="3">
        <v>-69.8</v>
      </c>
      <c r="H11" s="3">
        <v>11.1</v>
      </c>
      <c r="I11" s="3">
        <v>49.9</v>
      </c>
      <c r="J11" s="3">
        <v>24.9</v>
      </c>
      <c r="K11" s="3">
        <v>4.9</v>
      </c>
      <c r="L11" s="3">
        <v>-23.6</v>
      </c>
      <c r="M11" s="3">
        <v>-16.4</v>
      </c>
      <c r="N11" s="3">
        <v>-32.6</v>
      </c>
      <c r="O11" s="3">
        <v>-5.7</v>
      </c>
      <c r="P11" s="3">
        <v>-1.2</v>
      </c>
      <c r="Q11" s="3">
        <v>54.2</v>
      </c>
      <c r="R11" s="3">
        <v>22.0</v>
      </c>
    </row>
    <row r="12" ht="13.5" customHeight="1">
      <c r="A12" s="10" t="s">
        <v>73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-36.8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 ht="13.5" customHeight="1">
      <c r="A13" s="10" t="s">
        <v>74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-9.5</v>
      </c>
      <c r="H13" s="3">
        <v>-3.4</v>
      </c>
      <c r="I13" s="3">
        <v>3.4</v>
      </c>
      <c r="J13" s="3">
        <v>-0.1</v>
      </c>
      <c r="K13" s="3">
        <v>-2.0</v>
      </c>
      <c r="L13" s="3">
        <v>-5.7</v>
      </c>
      <c r="M13" s="3">
        <v>-9.6</v>
      </c>
      <c r="N13" s="3">
        <v>-9.9</v>
      </c>
      <c r="O13" s="3">
        <v>-14.4</v>
      </c>
      <c r="P13" s="3">
        <v>-2.2</v>
      </c>
      <c r="Q13" s="3">
        <v>0.0</v>
      </c>
      <c r="R13" s="3">
        <v>0.0</v>
      </c>
    </row>
    <row r="14" ht="13.5" customHeight="1">
      <c r="A14" s="10" t="s">
        <v>75</v>
      </c>
      <c r="B14" s="3">
        <v>0.0</v>
      </c>
      <c r="C14" s="3">
        <v>0.0</v>
      </c>
      <c r="D14" s="3">
        <v>0.0</v>
      </c>
      <c r="E14" s="3">
        <v>-17.1</v>
      </c>
      <c r="F14" s="3">
        <v>9.6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-13.3</v>
      </c>
      <c r="R14" s="3">
        <v>0.0</v>
      </c>
    </row>
    <row r="15" ht="13.5" customHeight="1">
      <c r="A15" s="10" t="s">
        <v>76</v>
      </c>
      <c r="B15" s="3">
        <v>0.0</v>
      </c>
      <c r="C15" s="3">
        <v>0.0</v>
      </c>
      <c r="D15" s="3">
        <v>-22.6</v>
      </c>
      <c r="E15" s="3">
        <v>26.6</v>
      </c>
      <c r="F15" s="3">
        <v>2.7</v>
      </c>
      <c r="G15" s="3">
        <v>141.4</v>
      </c>
      <c r="H15" s="3">
        <v>-38.7</v>
      </c>
      <c r="I15" s="3">
        <v>-67.1</v>
      </c>
      <c r="J15" s="3">
        <v>1.1</v>
      </c>
      <c r="K15" s="3">
        <v>6.3</v>
      </c>
      <c r="L15" s="3">
        <v>22.3</v>
      </c>
      <c r="M15" s="3">
        <v>-14.4</v>
      </c>
      <c r="N15" s="3">
        <v>54.8</v>
      </c>
      <c r="O15" s="3">
        <v>47.8</v>
      </c>
      <c r="P15" s="3">
        <v>-76.6</v>
      </c>
      <c r="Q15" s="3">
        <v>-53.8</v>
      </c>
      <c r="R15" s="3">
        <v>-37.0</v>
      </c>
    </row>
    <row r="16" ht="13.5" customHeight="1">
      <c r="A16" s="10" t="s">
        <v>77</v>
      </c>
      <c r="B16" s="3">
        <v>0.0</v>
      </c>
      <c r="C16" s="3">
        <v>0.0</v>
      </c>
      <c r="D16" s="3">
        <v>-13.8</v>
      </c>
      <c r="E16" s="3">
        <v>8.3</v>
      </c>
      <c r="F16" s="3">
        <v>-6.9</v>
      </c>
      <c r="G16" s="3">
        <v>17.4</v>
      </c>
      <c r="H16" s="3">
        <v>34.3</v>
      </c>
      <c r="I16" s="3">
        <v>17.5</v>
      </c>
      <c r="J16" s="3">
        <v>10.4</v>
      </c>
      <c r="K16" s="3">
        <v>-2.6</v>
      </c>
      <c r="L16" s="3">
        <v>6.6</v>
      </c>
      <c r="M16" s="3">
        <v>0.0</v>
      </c>
      <c r="N16" s="3">
        <v>0.0</v>
      </c>
      <c r="O16" s="3">
        <v>31.4</v>
      </c>
      <c r="P16" s="3">
        <v>156.7</v>
      </c>
      <c r="Q16" s="3">
        <v>-196.7</v>
      </c>
      <c r="R16" s="3">
        <v>33.0</v>
      </c>
    </row>
    <row r="17" ht="13.5" customHeight="1">
      <c r="A17" s="10" t="s">
        <v>78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12.1</v>
      </c>
      <c r="N17" s="3">
        <v>7.0</v>
      </c>
      <c r="O17" s="3">
        <v>0.0</v>
      </c>
      <c r="P17" s="3">
        <v>5.0</v>
      </c>
      <c r="Q17" s="3">
        <v>8.1</v>
      </c>
      <c r="R17" s="3">
        <v>0.0</v>
      </c>
    </row>
    <row r="18" ht="13.5" customHeight="1">
      <c r="A18" s="10" t="s">
        <v>79</v>
      </c>
      <c r="B18" s="3">
        <v>4.6</v>
      </c>
      <c r="C18" s="3">
        <v>42.3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16.0</v>
      </c>
      <c r="M18" s="3">
        <v>25.9</v>
      </c>
      <c r="N18" s="3">
        <v>26.5</v>
      </c>
      <c r="O18" s="3">
        <v>51.3</v>
      </c>
      <c r="P18" s="3">
        <v>154.3</v>
      </c>
      <c r="Q18" s="3">
        <v>131.2</v>
      </c>
      <c r="R18" s="3">
        <v>-208.0</v>
      </c>
    </row>
    <row r="19" ht="13.5" customHeight="1">
      <c r="A19" s="10" t="s">
        <v>80</v>
      </c>
      <c r="B19" s="3">
        <v>127.8</v>
      </c>
      <c r="C19" s="3">
        <v>194.1</v>
      </c>
      <c r="D19" s="3">
        <v>128.7</v>
      </c>
      <c r="E19" s="3">
        <v>220.6</v>
      </c>
      <c r="F19" s="3">
        <v>253.1</v>
      </c>
      <c r="G19" s="3">
        <v>253.2</v>
      </c>
      <c r="H19" s="3">
        <v>335.4</v>
      </c>
      <c r="I19" s="3">
        <v>538.4</v>
      </c>
      <c r="J19" s="3">
        <v>731.0</v>
      </c>
      <c r="K19" s="3">
        <v>769.9</v>
      </c>
      <c r="L19" s="3">
        <v>846.9</v>
      </c>
      <c r="M19" s="11">
        <v>1000.0</v>
      </c>
      <c r="N19" s="11">
        <v>1242.2</v>
      </c>
      <c r="O19" s="11">
        <v>1382.9</v>
      </c>
      <c r="P19" s="11">
        <v>1457.2</v>
      </c>
      <c r="Q19" s="11">
        <v>1241.7</v>
      </c>
      <c r="R19" s="11">
        <v>1314.0</v>
      </c>
    </row>
    <row r="20" ht="13.5" customHeight="1">
      <c r="A20" s="10" t="s">
        <v>81</v>
      </c>
      <c r="B20" s="3">
        <v>-24.1</v>
      </c>
      <c r="C20" s="3">
        <v>0.0</v>
      </c>
      <c r="D20" s="3">
        <v>0.0</v>
      </c>
      <c r="E20" s="3">
        <v>-70.0</v>
      </c>
      <c r="F20" s="3">
        <v>19.0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-10.5</v>
      </c>
      <c r="R20" s="3">
        <v>0.0</v>
      </c>
    </row>
    <row r="21" ht="13.5" customHeight="1">
      <c r="A21" s="7" t="s">
        <v>82</v>
      </c>
      <c r="B21" s="8">
        <v>103.7</v>
      </c>
      <c r="C21" s="8">
        <v>194.1</v>
      </c>
      <c r="D21" s="8">
        <v>128.7</v>
      </c>
      <c r="E21" s="8">
        <v>150.6</v>
      </c>
      <c r="F21" s="8">
        <v>272.1</v>
      </c>
      <c r="G21" s="8">
        <v>253.2</v>
      </c>
      <c r="H21" s="8">
        <v>335.4</v>
      </c>
      <c r="I21" s="8">
        <v>538.4</v>
      </c>
      <c r="J21" s="8">
        <v>731.0</v>
      </c>
      <c r="K21" s="8">
        <v>769.9</v>
      </c>
      <c r="L21" s="8">
        <v>846.9</v>
      </c>
      <c r="M21" s="9">
        <v>1000.0</v>
      </c>
      <c r="N21" s="9">
        <v>1242.2</v>
      </c>
      <c r="O21" s="9">
        <v>1382.9</v>
      </c>
      <c r="P21" s="9">
        <v>1457.2</v>
      </c>
      <c r="Q21" s="9">
        <v>1231.2</v>
      </c>
      <c r="R21" s="9">
        <v>1314.0</v>
      </c>
    </row>
    <row r="22" ht="13.5" customHeight="1">
      <c r="A22" s="14" t="s">
        <v>83</v>
      </c>
      <c r="G22" s="14"/>
      <c r="L22" s="14"/>
      <c r="Q22" s="14"/>
    </row>
    <row r="23" ht="13.5" customHeight="1">
      <c r="A23" s="10" t="s">
        <v>84</v>
      </c>
      <c r="B23" s="3">
        <v>262.2</v>
      </c>
      <c r="C23" s="3">
        <v>0.0</v>
      </c>
      <c r="D23" s="3">
        <v>185.9</v>
      </c>
      <c r="E23" s="3">
        <v>17.2</v>
      </c>
      <c r="F23" s="3">
        <v>53.7</v>
      </c>
      <c r="G23" s="3">
        <v>193.3</v>
      </c>
      <c r="H23" s="3">
        <v>89.5</v>
      </c>
      <c r="I23" s="3">
        <v>257.4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22.1</v>
      </c>
      <c r="P23" s="3">
        <v>0.4</v>
      </c>
      <c r="Q23" s="3">
        <v>26.8</v>
      </c>
      <c r="R23" s="3">
        <v>9.0</v>
      </c>
    </row>
    <row r="24" ht="13.5" customHeight="1">
      <c r="A24" s="10" t="s">
        <v>85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170.4</v>
      </c>
      <c r="H24" s="3">
        <v>18.5</v>
      </c>
      <c r="I24" s="3">
        <v>22.5</v>
      </c>
      <c r="J24" s="3">
        <v>9.5</v>
      </c>
      <c r="K24" s="3">
        <v>79.9</v>
      </c>
      <c r="L24" s="3">
        <v>88.1</v>
      </c>
      <c r="M24" s="3">
        <v>16.0</v>
      </c>
      <c r="N24" s="3">
        <v>0.6</v>
      </c>
      <c r="O24" s="3">
        <v>0.0</v>
      </c>
      <c r="P24" s="3">
        <v>159.4</v>
      </c>
      <c r="Q24" s="3">
        <v>0.0</v>
      </c>
      <c r="R24" s="3">
        <v>4.0</v>
      </c>
    </row>
    <row r="25" ht="13.5" customHeight="1">
      <c r="A25" s="10" t="s">
        <v>86</v>
      </c>
      <c r="B25" s="3">
        <v>0.0</v>
      </c>
      <c r="C25" s="3">
        <v>0.0</v>
      </c>
      <c r="D25" s="3">
        <v>109.7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 ht="13.5" customHeight="1">
      <c r="A26" s="10" t="s">
        <v>87</v>
      </c>
      <c r="B26" s="3">
        <v>-231.7</v>
      </c>
      <c r="C26" s="3">
        <v>-298.3</v>
      </c>
      <c r="D26" s="3">
        <v>-382.1</v>
      </c>
      <c r="E26" s="3">
        <v>-351.6</v>
      </c>
      <c r="F26" s="3">
        <v>-583.6</v>
      </c>
      <c r="G26" s="3">
        <v>-828.7</v>
      </c>
      <c r="H26" s="3">
        <v>-865.2</v>
      </c>
      <c r="I26" s="3">
        <v>-420.6</v>
      </c>
      <c r="J26" s="3">
        <v>-388.8</v>
      </c>
      <c r="K26" s="3">
        <v>-452.6</v>
      </c>
      <c r="L26" s="3">
        <v>-540.6</v>
      </c>
      <c r="M26" s="3">
        <v>-651.1</v>
      </c>
      <c r="N26" s="3">
        <v>-727.4</v>
      </c>
      <c r="O26" s="3">
        <v>-802.9</v>
      </c>
      <c r="P26" s="3">
        <v>-840.7</v>
      </c>
      <c r="Q26" s="3">
        <v>-889.1</v>
      </c>
      <c r="R26" s="3">
        <v>-243.0</v>
      </c>
    </row>
    <row r="27" ht="13.5" customHeight="1">
      <c r="A27" s="10" t="s">
        <v>88</v>
      </c>
      <c r="B27" s="3">
        <v>0.0</v>
      </c>
      <c r="C27" s="3">
        <v>0.0</v>
      </c>
      <c r="D27" s="3">
        <v>0.0</v>
      </c>
      <c r="E27" s="3">
        <v>0.0</v>
      </c>
      <c r="F27" s="3">
        <v>-281.1</v>
      </c>
      <c r="G27" s="3">
        <v>-562.1</v>
      </c>
      <c r="H27" s="3">
        <v>-40.5</v>
      </c>
      <c r="I27" s="3">
        <v>-3.6</v>
      </c>
      <c r="J27" s="3">
        <v>-24.3</v>
      </c>
      <c r="K27" s="3">
        <v>0.0</v>
      </c>
      <c r="L27" s="3">
        <v>-5.8</v>
      </c>
      <c r="M27" s="3">
        <v>-72.4</v>
      </c>
      <c r="N27" s="3">
        <v>0.0</v>
      </c>
      <c r="O27" s="3">
        <v>-46.3</v>
      </c>
      <c r="P27" s="3">
        <v>-158.8</v>
      </c>
      <c r="Q27" s="3">
        <v>-452.6</v>
      </c>
      <c r="R27" s="3">
        <v>-18.0</v>
      </c>
    </row>
    <row r="28" ht="13.5" customHeight="1">
      <c r="A28" s="10" t="s">
        <v>89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-138.5</v>
      </c>
      <c r="H28" s="3">
        <v>-28.2</v>
      </c>
      <c r="I28" s="3">
        <v>-9.7</v>
      </c>
      <c r="J28" s="3">
        <v>-0.5</v>
      </c>
      <c r="K28" s="3">
        <v>-5.3</v>
      </c>
      <c r="L28" s="3">
        <v>-9.4</v>
      </c>
      <c r="M28" s="3">
        <v>0.0</v>
      </c>
      <c r="N28" s="3">
        <v>0.0</v>
      </c>
      <c r="O28" s="3">
        <v>0.0</v>
      </c>
      <c r="P28" s="3">
        <v>-903.1</v>
      </c>
      <c r="Q28" s="3">
        <v>0.0</v>
      </c>
      <c r="R28" s="3">
        <v>0.0</v>
      </c>
    </row>
    <row r="29" ht="13.5" customHeight="1">
      <c r="A29" s="10" t="s">
        <v>90</v>
      </c>
      <c r="B29" s="3">
        <v>-14.2</v>
      </c>
      <c r="C29" s="3">
        <v>-72.5</v>
      </c>
      <c r="D29" s="3">
        <v>-332.6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</row>
    <row r="30" ht="13.5" customHeight="1">
      <c r="A30" s="10" t="s">
        <v>91</v>
      </c>
      <c r="B30" s="3">
        <v>-6.0</v>
      </c>
      <c r="C30" s="3">
        <v>-27.5</v>
      </c>
      <c r="D30" s="3">
        <v>-40.2</v>
      </c>
      <c r="E30" s="3">
        <v>-138.1</v>
      </c>
      <c r="F30" s="3">
        <v>-159.6</v>
      </c>
      <c r="G30" s="3">
        <v>-39.9</v>
      </c>
      <c r="H30" s="3">
        <v>0.3</v>
      </c>
      <c r="I30" s="3">
        <v>58.9</v>
      </c>
      <c r="J30" s="3">
        <v>-3.1</v>
      </c>
      <c r="K30" s="3">
        <v>-2.1</v>
      </c>
      <c r="L30" s="3">
        <v>-21.5</v>
      </c>
      <c r="M30" s="3">
        <v>-12.3</v>
      </c>
      <c r="N30" s="3">
        <v>-7.4</v>
      </c>
      <c r="O30" s="3">
        <v>-139.6</v>
      </c>
      <c r="P30" s="3">
        <v>-1.3</v>
      </c>
      <c r="Q30" s="3">
        <v>-34.9</v>
      </c>
      <c r="R30" s="3">
        <v>-732.0</v>
      </c>
    </row>
    <row r="31" ht="13.5" customHeight="1">
      <c r="A31" s="10" t="s">
        <v>92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-137.5</v>
      </c>
      <c r="R31" s="3">
        <v>-3.0</v>
      </c>
    </row>
    <row r="32" ht="13.5" customHeight="1">
      <c r="A32" s="7" t="s">
        <v>93</v>
      </c>
      <c r="B32" s="8">
        <v>10.3</v>
      </c>
      <c r="C32" s="8">
        <v>-398.3</v>
      </c>
      <c r="D32" s="8">
        <v>-459.4</v>
      </c>
      <c r="E32" s="8">
        <v>-472.6</v>
      </c>
      <c r="F32" s="8">
        <v>-970.7</v>
      </c>
      <c r="G32" s="9">
        <v>-1205.6</v>
      </c>
      <c r="H32" s="8">
        <v>-825.6</v>
      </c>
      <c r="I32" s="8">
        <v>-95.0</v>
      </c>
      <c r="J32" s="8">
        <v>-407.2</v>
      </c>
      <c r="K32" s="8">
        <v>-380.0</v>
      </c>
      <c r="L32" s="8">
        <v>-489.1</v>
      </c>
      <c r="M32" s="8">
        <v>-719.8</v>
      </c>
      <c r="N32" s="8">
        <v>-734.1</v>
      </c>
      <c r="O32" s="8">
        <v>-966.7</v>
      </c>
      <c r="P32" s="9">
        <v>-1744.0</v>
      </c>
      <c r="Q32" s="9">
        <v>-1487.3</v>
      </c>
      <c r="R32" s="8">
        <v>-983.0</v>
      </c>
    </row>
    <row r="33" ht="13.5" customHeight="1">
      <c r="A33" s="13" t="s">
        <v>94</v>
      </c>
      <c r="B33" s="5"/>
      <c r="C33" s="5"/>
      <c r="D33" s="5"/>
      <c r="E33" s="5"/>
      <c r="F33" s="6"/>
      <c r="G33" s="13"/>
      <c r="H33" s="5"/>
      <c r="I33" s="5"/>
      <c r="J33" s="5"/>
      <c r="K33" s="6"/>
      <c r="L33" s="13"/>
      <c r="M33" s="5"/>
      <c r="N33" s="5"/>
      <c r="O33" s="5"/>
      <c r="P33" s="6"/>
      <c r="Q33" s="13"/>
      <c r="R33" s="6"/>
    </row>
    <row r="34" ht="13.5" customHeight="1">
      <c r="A34" s="10" t="s">
        <v>95</v>
      </c>
      <c r="B34" s="3">
        <v>223.6</v>
      </c>
      <c r="C34" s="3">
        <v>528.5</v>
      </c>
      <c r="D34" s="3">
        <v>391.0</v>
      </c>
      <c r="E34" s="3">
        <v>461.7</v>
      </c>
      <c r="F34" s="11">
        <v>2231.1</v>
      </c>
      <c r="G34" s="11">
        <v>2377.2</v>
      </c>
      <c r="H34" s="11">
        <v>1050.0</v>
      </c>
      <c r="I34" s="3">
        <v>505.6</v>
      </c>
      <c r="J34" s="3">
        <v>671.2</v>
      </c>
      <c r="K34" s="3">
        <v>755.6</v>
      </c>
      <c r="L34" s="11">
        <v>1317.8</v>
      </c>
      <c r="M34" s="3">
        <v>460.0</v>
      </c>
      <c r="N34" s="3">
        <v>342.1</v>
      </c>
      <c r="O34" s="3">
        <v>835.2</v>
      </c>
      <c r="P34" s="11">
        <v>1891.7</v>
      </c>
      <c r="Q34" s="11">
        <v>2352.1</v>
      </c>
      <c r="R34" s="3">
        <v>0.0</v>
      </c>
    </row>
    <row r="35" ht="13.5" customHeight="1">
      <c r="A35" s="10" t="s">
        <v>96</v>
      </c>
      <c r="B35" s="3">
        <v>0.0</v>
      </c>
      <c r="C35" s="3">
        <v>0.0</v>
      </c>
      <c r="D35" s="3">
        <v>537.8</v>
      </c>
      <c r="E35" s="3">
        <v>250.2</v>
      </c>
      <c r="F35" s="3">
        <v>339.9</v>
      </c>
      <c r="G35" s="3">
        <v>194.5</v>
      </c>
      <c r="H35" s="3">
        <v>91.3</v>
      </c>
      <c r="I35" s="3">
        <v>0.1</v>
      </c>
      <c r="J35" s="3">
        <v>0.1</v>
      </c>
      <c r="K35" s="3">
        <v>0.2</v>
      </c>
      <c r="L35" s="3">
        <v>2.3</v>
      </c>
      <c r="M35" s="3">
        <v>92.1</v>
      </c>
      <c r="N35" s="3">
        <v>32.5</v>
      </c>
      <c r="O35" s="3">
        <v>57.0</v>
      </c>
      <c r="P35" s="3">
        <v>47.1</v>
      </c>
      <c r="Q35" s="3">
        <v>328.6</v>
      </c>
      <c r="R35" s="3">
        <v>17.0</v>
      </c>
    </row>
    <row r="36" ht="13.5" customHeight="1">
      <c r="A36" s="10" t="s">
        <v>97</v>
      </c>
      <c r="B36" s="3">
        <v>-234.4</v>
      </c>
      <c r="C36" s="3">
        <v>-319.9</v>
      </c>
      <c r="D36" s="3">
        <v>-540.6</v>
      </c>
      <c r="E36" s="3">
        <v>-375.9</v>
      </c>
      <c r="F36" s="11">
        <v>-2012.1</v>
      </c>
      <c r="G36" s="11">
        <v>-1560.6</v>
      </c>
      <c r="H36" s="3">
        <v>-588.6</v>
      </c>
      <c r="I36" s="3">
        <v>-860.8</v>
      </c>
      <c r="J36" s="3">
        <v>-859.1</v>
      </c>
      <c r="K36" s="3">
        <v>-733.9</v>
      </c>
      <c r="L36" s="11">
        <v>-1414.1</v>
      </c>
      <c r="M36" s="3">
        <v>-360.8</v>
      </c>
      <c r="N36" s="3">
        <v>0.0</v>
      </c>
      <c r="O36" s="3">
        <v>-471.3</v>
      </c>
      <c r="P36" s="11">
        <v>-1016.7</v>
      </c>
      <c r="Q36" s="11">
        <v>-1823.9</v>
      </c>
      <c r="R36" s="3">
        <v>-5.0</v>
      </c>
    </row>
    <row r="37" ht="13.5" customHeight="1">
      <c r="A37" s="10" t="s">
        <v>98</v>
      </c>
      <c r="B37" s="3">
        <v>-75.7</v>
      </c>
      <c r="C37" s="3">
        <v>-2.8</v>
      </c>
      <c r="D37" s="3">
        <v>0.0</v>
      </c>
      <c r="E37" s="3">
        <v>-4.6</v>
      </c>
      <c r="F37" s="3">
        <v>-13.8</v>
      </c>
      <c r="G37" s="3">
        <v>0.0</v>
      </c>
      <c r="H37" s="3">
        <v>0.0</v>
      </c>
      <c r="I37" s="3">
        <v>0.0</v>
      </c>
      <c r="J37" s="3">
        <v>-86.0</v>
      </c>
      <c r="K37" s="3">
        <v>-287.1</v>
      </c>
      <c r="L37" s="3">
        <v>-146.6</v>
      </c>
      <c r="M37" s="3">
        <v>-306.0</v>
      </c>
      <c r="N37" s="3">
        <v>-403.6</v>
      </c>
      <c r="O37" s="3">
        <v>-33.6</v>
      </c>
      <c r="P37" s="3">
        <v>-118.2</v>
      </c>
      <c r="Q37" s="3">
        <v>0.0</v>
      </c>
      <c r="R37" s="3">
        <v>0.0</v>
      </c>
    </row>
    <row r="38" ht="13.5" customHeight="1">
      <c r="A38" s="10" t="s">
        <v>99</v>
      </c>
      <c r="B38" s="3">
        <v>-10.4</v>
      </c>
      <c r="C38" s="3">
        <v>-4.8</v>
      </c>
      <c r="D38" s="3">
        <v>-14.6</v>
      </c>
      <c r="E38" s="3">
        <v>-31.4</v>
      </c>
      <c r="F38" s="3">
        <v>-37.9</v>
      </c>
      <c r="G38" s="3">
        <v>-50.3</v>
      </c>
      <c r="H38" s="3">
        <v>-53.2</v>
      </c>
      <c r="I38" s="3">
        <v>-50.6</v>
      </c>
      <c r="J38" s="3">
        <v>-75.3</v>
      </c>
      <c r="K38" s="3">
        <v>-112.0</v>
      </c>
      <c r="L38" s="3">
        <v>-103.3</v>
      </c>
      <c r="M38" s="3">
        <v>0.0</v>
      </c>
      <c r="N38" s="3">
        <v>0.0</v>
      </c>
      <c r="O38" s="3">
        <v>-351.9</v>
      </c>
      <c r="P38" s="3">
        <v>-372.1</v>
      </c>
      <c r="Q38" s="3">
        <v>-373.9</v>
      </c>
      <c r="R38" s="3">
        <v>-359.0</v>
      </c>
    </row>
    <row r="39" ht="13.5" customHeight="1">
      <c r="A39" s="10" t="s">
        <v>100</v>
      </c>
      <c r="B39" s="3">
        <v>0.0</v>
      </c>
      <c r="C39" s="3">
        <v>0.0</v>
      </c>
      <c r="D39" s="3">
        <v>0.0</v>
      </c>
      <c r="E39" s="3">
        <v>0.0</v>
      </c>
      <c r="F39" s="3">
        <v>191.5</v>
      </c>
      <c r="G39" s="3">
        <v>-8.6</v>
      </c>
      <c r="H39" s="3">
        <v>-9.4</v>
      </c>
      <c r="I39" s="3">
        <v>-16.9</v>
      </c>
      <c r="J39" s="3">
        <v>4.6</v>
      </c>
      <c r="K39" s="3">
        <v>-11.0</v>
      </c>
      <c r="L39" s="3">
        <v>-15.5</v>
      </c>
      <c r="M39" s="3">
        <v>-0.2</v>
      </c>
      <c r="N39" s="3">
        <v>-644.4</v>
      </c>
      <c r="O39" s="3">
        <v>1.6</v>
      </c>
      <c r="P39" s="3">
        <v>-381.5</v>
      </c>
      <c r="Q39" s="3">
        <v>0.0</v>
      </c>
      <c r="R39" s="3">
        <v>0.0</v>
      </c>
    </row>
    <row r="40" ht="13.5" customHeight="1">
      <c r="A40" s="10" t="s">
        <v>101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</row>
    <row r="41" ht="13.5" customHeight="1">
      <c r="A41" s="7" t="s">
        <v>102</v>
      </c>
      <c r="B41" s="8">
        <v>-96.8</v>
      </c>
      <c r="C41" s="8">
        <v>200.9</v>
      </c>
      <c r="D41" s="8">
        <v>373.5</v>
      </c>
      <c r="E41" s="8">
        <v>300.0</v>
      </c>
      <c r="F41" s="8">
        <v>698.6</v>
      </c>
      <c r="G41" s="8">
        <v>952.3</v>
      </c>
      <c r="H41" s="8">
        <v>490.1</v>
      </c>
      <c r="I41" s="8">
        <v>-422.6</v>
      </c>
      <c r="J41" s="8">
        <v>-344.5</v>
      </c>
      <c r="K41" s="8">
        <v>-388.1</v>
      </c>
      <c r="L41" s="8">
        <v>-359.5</v>
      </c>
      <c r="M41" s="8">
        <v>-114.9</v>
      </c>
      <c r="N41" s="8">
        <v>-673.4</v>
      </c>
      <c r="O41" s="8">
        <v>37.0</v>
      </c>
      <c r="P41" s="8">
        <v>50.3</v>
      </c>
      <c r="Q41" s="8">
        <v>482.9</v>
      </c>
      <c r="R41" s="8">
        <v>-347.0</v>
      </c>
    </row>
    <row r="42" ht="13.5" customHeight="1">
      <c r="A42" s="13" t="s">
        <v>103</v>
      </c>
      <c r="B42" s="5"/>
      <c r="C42" s="5"/>
      <c r="D42" s="5"/>
      <c r="E42" s="5"/>
      <c r="F42" s="6"/>
      <c r="G42" s="13"/>
      <c r="H42" s="5"/>
      <c r="I42" s="5"/>
      <c r="J42" s="5"/>
      <c r="K42" s="6"/>
      <c r="L42" s="13"/>
      <c r="M42" s="5"/>
      <c r="N42" s="5"/>
      <c r="O42" s="5"/>
      <c r="P42" s="6"/>
      <c r="Q42" s="13"/>
      <c r="R42" s="6"/>
    </row>
    <row r="43" ht="13.5" customHeight="1">
      <c r="A43" s="10" t="s">
        <v>104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0.1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0.1</v>
      </c>
      <c r="P43" s="3">
        <v>0.0</v>
      </c>
      <c r="Q43" s="3">
        <v>0.0</v>
      </c>
      <c r="R43" s="3">
        <v>0.0</v>
      </c>
    </row>
    <row r="44" ht="13.5" customHeight="1">
      <c r="A44" s="7" t="s">
        <v>105</v>
      </c>
      <c r="B44" s="8">
        <v>17.3</v>
      </c>
      <c r="C44" s="8">
        <v>-3.3</v>
      </c>
      <c r="D44" s="8">
        <v>42.9</v>
      </c>
      <c r="E44" s="8">
        <v>-22.0</v>
      </c>
      <c r="F44" s="8">
        <v>0.0</v>
      </c>
      <c r="G44" s="8">
        <v>0.0</v>
      </c>
      <c r="H44" s="8">
        <v>0.0</v>
      </c>
      <c r="I44" s="8">
        <v>20.8</v>
      </c>
      <c r="J44" s="8">
        <v>-20.8</v>
      </c>
      <c r="K44" s="8">
        <v>1.7</v>
      </c>
      <c r="L44" s="8">
        <v>-1.7</v>
      </c>
      <c r="M44" s="8">
        <v>165.3</v>
      </c>
      <c r="N44" s="8">
        <v>-165.3</v>
      </c>
      <c r="O44" s="8">
        <v>453.2</v>
      </c>
      <c r="P44" s="8">
        <v>-236.5</v>
      </c>
      <c r="Q44" s="8">
        <v>226.7</v>
      </c>
      <c r="R44" s="8">
        <v>-16.0</v>
      </c>
    </row>
    <row r="45" ht="13.5" customHeight="1">
      <c r="A45" s="10" t="s">
        <v>106</v>
      </c>
      <c r="B45" s="3">
        <v>-34.9</v>
      </c>
      <c r="C45" s="3">
        <v>-17.6</v>
      </c>
      <c r="D45" s="3">
        <v>-20.9</v>
      </c>
      <c r="E45" s="3">
        <v>22.0</v>
      </c>
      <c r="F45" s="3">
        <v>0.0</v>
      </c>
      <c r="G45" s="3">
        <v>0.0</v>
      </c>
      <c r="H45" s="3">
        <v>0.0</v>
      </c>
      <c r="I45" s="3">
        <v>0.0</v>
      </c>
      <c r="J45" s="3">
        <v>20.8</v>
      </c>
      <c r="K45" s="3">
        <v>0.0</v>
      </c>
      <c r="L45" s="3">
        <v>1.7</v>
      </c>
      <c r="M45" s="3">
        <v>0.0</v>
      </c>
      <c r="N45" s="3">
        <v>165.3</v>
      </c>
      <c r="O45" s="3">
        <v>0.0</v>
      </c>
      <c r="P45" s="3">
        <v>453.2</v>
      </c>
      <c r="Q45" s="3">
        <v>216.7</v>
      </c>
      <c r="R45" s="3">
        <v>443.0</v>
      </c>
    </row>
    <row r="46" ht="13.5" customHeight="1">
      <c r="A46" s="10" t="s">
        <v>107</v>
      </c>
      <c r="B46" s="3">
        <v>-17.6</v>
      </c>
      <c r="C46" s="3">
        <v>-20.9</v>
      </c>
      <c r="D46" s="3">
        <v>22.0</v>
      </c>
      <c r="E46" s="3">
        <v>0.0</v>
      </c>
      <c r="F46" s="3">
        <v>0.0</v>
      </c>
      <c r="G46" s="3">
        <v>0.0</v>
      </c>
      <c r="H46" s="3">
        <v>0.0</v>
      </c>
      <c r="I46" s="3">
        <v>20.8</v>
      </c>
      <c r="J46" s="3">
        <v>0.0</v>
      </c>
      <c r="K46" s="3">
        <v>1.7</v>
      </c>
      <c r="L46" s="3">
        <v>0.0</v>
      </c>
      <c r="M46" s="3">
        <v>165.3</v>
      </c>
      <c r="N46" s="3">
        <v>0.0</v>
      </c>
      <c r="O46" s="3">
        <v>453.2</v>
      </c>
      <c r="P46" s="3">
        <v>216.7</v>
      </c>
      <c r="Q46" s="3">
        <v>443.4</v>
      </c>
      <c r="R46" s="3">
        <v>427.0</v>
      </c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9">
    <mergeCell ref="G2:K2"/>
    <mergeCell ref="L2:P2"/>
    <mergeCell ref="Q2:R2"/>
    <mergeCell ref="A3:F3"/>
    <mergeCell ref="G3:K3"/>
    <mergeCell ref="L3:P3"/>
    <mergeCell ref="Q3:R3"/>
    <mergeCell ref="A33:F33"/>
    <mergeCell ref="A42:F42"/>
    <mergeCell ref="G42:K42"/>
    <mergeCell ref="L42:P42"/>
    <mergeCell ref="Q42:R42"/>
    <mergeCell ref="A22:F22"/>
    <mergeCell ref="G22:K22"/>
    <mergeCell ref="L22:P22"/>
    <mergeCell ref="Q22:R22"/>
    <mergeCell ref="G33:K33"/>
    <mergeCell ref="L33:P33"/>
    <mergeCell ref="Q33:R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8.88"/>
    <col customWidth="1" min="2" max="26" width="7.63"/>
  </cols>
  <sheetData>
    <row r="1" ht="13.5" customHeight="1">
      <c r="A1" s="10" t="s">
        <v>108</v>
      </c>
      <c r="B1" s="3">
        <v>1996.0</v>
      </c>
      <c r="C1" s="3">
        <v>1997.0</v>
      </c>
      <c r="D1" s="3">
        <v>1998.0</v>
      </c>
      <c r="E1" s="3">
        <v>1999.0</v>
      </c>
      <c r="F1" s="3">
        <v>2000.0</v>
      </c>
      <c r="G1" s="3">
        <v>2001.0</v>
      </c>
      <c r="H1" s="3">
        <v>2002.0</v>
      </c>
      <c r="I1" s="3">
        <v>2003.0</v>
      </c>
      <c r="J1" s="3">
        <v>2004.0</v>
      </c>
      <c r="K1" s="3">
        <v>2005.0</v>
      </c>
      <c r="L1" s="3">
        <v>2006.0</v>
      </c>
      <c r="M1" s="3">
        <v>2007.0</v>
      </c>
      <c r="N1" s="3">
        <v>2008.0</v>
      </c>
      <c r="O1" s="3">
        <v>2009.0</v>
      </c>
      <c r="P1" s="3">
        <v>2010.0</v>
      </c>
      <c r="Q1" s="3">
        <v>2011.0</v>
      </c>
      <c r="R1" s="3">
        <v>2012.0</v>
      </c>
    </row>
    <row r="2" ht="13.5" customHeight="1">
      <c r="A2" s="12" t="s">
        <v>109</v>
      </c>
      <c r="B2" s="12"/>
      <c r="C2" s="12"/>
      <c r="D2" s="12"/>
      <c r="E2" s="12"/>
      <c r="F2" s="12"/>
      <c r="G2" s="4"/>
      <c r="H2" s="5"/>
      <c r="I2" s="5"/>
      <c r="J2" s="5"/>
      <c r="K2" s="6"/>
      <c r="L2" s="4"/>
      <c r="M2" s="5"/>
      <c r="N2" s="5"/>
      <c r="O2" s="5"/>
      <c r="P2" s="6"/>
      <c r="Q2" s="4"/>
      <c r="R2" s="6"/>
    </row>
    <row r="3" ht="13.5" customHeight="1">
      <c r="A3" s="15" t="s">
        <v>110</v>
      </c>
      <c r="B3" s="5"/>
      <c r="C3" s="5"/>
      <c r="D3" s="5"/>
      <c r="E3" s="5"/>
      <c r="F3" s="6"/>
      <c r="G3" s="15"/>
      <c r="H3" s="5"/>
      <c r="I3" s="5"/>
      <c r="J3" s="5"/>
      <c r="K3" s="6"/>
      <c r="L3" s="15"/>
      <c r="M3" s="5"/>
      <c r="N3" s="5"/>
      <c r="O3" s="5"/>
      <c r="P3" s="6"/>
      <c r="Q3" s="15"/>
      <c r="R3" s="6"/>
    </row>
    <row r="4" ht="13.5" customHeight="1">
      <c r="A4" s="10" t="s">
        <v>111</v>
      </c>
      <c r="B4" s="3">
        <v>0.0</v>
      </c>
      <c r="C4" s="3">
        <v>0.0</v>
      </c>
      <c r="D4" s="3">
        <v>22.0</v>
      </c>
      <c r="E4" s="3">
        <v>0.0</v>
      </c>
      <c r="F4" s="3">
        <v>0.0</v>
      </c>
      <c r="G4" s="3">
        <v>0.0</v>
      </c>
      <c r="H4" s="3">
        <v>0.0</v>
      </c>
      <c r="I4" s="3">
        <v>20.8</v>
      </c>
      <c r="J4" s="3">
        <v>0.0</v>
      </c>
      <c r="K4" s="3">
        <v>1.7</v>
      </c>
      <c r="L4" s="3">
        <v>0.0</v>
      </c>
      <c r="M4" s="3">
        <v>165.3</v>
      </c>
      <c r="N4" s="3">
        <v>0.0</v>
      </c>
      <c r="O4" s="3">
        <v>253.9</v>
      </c>
      <c r="P4" s="3">
        <v>216.7</v>
      </c>
      <c r="Q4" s="3">
        <v>443.4</v>
      </c>
      <c r="R4" s="3">
        <v>427.0</v>
      </c>
    </row>
    <row r="5" ht="13.5" customHeight="1">
      <c r="A5" s="10" t="s">
        <v>112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</row>
    <row r="6" ht="13.5" customHeight="1">
      <c r="A6" s="10" t="s">
        <v>113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199.4</v>
      </c>
      <c r="P6" s="3">
        <v>0.0</v>
      </c>
      <c r="Q6" s="3">
        <v>0.0</v>
      </c>
      <c r="R6" s="3">
        <v>0.0</v>
      </c>
    </row>
    <row r="7" ht="13.5" customHeight="1">
      <c r="A7" s="10" t="s">
        <v>114</v>
      </c>
      <c r="B7" s="3">
        <v>40.7</v>
      </c>
      <c r="C7" s="3">
        <v>45.6</v>
      </c>
      <c r="D7" s="3">
        <v>59.6</v>
      </c>
      <c r="E7" s="3">
        <v>67.4</v>
      </c>
      <c r="F7" s="3">
        <v>89.5</v>
      </c>
      <c r="G7" s="3">
        <v>182.6</v>
      </c>
      <c r="H7" s="3">
        <v>187.5</v>
      </c>
      <c r="I7" s="3">
        <v>141.0</v>
      </c>
      <c r="J7" s="3">
        <v>119.5</v>
      </c>
      <c r="K7" s="3">
        <v>114.7</v>
      </c>
      <c r="L7" s="3">
        <v>138.1</v>
      </c>
      <c r="M7" s="3">
        <v>155.5</v>
      </c>
      <c r="N7" s="3">
        <v>188.1</v>
      </c>
      <c r="O7" s="3">
        <v>194.5</v>
      </c>
      <c r="P7" s="3">
        <v>196.4</v>
      </c>
      <c r="Q7" s="3">
        <v>442.8</v>
      </c>
      <c r="R7" s="3">
        <v>433.0</v>
      </c>
    </row>
    <row r="8" ht="13.5" customHeight="1">
      <c r="A8" s="10" t="s">
        <v>115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</row>
    <row r="9" ht="13.5" customHeight="1">
      <c r="A9" s="10" t="s">
        <v>116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</row>
    <row r="10" ht="13.5" customHeight="1">
      <c r="A10" s="10" t="s">
        <v>117</v>
      </c>
      <c r="B10" s="3">
        <v>40.7</v>
      </c>
      <c r="C10" s="3">
        <v>45.6</v>
      </c>
      <c r="D10" s="3">
        <v>59.6</v>
      </c>
      <c r="E10" s="3">
        <v>67.4</v>
      </c>
      <c r="F10" s="3">
        <v>89.5</v>
      </c>
      <c r="G10" s="3">
        <v>182.6</v>
      </c>
      <c r="H10" s="3">
        <v>187.5</v>
      </c>
      <c r="I10" s="3">
        <v>141.0</v>
      </c>
      <c r="J10" s="3">
        <v>119.5</v>
      </c>
      <c r="K10" s="3">
        <v>114.7</v>
      </c>
      <c r="L10" s="3">
        <v>138.1</v>
      </c>
      <c r="M10" s="3">
        <v>155.5</v>
      </c>
      <c r="N10" s="3">
        <v>188.1</v>
      </c>
      <c r="O10" s="3">
        <v>194.5</v>
      </c>
      <c r="P10" s="3">
        <v>196.4</v>
      </c>
      <c r="Q10" s="3">
        <v>442.8</v>
      </c>
      <c r="R10" s="3">
        <v>433.0</v>
      </c>
    </row>
    <row r="11" ht="13.5" customHeight="1">
      <c r="A11" s="10" t="s">
        <v>118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 ht="13.5" customHeight="1">
      <c r="A12" s="10" t="s">
        <v>119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 ht="13.5" customHeight="1">
      <c r="A13" s="10" t="s">
        <v>120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 ht="13.5" customHeight="1">
      <c r="A14" s="10" t="s">
        <v>121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</row>
    <row r="15" ht="13.5" customHeight="1">
      <c r="A15" s="10" t="s">
        <v>122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95.4</v>
      </c>
      <c r="H15" s="3">
        <v>128.8</v>
      </c>
      <c r="I15" s="3">
        <v>81.8</v>
      </c>
      <c r="J15" s="3">
        <v>43.0</v>
      </c>
      <c r="K15" s="3">
        <v>45.2</v>
      </c>
      <c r="L15" s="3">
        <v>54.0</v>
      </c>
      <c r="M15" s="3">
        <v>60.6</v>
      </c>
      <c r="N15" s="3">
        <v>51.8</v>
      </c>
      <c r="O15" s="3">
        <v>52.3</v>
      </c>
      <c r="P15" s="3">
        <v>53.8</v>
      </c>
      <c r="Q15" s="3">
        <v>96.9</v>
      </c>
      <c r="R15" s="3">
        <v>102.0</v>
      </c>
    </row>
    <row r="16" ht="13.5" customHeight="1">
      <c r="A16" s="10" t="s">
        <v>123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</row>
    <row r="17" ht="13.5" customHeight="1">
      <c r="A17" s="10" t="s">
        <v>124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95.4</v>
      </c>
      <c r="H17" s="3">
        <v>128.8</v>
      </c>
      <c r="I17" s="3">
        <v>81.8</v>
      </c>
      <c r="J17" s="3">
        <v>43.0</v>
      </c>
      <c r="K17" s="3">
        <v>45.2</v>
      </c>
      <c r="L17" s="3">
        <v>54.0</v>
      </c>
      <c r="M17" s="3">
        <v>60.6</v>
      </c>
      <c r="N17" s="3">
        <v>51.8</v>
      </c>
      <c r="O17" s="3">
        <v>52.3</v>
      </c>
      <c r="P17" s="3">
        <v>53.8</v>
      </c>
      <c r="Q17" s="3">
        <v>96.9</v>
      </c>
      <c r="R17" s="3">
        <v>102.0</v>
      </c>
    </row>
    <row r="18" ht="13.5" customHeight="1">
      <c r="A18" s="10" t="s">
        <v>125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24.7</v>
      </c>
      <c r="H18" s="3">
        <v>28.2</v>
      </c>
      <c r="I18" s="3">
        <v>16.8</v>
      </c>
      <c r="J18" s="3">
        <v>17.0</v>
      </c>
      <c r="K18" s="3">
        <v>19.1</v>
      </c>
      <c r="L18" s="3">
        <v>20.9</v>
      </c>
      <c r="M18" s="3">
        <v>23.8</v>
      </c>
      <c r="N18" s="3">
        <v>27.3</v>
      </c>
      <c r="O18" s="3">
        <v>35.7</v>
      </c>
      <c r="P18" s="3">
        <v>33.8</v>
      </c>
      <c r="Q18" s="3">
        <v>46.9</v>
      </c>
      <c r="R18" s="3">
        <v>0.0</v>
      </c>
    </row>
    <row r="19" ht="13.5" customHeight="1">
      <c r="A19" s="10" t="s">
        <v>126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185.0</v>
      </c>
      <c r="N19" s="3">
        <v>137.2</v>
      </c>
      <c r="O19" s="3">
        <v>22.0</v>
      </c>
      <c r="P19" s="3">
        <v>28.0</v>
      </c>
      <c r="Q19" s="3">
        <v>25.8</v>
      </c>
      <c r="R19" s="3">
        <v>0.0</v>
      </c>
    </row>
    <row r="20" ht="13.5" customHeight="1">
      <c r="A20" s="10" t="s">
        <v>127</v>
      </c>
      <c r="B20" s="3">
        <v>27.7</v>
      </c>
      <c r="C20" s="3">
        <v>17.0</v>
      </c>
      <c r="D20" s="3">
        <v>35.2</v>
      </c>
      <c r="E20" s="3">
        <v>29.6</v>
      </c>
      <c r="F20" s="3">
        <v>9.3</v>
      </c>
      <c r="G20" s="3">
        <v>95.8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66.7</v>
      </c>
      <c r="Q20" s="3">
        <v>206.4</v>
      </c>
      <c r="R20" s="3">
        <v>89.0</v>
      </c>
    </row>
    <row r="21" ht="13.5" customHeight="1">
      <c r="A21" s="7" t="s">
        <v>128</v>
      </c>
      <c r="B21" s="8">
        <v>68.4</v>
      </c>
      <c r="C21" s="8">
        <v>62.6</v>
      </c>
      <c r="D21" s="8">
        <v>116.8</v>
      </c>
      <c r="E21" s="8">
        <v>97.0</v>
      </c>
      <c r="F21" s="8">
        <v>98.8</v>
      </c>
      <c r="G21" s="8">
        <v>398.4</v>
      </c>
      <c r="H21" s="8">
        <v>344.5</v>
      </c>
      <c r="I21" s="8">
        <v>260.3</v>
      </c>
      <c r="J21" s="8">
        <v>179.5</v>
      </c>
      <c r="K21" s="8">
        <v>180.7</v>
      </c>
      <c r="L21" s="8">
        <v>213.0</v>
      </c>
      <c r="M21" s="8">
        <v>590.2</v>
      </c>
      <c r="N21" s="8">
        <v>404.5</v>
      </c>
      <c r="O21" s="8">
        <v>757.7</v>
      </c>
      <c r="P21" s="8">
        <v>595.5</v>
      </c>
      <c r="Q21" s="9">
        <v>1262.3</v>
      </c>
      <c r="R21" s="9">
        <v>1051.0</v>
      </c>
    </row>
    <row r="22" ht="13.5" customHeight="1">
      <c r="A22" s="10" t="s">
        <v>129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37.1</v>
      </c>
      <c r="H22" s="3">
        <v>37.3</v>
      </c>
      <c r="I22" s="3">
        <v>53.0</v>
      </c>
      <c r="J22" s="3">
        <v>45.2</v>
      </c>
      <c r="K22" s="3">
        <v>32.1</v>
      </c>
      <c r="L22" s="3">
        <v>33.1</v>
      </c>
      <c r="M22" s="3">
        <v>0.0</v>
      </c>
      <c r="N22" s="3">
        <v>0.0</v>
      </c>
      <c r="O22" s="3">
        <v>44.9</v>
      </c>
      <c r="P22" s="3">
        <v>45.4</v>
      </c>
      <c r="Q22" s="3">
        <v>61.1</v>
      </c>
      <c r="R22" s="3">
        <v>0.0</v>
      </c>
    </row>
    <row r="23" ht="13.5" customHeight="1">
      <c r="A23" s="10" t="s">
        <v>130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173.1</v>
      </c>
      <c r="H23" s="3">
        <v>228.0</v>
      </c>
      <c r="I23" s="3">
        <v>237.6</v>
      </c>
      <c r="J23" s="3">
        <v>250.5</v>
      </c>
      <c r="K23" s="3">
        <v>244.2</v>
      </c>
      <c r="L23" s="3">
        <v>254.0</v>
      </c>
      <c r="M23" s="3">
        <v>0.0</v>
      </c>
      <c r="N23" s="3">
        <v>327.6</v>
      </c>
      <c r="O23" s="3">
        <v>343.6</v>
      </c>
      <c r="P23" s="3">
        <v>360.8</v>
      </c>
      <c r="Q23" s="3">
        <v>402.8</v>
      </c>
      <c r="R23" s="3">
        <v>448.0</v>
      </c>
    </row>
    <row r="24" ht="13.5" customHeight="1">
      <c r="A24" s="10" t="s">
        <v>131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11">
        <v>3022.4</v>
      </c>
      <c r="H24" s="11">
        <v>3571.5</v>
      </c>
      <c r="I24" s="11">
        <v>3407.1</v>
      </c>
      <c r="J24" s="11">
        <v>3462.6</v>
      </c>
      <c r="K24" s="11">
        <v>3714.0</v>
      </c>
      <c r="L24" s="3">
        <v>348.1</v>
      </c>
      <c r="M24" s="3">
        <v>0.0</v>
      </c>
      <c r="N24" s="3">
        <v>0.0</v>
      </c>
      <c r="O24" s="3">
        <v>532.6</v>
      </c>
      <c r="P24" s="11">
        <v>4903.7</v>
      </c>
      <c r="Q24" s="11">
        <v>5233.9</v>
      </c>
      <c r="R24" s="3">
        <v>892.0</v>
      </c>
    </row>
    <row r="25" ht="13.5" customHeight="1">
      <c r="A25" s="10" t="s">
        <v>132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43.2</v>
      </c>
      <c r="J25" s="3">
        <v>43.2</v>
      </c>
      <c r="K25" s="3">
        <v>7.2</v>
      </c>
      <c r="L25" s="3">
        <v>22.4</v>
      </c>
      <c r="M25" s="3">
        <v>0.0</v>
      </c>
      <c r="N25" s="3">
        <v>0.0</v>
      </c>
      <c r="O25" s="3">
        <v>53.0</v>
      </c>
      <c r="P25" s="3">
        <v>124.1</v>
      </c>
      <c r="Q25" s="3">
        <v>111.2</v>
      </c>
      <c r="R25" s="3">
        <v>107.0</v>
      </c>
    </row>
    <row r="26" ht="13.5" customHeight="1">
      <c r="A26" s="10" t="s">
        <v>133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206.4</v>
      </c>
      <c r="H26" s="3">
        <v>243.3</v>
      </c>
      <c r="I26" s="3">
        <v>222.2</v>
      </c>
      <c r="J26" s="3">
        <v>248.2</v>
      </c>
      <c r="K26" s="3">
        <v>273.8</v>
      </c>
      <c r="L26" s="11">
        <v>3749.2</v>
      </c>
      <c r="M26" s="11">
        <v>4579.8</v>
      </c>
      <c r="N26" s="11">
        <v>4570.1</v>
      </c>
      <c r="O26" s="11">
        <v>4310.6</v>
      </c>
      <c r="P26" s="3">
        <v>310.7</v>
      </c>
      <c r="Q26" s="3">
        <v>354.0</v>
      </c>
      <c r="R26" s="11">
        <v>4762.0</v>
      </c>
    </row>
    <row r="27" ht="13.5" customHeight="1">
      <c r="A27" s="7" t="s">
        <v>134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9">
        <v>3439.0</v>
      </c>
      <c r="H27" s="9">
        <v>4080.1</v>
      </c>
      <c r="I27" s="9">
        <v>3963.1</v>
      </c>
      <c r="J27" s="9">
        <v>4049.6</v>
      </c>
      <c r="K27" s="9">
        <v>4271.2</v>
      </c>
      <c r="L27" s="9">
        <v>4407.0</v>
      </c>
      <c r="M27" s="9">
        <v>4579.8</v>
      </c>
      <c r="N27" s="9">
        <v>4897.7</v>
      </c>
      <c r="O27" s="9">
        <v>5284.6</v>
      </c>
      <c r="P27" s="9">
        <v>5744.7</v>
      </c>
      <c r="Q27" s="9">
        <v>6163.0</v>
      </c>
      <c r="R27" s="9">
        <v>6209.0</v>
      </c>
    </row>
    <row r="28" ht="13.5" customHeight="1">
      <c r="A28" s="10" t="s">
        <v>135</v>
      </c>
      <c r="B28" s="3">
        <v>966.5</v>
      </c>
      <c r="C28" s="11">
        <v>1151.6</v>
      </c>
      <c r="D28" s="11">
        <v>1339.4</v>
      </c>
      <c r="E28" s="11">
        <v>1621.3</v>
      </c>
      <c r="F28" s="11">
        <v>2338.9</v>
      </c>
      <c r="G28" s="11">
        <v>3439.0</v>
      </c>
      <c r="H28" s="11">
        <v>4080.1</v>
      </c>
      <c r="I28" s="11">
        <v>3962.9</v>
      </c>
      <c r="J28" s="11">
        <v>4049.6</v>
      </c>
      <c r="K28" s="11">
        <v>4271.2</v>
      </c>
      <c r="L28" s="11">
        <v>4407.0</v>
      </c>
      <c r="M28" s="11">
        <v>4579.8</v>
      </c>
      <c r="N28" s="11">
        <v>4897.7</v>
      </c>
      <c r="O28" s="11">
        <v>5284.6</v>
      </c>
      <c r="P28" s="11">
        <v>5744.7</v>
      </c>
      <c r="Q28" s="11">
        <v>6163.0</v>
      </c>
      <c r="R28" s="11">
        <v>6209.0</v>
      </c>
    </row>
    <row r="29" ht="13.5" customHeight="1">
      <c r="A29" s="10" t="s">
        <v>136</v>
      </c>
      <c r="B29" s="3">
        <v>216.0</v>
      </c>
      <c r="C29" s="3">
        <v>272.2</v>
      </c>
      <c r="D29" s="3">
        <v>342.1</v>
      </c>
      <c r="E29" s="3">
        <v>429.4</v>
      </c>
      <c r="F29" s="3">
        <v>655.5</v>
      </c>
      <c r="G29" s="3">
        <v>916.1</v>
      </c>
      <c r="H29" s="11">
        <v>1302.4</v>
      </c>
      <c r="I29" s="11">
        <v>1547.2</v>
      </c>
      <c r="J29" s="11">
        <v>1757.2</v>
      </c>
      <c r="K29" s="11">
        <v>2082.0</v>
      </c>
      <c r="L29" s="11">
        <v>2156.9</v>
      </c>
      <c r="M29" s="11">
        <v>2156.9</v>
      </c>
      <c r="N29" s="11">
        <v>2281.2</v>
      </c>
      <c r="O29" s="11">
        <v>2463.1</v>
      </c>
      <c r="P29" s="11">
        <v>2740.1</v>
      </c>
      <c r="Q29" s="11">
        <v>2962.8</v>
      </c>
      <c r="R29" s="11">
        <v>2967.0</v>
      </c>
    </row>
    <row r="30" ht="13.5" customHeight="1">
      <c r="A30" s="10" t="s">
        <v>137</v>
      </c>
      <c r="B30" s="3">
        <v>750.5</v>
      </c>
      <c r="C30" s="3">
        <v>879.4</v>
      </c>
      <c r="D30" s="3">
        <v>997.3</v>
      </c>
      <c r="E30" s="11">
        <v>1191.9</v>
      </c>
      <c r="F30" s="11">
        <v>1683.4</v>
      </c>
      <c r="G30" s="11">
        <v>2522.9</v>
      </c>
      <c r="H30" s="11">
        <v>2777.7</v>
      </c>
      <c r="I30" s="11">
        <v>2415.7</v>
      </c>
      <c r="J30" s="11">
        <v>2292.3</v>
      </c>
      <c r="K30" s="11">
        <v>2189.2</v>
      </c>
      <c r="L30" s="11">
        <v>2250.1</v>
      </c>
      <c r="M30" s="11">
        <v>2422.9</v>
      </c>
      <c r="N30" s="11">
        <v>2616.5</v>
      </c>
      <c r="O30" s="11">
        <v>2821.5</v>
      </c>
      <c r="P30" s="11">
        <v>3004.6</v>
      </c>
      <c r="Q30" s="11">
        <v>3200.2</v>
      </c>
      <c r="R30" s="11">
        <v>3242.0</v>
      </c>
    </row>
    <row r="31" ht="13.5" customHeight="1">
      <c r="A31" s="10" t="s">
        <v>138</v>
      </c>
      <c r="B31" s="11">
        <v>1268.8</v>
      </c>
      <c r="C31" s="11">
        <v>1294.6</v>
      </c>
      <c r="D31" s="11">
        <v>1304.9</v>
      </c>
      <c r="E31" s="11">
        <v>1313.9</v>
      </c>
      <c r="F31" s="11">
        <v>2318.4</v>
      </c>
      <c r="G31" s="11">
        <v>5038.1</v>
      </c>
      <c r="H31" s="11">
        <v>5023.1</v>
      </c>
      <c r="I31" s="11">
        <v>4706.7</v>
      </c>
      <c r="J31" s="11">
        <v>4773.7</v>
      </c>
      <c r="K31" s="11">
        <v>4772.8</v>
      </c>
      <c r="L31" s="11">
        <v>4691.5</v>
      </c>
      <c r="M31" s="11">
        <v>4776.1</v>
      </c>
      <c r="N31" s="11">
        <v>4776.1</v>
      </c>
      <c r="O31" s="11">
        <v>4816.2</v>
      </c>
      <c r="P31" s="11">
        <v>5408.5</v>
      </c>
      <c r="Q31" s="11">
        <v>6954.7</v>
      </c>
      <c r="R31" s="11">
        <v>7355.0</v>
      </c>
    </row>
    <row r="32" ht="13.5" customHeight="1">
      <c r="A32" s="10" t="s">
        <v>139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88.1</v>
      </c>
      <c r="M32" s="3">
        <v>88.1</v>
      </c>
      <c r="N32" s="3">
        <v>88.1</v>
      </c>
      <c r="O32" s="3">
        <v>88.1</v>
      </c>
      <c r="P32" s="3">
        <v>169.1</v>
      </c>
      <c r="Q32" s="3">
        <v>814.8</v>
      </c>
      <c r="R32" s="3">
        <v>715.0</v>
      </c>
    </row>
    <row r="33" ht="13.5" customHeight="1">
      <c r="A33" s="10" t="s">
        <v>140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21.8</v>
      </c>
      <c r="R33" s="3">
        <v>14.0</v>
      </c>
    </row>
    <row r="34" ht="13.5" customHeight="1">
      <c r="A34" s="10" t="s">
        <v>141</v>
      </c>
      <c r="B34" s="3">
        <v>100.1</v>
      </c>
      <c r="C34" s="3">
        <v>213.6</v>
      </c>
      <c r="D34" s="3">
        <v>782.2</v>
      </c>
      <c r="E34" s="11">
        <v>1131.6</v>
      </c>
      <c r="F34" s="11">
        <v>1221.3</v>
      </c>
      <c r="G34" s="3">
        <v>828.5</v>
      </c>
      <c r="H34" s="3">
        <v>367.7</v>
      </c>
      <c r="I34" s="3">
        <v>218.5</v>
      </c>
      <c r="J34" s="3">
        <v>311.4</v>
      </c>
      <c r="K34" s="3">
        <v>274.2</v>
      </c>
      <c r="L34" s="3">
        <v>279.9</v>
      </c>
      <c r="M34" s="3">
        <v>286.4</v>
      </c>
      <c r="N34" s="3">
        <v>472.6</v>
      </c>
      <c r="O34" s="3">
        <v>454.6</v>
      </c>
      <c r="P34" s="3">
        <v>976.1</v>
      </c>
      <c r="Q34" s="3">
        <v>272.1</v>
      </c>
      <c r="R34" s="3">
        <v>345.0</v>
      </c>
    </row>
    <row r="35" ht="13.5" customHeight="1">
      <c r="A35" s="10" t="s">
        <v>142</v>
      </c>
      <c r="B35" s="11">
        <v>2119.4</v>
      </c>
      <c r="C35" s="11">
        <v>2387.6</v>
      </c>
      <c r="D35" s="11">
        <v>3084.4</v>
      </c>
      <c r="E35" s="11">
        <v>3637.4</v>
      </c>
      <c r="F35" s="11">
        <v>5223.1</v>
      </c>
      <c r="G35" s="11">
        <v>8389.5</v>
      </c>
      <c r="H35" s="11">
        <v>8168.5</v>
      </c>
      <c r="I35" s="11">
        <v>7340.8</v>
      </c>
      <c r="J35" s="11">
        <v>7377.4</v>
      </c>
      <c r="K35" s="11">
        <v>7236.2</v>
      </c>
      <c r="L35" s="11">
        <v>7309.5</v>
      </c>
      <c r="M35" s="11">
        <v>7573.5</v>
      </c>
      <c r="N35" s="11">
        <v>7953.3</v>
      </c>
      <c r="O35" s="11">
        <v>8180.4</v>
      </c>
      <c r="P35" s="11">
        <v>9558.4</v>
      </c>
      <c r="Q35" s="11">
        <v>11263.6</v>
      </c>
      <c r="R35" s="11">
        <v>11671.0</v>
      </c>
    </row>
    <row r="36" ht="13.5" customHeight="1">
      <c r="A36" s="7" t="s">
        <v>143</v>
      </c>
      <c r="B36" s="9">
        <v>2187.9</v>
      </c>
      <c r="C36" s="9">
        <v>2450.2</v>
      </c>
      <c r="D36" s="9">
        <v>3201.2</v>
      </c>
      <c r="E36" s="9">
        <v>3734.4</v>
      </c>
      <c r="F36" s="9">
        <v>5321.9</v>
      </c>
      <c r="G36" s="9">
        <v>8788.0</v>
      </c>
      <c r="H36" s="9">
        <v>8513.0</v>
      </c>
      <c r="I36" s="9">
        <v>7601.1</v>
      </c>
      <c r="J36" s="9">
        <v>7556.9</v>
      </c>
      <c r="K36" s="9">
        <v>7416.9</v>
      </c>
      <c r="L36" s="9">
        <v>7522.5</v>
      </c>
      <c r="M36" s="9">
        <v>8163.7</v>
      </c>
      <c r="N36" s="9">
        <v>8357.8</v>
      </c>
      <c r="O36" s="9">
        <v>8938.1</v>
      </c>
      <c r="P36" s="9">
        <v>10154.0</v>
      </c>
      <c r="Q36" s="9">
        <v>12525.9</v>
      </c>
      <c r="R36" s="9">
        <v>12722.0</v>
      </c>
    </row>
    <row r="37" ht="13.5" customHeight="1">
      <c r="A37" s="7" t="s">
        <v>144</v>
      </c>
      <c r="B37" s="8" t="s">
        <v>145</v>
      </c>
      <c r="C37" s="8" t="s">
        <v>145</v>
      </c>
      <c r="D37" s="8" t="s">
        <v>145</v>
      </c>
      <c r="E37" s="8" t="s">
        <v>145</v>
      </c>
      <c r="F37" s="8" t="s">
        <v>145</v>
      </c>
      <c r="G37" s="8" t="s">
        <v>145</v>
      </c>
      <c r="H37" s="8" t="s">
        <v>145</v>
      </c>
      <c r="I37" s="8" t="s">
        <v>145</v>
      </c>
      <c r="J37" s="8">
        <v>2.0</v>
      </c>
      <c r="K37" s="8">
        <v>2.0</v>
      </c>
      <c r="L37" s="8">
        <v>2.0</v>
      </c>
      <c r="M37" s="8">
        <v>2.0</v>
      </c>
      <c r="N37" s="8">
        <v>2.0</v>
      </c>
      <c r="O37" s="8">
        <v>2.0</v>
      </c>
      <c r="P37" s="8">
        <v>2.0</v>
      </c>
      <c r="Q37" s="8">
        <v>2.0</v>
      </c>
      <c r="R37" s="8">
        <v>2.0</v>
      </c>
    </row>
    <row r="38" ht="13.5" customHeight="1">
      <c r="A38" s="13" t="s">
        <v>146</v>
      </c>
      <c r="B38" s="5"/>
      <c r="C38" s="5"/>
      <c r="D38" s="5"/>
      <c r="E38" s="5"/>
      <c r="F38" s="6"/>
      <c r="G38" s="13"/>
      <c r="H38" s="5"/>
      <c r="I38" s="5"/>
      <c r="J38" s="5"/>
      <c r="K38" s="6"/>
      <c r="L38" s="13"/>
      <c r="M38" s="5"/>
      <c r="N38" s="5"/>
      <c r="O38" s="5"/>
      <c r="P38" s="6"/>
      <c r="Q38" s="13"/>
      <c r="R38" s="6"/>
    </row>
    <row r="39" ht="13.5" customHeight="1">
      <c r="A39" s="10" t="s">
        <v>147</v>
      </c>
      <c r="B39" s="3">
        <v>136.0</v>
      </c>
      <c r="C39" s="3">
        <v>116.7</v>
      </c>
      <c r="D39" s="3">
        <v>146.5</v>
      </c>
      <c r="E39" s="3">
        <v>161.9</v>
      </c>
      <c r="F39" s="3">
        <v>335.0</v>
      </c>
      <c r="G39" s="3">
        <v>573.6</v>
      </c>
      <c r="H39" s="3">
        <v>511.1</v>
      </c>
      <c r="I39" s="3">
        <v>413.7</v>
      </c>
      <c r="J39" s="3">
        <v>410.0</v>
      </c>
      <c r="K39" s="3">
        <v>408.0</v>
      </c>
      <c r="L39" s="3">
        <v>156.8</v>
      </c>
      <c r="M39" s="3">
        <v>441.4</v>
      </c>
      <c r="N39" s="3">
        <v>655.8</v>
      </c>
      <c r="O39" s="3">
        <v>563.1</v>
      </c>
      <c r="P39" s="3">
        <v>623.1</v>
      </c>
      <c r="Q39" s="3">
        <v>795.0</v>
      </c>
      <c r="R39" s="3">
        <v>198.0</v>
      </c>
    </row>
    <row r="40" ht="13.5" customHeight="1">
      <c r="A40" s="10" t="s">
        <v>148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</row>
    <row r="41" ht="13.5" customHeight="1">
      <c r="A41" s="10" t="s">
        <v>149</v>
      </c>
      <c r="B41" s="3">
        <v>40.3</v>
      </c>
      <c r="C41" s="3">
        <v>91.1</v>
      </c>
      <c r="D41" s="3">
        <v>122.0</v>
      </c>
      <c r="E41" s="3">
        <v>105.0</v>
      </c>
      <c r="F41" s="3">
        <v>214.3</v>
      </c>
      <c r="G41" s="3">
        <v>1.8</v>
      </c>
      <c r="H41" s="3">
        <v>2.3</v>
      </c>
      <c r="I41" s="3">
        <v>271.5</v>
      </c>
      <c r="J41" s="3">
        <v>347.4</v>
      </c>
      <c r="K41" s="3">
        <v>51.4</v>
      </c>
      <c r="L41" s="3">
        <v>20.8</v>
      </c>
      <c r="M41" s="3">
        <v>297.2</v>
      </c>
      <c r="N41" s="3">
        <v>44.7</v>
      </c>
      <c r="O41" s="3">
        <v>481.7</v>
      </c>
      <c r="P41" s="3">
        <v>0.6</v>
      </c>
      <c r="Q41" s="3">
        <v>0.6</v>
      </c>
      <c r="R41" s="3">
        <v>451.0</v>
      </c>
    </row>
    <row r="42" ht="13.5" customHeight="1">
      <c r="A42" s="10" t="s">
        <v>150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</row>
    <row r="43" ht="13.5" customHeight="1">
      <c r="A43" s="10" t="s">
        <v>151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304.3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613.0</v>
      </c>
    </row>
    <row r="44" ht="13.5" customHeight="1">
      <c r="A44" s="10" t="s">
        <v>152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96.1</v>
      </c>
      <c r="K44" s="3">
        <v>98.4</v>
      </c>
      <c r="L44" s="3">
        <v>106.5</v>
      </c>
      <c r="M44" s="3">
        <v>118.9</v>
      </c>
      <c r="N44" s="3">
        <v>124.4</v>
      </c>
      <c r="O44" s="3">
        <v>133.8</v>
      </c>
      <c r="P44" s="3">
        <v>145.5</v>
      </c>
      <c r="Q44" s="3">
        <v>154.6</v>
      </c>
      <c r="R44" s="3">
        <v>157.0</v>
      </c>
    </row>
    <row r="45" ht="13.5" customHeight="1">
      <c r="A45" s="10" t="s">
        <v>153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</row>
    <row r="46" ht="13.5" customHeight="1">
      <c r="A46" s="10" t="s">
        <v>154</v>
      </c>
      <c r="B46" s="3">
        <v>34.7</v>
      </c>
      <c r="C46" s="3">
        <v>53.3</v>
      </c>
      <c r="D46" s="3">
        <v>37.7</v>
      </c>
      <c r="E46" s="3">
        <v>48.7</v>
      </c>
      <c r="F46" s="3">
        <v>47.4</v>
      </c>
      <c r="G46" s="3">
        <v>65.6</v>
      </c>
      <c r="H46" s="3">
        <v>98.9</v>
      </c>
      <c r="I46" s="3">
        <v>111.6</v>
      </c>
      <c r="J46" s="3">
        <v>5.6</v>
      </c>
      <c r="K46" s="3">
        <v>6.3</v>
      </c>
      <c r="L46" s="3">
        <v>4.9</v>
      </c>
      <c r="M46" s="3">
        <v>4.3</v>
      </c>
      <c r="N46" s="3">
        <v>3.8</v>
      </c>
      <c r="O46" s="3">
        <v>198.4</v>
      </c>
      <c r="P46" s="3">
        <v>250.3</v>
      </c>
      <c r="Q46" s="3">
        <v>181.1</v>
      </c>
      <c r="R46" s="3">
        <v>176.0</v>
      </c>
    </row>
    <row r="47" ht="13.5" customHeight="1">
      <c r="A47" s="7" t="s">
        <v>155</v>
      </c>
      <c r="B47" s="8">
        <v>211.0</v>
      </c>
      <c r="C47" s="8">
        <v>261.1</v>
      </c>
      <c r="D47" s="8">
        <v>306.2</v>
      </c>
      <c r="E47" s="8">
        <v>315.6</v>
      </c>
      <c r="F47" s="8">
        <v>596.8</v>
      </c>
      <c r="G47" s="8">
        <v>640.9</v>
      </c>
      <c r="H47" s="8">
        <v>612.3</v>
      </c>
      <c r="I47" s="8">
        <v>796.9</v>
      </c>
      <c r="J47" s="8">
        <v>859.1</v>
      </c>
      <c r="K47" s="8">
        <v>564.1</v>
      </c>
      <c r="L47" s="8">
        <v>593.3</v>
      </c>
      <c r="M47" s="8">
        <v>861.9</v>
      </c>
      <c r="N47" s="8">
        <v>828.6</v>
      </c>
      <c r="O47" s="9">
        <v>1377.0</v>
      </c>
      <c r="P47" s="9">
        <v>1019.4</v>
      </c>
      <c r="Q47" s="9">
        <v>1131.3</v>
      </c>
      <c r="R47" s="9">
        <v>1595.0</v>
      </c>
    </row>
    <row r="48" ht="13.5" customHeight="1">
      <c r="A48" s="10" t="s">
        <v>156</v>
      </c>
      <c r="B48" s="11">
        <v>1236.2</v>
      </c>
      <c r="C48" s="11">
        <v>1408.1</v>
      </c>
      <c r="D48" s="11">
        <v>1225.3</v>
      </c>
      <c r="E48" s="11">
        <v>1337.3</v>
      </c>
      <c r="F48" s="11">
        <v>1590.3</v>
      </c>
      <c r="G48" s="11">
        <v>3010.3</v>
      </c>
      <c r="H48" s="11">
        <v>3469.6</v>
      </c>
      <c r="I48" s="11">
        <v>2645.5</v>
      </c>
      <c r="J48" s="11">
        <v>2307.6</v>
      </c>
      <c r="K48" s="11">
        <v>2693.4</v>
      </c>
      <c r="L48" s="11">
        <v>2995.9</v>
      </c>
      <c r="M48" s="11">
        <v>2771.3</v>
      </c>
      <c r="N48" s="11">
        <v>2706.5</v>
      </c>
      <c r="O48" s="11">
        <v>2668.7</v>
      </c>
      <c r="P48" s="11">
        <v>3981.7</v>
      </c>
      <c r="Q48" s="11">
        <v>5256.0</v>
      </c>
      <c r="R48" s="11">
        <v>4812.0</v>
      </c>
    </row>
    <row r="49" ht="13.5" customHeight="1">
      <c r="A49" s="10" t="s">
        <v>157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</row>
    <row r="50" ht="13.5" customHeight="1">
      <c r="A50" s="10" t="s">
        <v>69</v>
      </c>
      <c r="B50" s="3">
        <v>140.6</v>
      </c>
      <c r="C50" s="3">
        <v>161.0</v>
      </c>
      <c r="D50" s="3">
        <v>220.1</v>
      </c>
      <c r="E50" s="3">
        <v>275.6</v>
      </c>
      <c r="F50" s="3">
        <v>184.9</v>
      </c>
      <c r="G50" s="11">
        <v>1196.9</v>
      </c>
      <c r="H50" s="11">
        <v>1006.8</v>
      </c>
      <c r="I50" s="3">
        <v>928.3</v>
      </c>
      <c r="J50" s="3">
        <v>982.3</v>
      </c>
      <c r="K50" s="11">
        <v>1054.8</v>
      </c>
      <c r="L50" s="3">
        <v>984.9</v>
      </c>
      <c r="M50" s="11">
        <v>1327.9</v>
      </c>
      <c r="N50" s="11">
        <v>1281.8</v>
      </c>
      <c r="O50" s="11">
        <v>1337.7</v>
      </c>
      <c r="P50" s="11">
        <v>1451.9</v>
      </c>
      <c r="Q50" s="11">
        <v>1699.3</v>
      </c>
      <c r="R50" s="11">
        <v>1085.0</v>
      </c>
    </row>
    <row r="51" ht="13.5" customHeight="1">
      <c r="A51" s="10" t="s">
        <v>158</v>
      </c>
      <c r="B51" s="3">
        <v>13.8</v>
      </c>
      <c r="C51" s="3">
        <v>39.9</v>
      </c>
      <c r="D51" s="3">
        <v>33.3</v>
      </c>
      <c r="E51" s="3">
        <v>27.3</v>
      </c>
      <c r="F51" s="3">
        <v>541.6</v>
      </c>
      <c r="G51" s="3">
        <v>643.8</v>
      </c>
      <c r="H51" s="3">
        <v>634.7</v>
      </c>
      <c r="I51" s="3">
        <v>735.4</v>
      </c>
      <c r="J51" s="3">
        <v>915.9</v>
      </c>
      <c r="K51" s="11">
        <v>1051.5</v>
      </c>
      <c r="L51" s="11">
        <v>1138.6</v>
      </c>
      <c r="M51" s="11">
        <v>1208.6</v>
      </c>
      <c r="N51" s="11">
        <v>1285.6</v>
      </c>
      <c r="O51" s="11">
        <v>1056.6</v>
      </c>
      <c r="P51" s="3">
        <v>930.5</v>
      </c>
      <c r="Q51" s="3">
        <v>981.5</v>
      </c>
      <c r="R51" s="11">
        <v>1195.0</v>
      </c>
    </row>
    <row r="52" ht="13.5" customHeight="1">
      <c r="A52" s="10" t="s">
        <v>159</v>
      </c>
      <c r="B52" s="3">
        <v>0.0</v>
      </c>
      <c r="C52" s="3">
        <v>0.7</v>
      </c>
      <c r="D52" s="3">
        <v>0.8</v>
      </c>
      <c r="E52" s="3">
        <v>0.9</v>
      </c>
      <c r="F52" s="3">
        <v>17.8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241.0</v>
      </c>
      <c r="R52" s="3">
        <v>281.0</v>
      </c>
    </row>
    <row r="53" ht="13.5" customHeight="1">
      <c r="A53" s="10" t="s">
        <v>160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</row>
    <row r="54" ht="13.5" customHeight="1">
      <c r="A54" s="10" t="s">
        <v>161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</row>
    <row r="55" ht="13.5" customHeight="1">
      <c r="A55" s="7" t="s">
        <v>162</v>
      </c>
      <c r="B55" s="9">
        <v>1390.6</v>
      </c>
      <c r="C55" s="9">
        <v>1609.7</v>
      </c>
      <c r="D55" s="9">
        <v>1479.5</v>
      </c>
      <c r="E55" s="9">
        <v>1641.1</v>
      </c>
      <c r="F55" s="9">
        <v>2334.7</v>
      </c>
      <c r="G55" s="9">
        <v>4851.1</v>
      </c>
      <c r="H55" s="9">
        <v>5111.2</v>
      </c>
      <c r="I55" s="9">
        <v>4309.2</v>
      </c>
      <c r="J55" s="9">
        <v>4205.8</v>
      </c>
      <c r="K55" s="9">
        <v>4799.7</v>
      </c>
      <c r="L55" s="9">
        <v>5119.5</v>
      </c>
      <c r="M55" s="9">
        <v>5307.8</v>
      </c>
      <c r="N55" s="9">
        <v>5274.0</v>
      </c>
      <c r="O55" s="9">
        <v>5063.1</v>
      </c>
      <c r="P55" s="9">
        <v>6364.0</v>
      </c>
      <c r="Q55" s="9">
        <v>8177.7</v>
      </c>
      <c r="R55" s="9">
        <v>7373.0</v>
      </c>
    </row>
    <row r="56" ht="13.5" customHeight="1">
      <c r="A56" s="7" t="s">
        <v>163</v>
      </c>
      <c r="B56" s="9">
        <v>1601.6</v>
      </c>
      <c r="C56" s="9">
        <v>1870.8</v>
      </c>
      <c r="D56" s="9">
        <v>1785.7</v>
      </c>
      <c r="E56" s="9">
        <v>1956.7</v>
      </c>
      <c r="F56" s="9">
        <v>2931.4</v>
      </c>
      <c r="G56" s="9">
        <v>5492.0</v>
      </c>
      <c r="H56" s="9">
        <v>5723.5</v>
      </c>
      <c r="I56" s="9">
        <v>5106.1</v>
      </c>
      <c r="J56" s="9">
        <v>5064.9</v>
      </c>
      <c r="K56" s="9">
        <v>5363.8</v>
      </c>
      <c r="L56" s="9">
        <v>5712.8</v>
      </c>
      <c r="M56" s="9">
        <v>6169.7</v>
      </c>
      <c r="N56" s="9">
        <v>6102.6</v>
      </c>
      <c r="O56" s="9">
        <v>6440.1</v>
      </c>
      <c r="P56" s="9">
        <v>7383.4</v>
      </c>
      <c r="Q56" s="9">
        <v>9309.0</v>
      </c>
      <c r="R56" s="9">
        <v>8968.0</v>
      </c>
    </row>
    <row r="57" ht="13.5" customHeight="1">
      <c r="A57" s="10" t="s">
        <v>164</v>
      </c>
      <c r="B57" s="3">
        <v>18.4</v>
      </c>
      <c r="C57" s="3">
        <v>0.0</v>
      </c>
      <c r="D57" s="3">
        <v>543.9</v>
      </c>
      <c r="E57" s="3">
        <v>543.9</v>
      </c>
      <c r="F57" s="3">
        <v>543.9</v>
      </c>
      <c r="G57" s="11">
        <v>1073.7</v>
      </c>
      <c r="H57" s="3">
        <v>908.5</v>
      </c>
      <c r="I57" s="3">
        <v>724.9</v>
      </c>
      <c r="J57" s="3">
        <v>724.9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293.2</v>
      </c>
      <c r="R57" s="3">
        <v>0.0</v>
      </c>
    </row>
    <row r="58" ht="13.5" customHeight="1">
      <c r="A58" s="10" t="s">
        <v>165</v>
      </c>
      <c r="B58" s="3">
        <v>567.8</v>
      </c>
      <c r="C58" s="3">
        <v>579.4</v>
      </c>
      <c r="D58" s="3">
        <v>871.7</v>
      </c>
      <c r="E58" s="11">
        <v>1233.7</v>
      </c>
      <c r="F58" s="11">
        <v>1846.5</v>
      </c>
      <c r="G58" s="11">
        <v>2222.2</v>
      </c>
      <c r="H58" s="11">
        <v>1881.0</v>
      </c>
      <c r="I58" s="11">
        <v>1770.1</v>
      </c>
      <c r="J58" s="11">
        <v>1767.1</v>
      </c>
      <c r="K58" s="11">
        <v>2053.1</v>
      </c>
      <c r="L58" s="11">
        <v>1809.7</v>
      </c>
      <c r="M58" s="11">
        <v>1994.0</v>
      </c>
      <c r="N58" s="11">
        <v>2255.2</v>
      </c>
      <c r="O58" s="11">
        <v>2498.0</v>
      </c>
      <c r="P58" s="11">
        <v>2770.5</v>
      </c>
      <c r="Q58" s="11">
        <v>2923.7</v>
      </c>
      <c r="R58" s="11">
        <v>3754.0</v>
      </c>
    </row>
    <row r="59" ht="13.5" customHeight="1">
      <c r="A59" s="10" t="s">
        <v>166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11">
        <v>2750.0</v>
      </c>
    </row>
    <row r="60" ht="13.5" customHeight="1">
      <c r="A60" s="10" t="s">
        <v>167</v>
      </c>
      <c r="B60" s="3">
        <v>5.6</v>
      </c>
      <c r="C60" s="3">
        <v>5.5</v>
      </c>
      <c r="D60" s="3">
        <v>4.2</v>
      </c>
      <c r="E60" s="3">
        <v>4.3</v>
      </c>
      <c r="F60" s="11">
        <v>1252.2</v>
      </c>
      <c r="G60" s="11">
        <v>2109.1</v>
      </c>
      <c r="H60" s="11">
        <v>2109.9</v>
      </c>
      <c r="I60" s="11">
        <v>2110.0</v>
      </c>
      <c r="J60" s="11">
        <v>2135.4</v>
      </c>
      <c r="K60" s="11">
        <v>2522.4</v>
      </c>
      <c r="L60" s="11">
        <v>1982.1</v>
      </c>
      <c r="M60" s="11">
        <v>2061.9</v>
      </c>
      <c r="N60" s="11">
        <v>2289.8</v>
      </c>
      <c r="O60" s="11">
        <v>2113.8</v>
      </c>
      <c r="P60" s="11">
        <v>2303.8</v>
      </c>
      <c r="Q60" s="11">
        <v>2405.8</v>
      </c>
      <c r="R60" s="3">
        <v>77.0</v>
      </c>
    </row>
    <row r="61" ht="13.5" customHeight="1">
      <c r="A61" s="10" t="s">
        <v>168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1.3</v>
      </c>
      <c r="H61" s="3">
        <v>1.5</v>
      </c>
      <c r="I61" s="3">
        <v>0.5</v>
      </c>
      <c r="J61" s="3">
        <v>0.4</v>
      </c>
      <c r="K61" s="3">
        <v>0.4</v>
      </c>
      <c r="L61" s="3">
        <v>0.3</v>
      </c>
      <c r="M61" s="3">
        <v>0.3</v>
      </c>
      <c r="N61" s="3">
        <v>23.0</v>
      </c>
      <c r="O61" s="3">
        <v>0.0</v>
      </c>
      <c r="P61" s="3">
        <v>0.0</v>
      </c>
      <c r="Q61" s="3">
        <v>0.0</v>
      </c>
      <c r="R61" s="3">
        <v>0.0</v>
      </c>
    </row>
    <row r="62" ht="13.5" customHeight="1">
      <c r="A62" s="10" t="s">
        <v>169</v>
      </c>
      <c r="B62" s="3">
        <v>199.9</v>
      </c>
      <c r="C62" s="3">
        <v>211.4</v>
      </c>
      <c r="D62" s="3">
        <v>210.4</v>
      </c>
      <c r="E62" s="3">
        <v>224.7</v>
      </c>
      <c r="F62" s="3">
        <v>254.4</v>
      </c>
      <c r="G62" s="3">
        <v>111.8</v>
      </c>
      <c r="H62" s="3">
        <v>-230.3</v>
      </c>
      <c r="I62" s="3">
        <v>-340.3</v>
      </c>
      <c r="J62" s="3">
        <v>-369.2</v>
      </c>
      <c r="K62" s="3">
        <v>-471.5</v>
      </c>
      <c r="L62" s="3">
        <v>-172.7</v>
      </c>
      <c r="M62" s="3">
        <v>-68.1</v>
      </c>
      <c r="N62" s="3">
        <v>-57.7</v>
      </c>
      <c r="O62" s="3">
        <v>384.7</v>
      </c>
      <c r="P62" s="3">
        <v>457.7</v>
      </c>
      <c r="Q62" s="3">
        <v>516.5</v>
      </c>
      <c r="R62" s="11">
        <v>1020.0</v>
      </c>
    </row>
    <row r="63" ht="13.5" customHeight="1">
      <c r="A63" s="10" t="s">
        <v>170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</row>
    <row r="64" ht="13.5" customHeight="1">
      <c r="A64" s="10" t="s">
        <v>171</v>
      </c>
      <c r="B64" s="3">
        <v>362.3</v>
      </c>
      <c r="C64" s="3">
        <v>362.4</v>
      </c>
      <c r="D64" s="3">
        <v>657.1</v>
      </c>
      <c r="E64" s="11">
        <v>1004.6</v>
      </c>
      <c r="F64" s="3">
        <v>339.9</v>
      </c>
      <c r="G64" s="3">
        <v>0.0</v>
      </c>
      <c r="H64" s="3">
        <v>0.0</v>
      </c>
      <c r="I64" s="3">
        <v>0.0</v>
      </c>
      <c r="J64" s="3">
        <v>0.4</v>
      </c>
      <c r="K64" s="3">
        <v>1.9</v>
      </c>
      <c r="L64" s="3">
        <v>0.0</v>
      </c>
      <c r="M64" s="3">
        <v>0.0</v>
      </c>
      <c r="N64" s="3">
        <v>0.0</v>
      </c>
      <c r="O64" s="3">
        <v>-0.6</v>
      </c>
      <c r="P64" s="3">
        <v>9.0</v>
      </c>
      <c r="Q64" s="3">
        <v>1.5</v>
      </c>
      <c r="R64" s="3">
        <v>-93.0</v>
      </c>
    </row>
    <row r="65" ht="13.5" customHeight="1">
      <c r="A65" s="10" t="s">
        <v>172</v>
      </c>
      <c r="B65" s="3">
        <v>0.0</v>
      </c>
      <c r="C65" s="3">
        <v>0.0</v>
      </c>
      <c r="D65" s="3">
        <v>0.0</v>
      </c>
      <c r="E65" s="11">
        <v>3114.9</v>
      </c>
      <c r="F65" s="11">
        <v>3980.7</v>
      </c>
      <c r="G65" s="11">
        <v>6306.3</v>
      </c>
      <c r="H65" s="11">
        <v>6259.2</v>
      </c>
      <c r="I65" s="11">
        <v>5140.6</v>
      </c>
      <c r="J65" s="11">
        <v>4799.6</v>
      </c>
      <c r="K65" s="11">
        <v>4746.5</v>
      </c>
      <c r="L65" s="11">
        <v>4805.6</v>
      </c>
      <c r="M65" s="11">
        <v>4765.4</v>
      </c>
      <c r="N65" s="11">
        <v>4961.7</v>
      </c>
      <c r="O65" s="11">
        <v>5166.7</v>
      </c>
      <c r="P65" s="11">
        <v>6752.2</v>
      </c>
      <c r="Q65" s="11">
        <v>8472.8</v>
      </c>
      <c r="R65" s="11">
        <v>8566.0</v>
      </c>
    </row>
    <row r="66" ht="13.5" customHeight="1">
      <c r="A66" s="7" t="s">
        <v>173</v>
      </c>
      <c r="B66" s="8">
        <v>586.2</v>
      </c>
      <c r="C66" s="8">
        <v>579.4</v>
      </c>
      <c r="D66" s="9">
        <v>1415.6</v>
      </c>
      <c r="E66" s="9">
        <v>1777.6</v>
      </c>
      <c r="F66" s="9">
        <v>2390.4</v>
      </c>
      <c r="G66" s="9">
        <v>3295.9</v>
      </c>
      <c r="H66" s="9">
        <v>2789.5</v>
      </c>
      <c r="I66" s="9">
        <v>2495.1</v>
      </c>
      <c r="J66" s="9">
        <v>2492.0</v>
      </c>
      <c r="K66" s="9">
        <v>2053.1</v>
      </c>
      <c r="L66" s="9">
        <v>1809.7</v>
      </c>
      <c r="M66" s="9">
        <v>1994.0</v>
      </c>
      <c r="N66" s="9">
        <v>2255.2</v>
      </c>
      <c r="O66" s="9">
        <v>2498.0</v>
      </c>
      <c r="P66" s="9">
        <v>2770.5</v>
      </c>
      <c r="Q66" s="9">
        <v>3216.9</v>
      </c>
      <c r="R66" s="9">
        <v>3754.0</v>
      </c>
    </row>
    <row r="67" ht="13.5" customHeight="1">
      <c r="A67" s="7" t="s">
        <v>174</v>
      </c>
      <c r="B67" s="9">
        <v>2187.8</v>
      </c>
      <c r="C67" s="9">
        <v>2450.2</v>
      </c>
      <c r="D67" s="9">
        <v>3201.3</v>
      </c>
      <c r="E67" s="9">
        <v>3734.3</v>
      </c>
      <c r="F67" s="9">
        <v>5321.9</v>
      </c>
      <c r="G67" s="9">
        <v>8788.0</v>
      </c>
      <c r="H67" s="9">
        <v>8513.0</v>
      </c>
      <c r="I67" s="9">
        <v>7601.1</v>
      </c>
      <c r="J67" s="9">
        <v>7556.9</v>
      </c>
      <c r="K67" s="9">
        <v>7416.9</v>
      </c>
      <c r="L67" s="9">
        <v>7522.5</v>
      </c>
      <c r="M67" s="9">
        <v>8163.7</v>
      </c>
      <c r="N67" s="9">
        <v>8357.8</v>
      </c>
      <c r="O67" s="9">
        <v>8938.1</v>
      </c>
      <c r="P67" s="9">
        <v>10154.0</v>
      </c>
      <c r="Q67" s="9">
        <v>12525.9</v>
      </c>
      <c r="R67" s="9">
        <v>12722.0</v>
      </c>
    </row>
    <row r="68" ht="13.5" customHeight="1">
      <c r="A68" s="10" t="s">
        <v>175</v>
      </c>
      <c r="B68" s="3">
        <v>153.6</v>
      </c>
      <c r="C68" s="3">
        <v>91.2</v>
      </c>
      <c r="D68" s="3">
        <v>174.6</v>
      </c>
      <c r="E68" s="3">
        <v>180.0</v>
      </c>
      <c r="F68" s="3">
        <v>299.4</v>
      </c>
      <c r="G68" s="3">
        <v>324.0</v>
      </c>
      <c r="H68" s="3">
        <v>247.3</v>
      </c>
      <c r="I68" s="3">
        <v>538.4</v>
      </c>
      <c r="J68" s="3">
        <v>636.3</v>
      </c>
      <c r="K68" s="3">
        <v>701.6</v>
      </c>
      <c r="L68" s="3">
        <v>956.6</v>
      </c>
      <c r="M68" s="3">
        <v>861.6</v>
      </c>
      <c r="N68" s="11">
        <v>1180.3</v>
      </c>
      <c r="O68" s="11">
        <v>1122.4</v>
      </c>
      <c r="P68" s="11">
        <v>1193.0</v>
      </c>
      <c r="Q68" s="11">
        <v>1126.5</v>
      </c>
      <c r="R68" s="11">
        <v>1574.0</v>
      </c>
    </row>
    <row r="69" ht="13.5" customHeight="1">
      <c r="A69" s="10" t="s">
        <v>176</v>
      </c>
      <c r="B69" s="3">
        <v>-142.6</v>
      </c>
      <c r="C69" s="3">
        <v>-198.5</v>
      </c>
      <c r="D69" s="3">
        <v>-189.4</v>
      </c>
      <c r="E69" s="3">
        <v>-218.6</v>
      </c>
      <c r="F69" s="3">
        <v>-498.0</v>
      </c>
      <c r="G69" s="3">
        <v>-242.5</v>
      </c>
      <c r="H69" s="3">
        <v>-267.8</v>
      </c>
      <c r="I69" s="3">
        <v>-536.6</v>
      </c>
      <c r="J69" s="3">
        <v>-679.6</v>
      </c>
      <c r="K69" s="3">
        <v>-383.4</v>
      </c>
      <c r="L69" s="3">
        <v>-380.3</v>
      </c>
      <c r="M69" s="3">
        <v>-271.7</v>
      </c>
      <c r="N69" s="3">
        <v>-424.2</v>
      </c>
      <c r="O69" s="3">
        <v>-619.3</v>
      </c>
      <c r="P69" s="3">
        <v>-423.9</v>
      </c>
      <c r="Q69" s="3">
        <v>131.0</v>
      </c>
      <c r="R69" s="3">
        <v>-544.0</v>
      </c>
    </row>
    <row r="70" ht="13.5" customHeight="1">
      <c r="A70" s="10" t="s">
        <v>177</v>
      </c>
      <c r="B70" s="3">
        <v>-138.4</v>
      </c>
      <c r="C70" s="3">
        <v>-109.0</v>
      </c>
      <c r="D70" s="3">
        <v>-268.0</v>
      </c>
      <c r="E70" s="3">
        <v>-232.4</v>
      </c>
      <c r="F70" s="3">
        <v>-630.6</v>
      </c>
      <c r="G70" s="11">
        <v>-1188.0</v>
      </c>
      <c r="H70" s="3">
        <v>-623.4</v>
      </c>
      <c r="I70" s="3">
        <v>63.6</v>
      </c>
      <c r="J70" s="3">
        <v>242.6</v>
      </c>
      <c r="K70" s="3">
        <v>205.4</v>
      </c>
      <c r="L70" s="3">
        <v>197.2</v>
      </c>
      <c r="M70" s="3">
        <v>276.6</v>
      </c>
      <c r="N70" s="3">
        <v>514.8</v>
      </c>
      <c r="O70" s="3">
        <v>181.9</v>
      </c>
      <c r="P70" s="3">
        <v>85.6</v>
      </c>
      <c r="Q70" s="3">
        <v>-484.5</v>
      </c>
      <c r="R70" s="3">
        <v>694.0</v>
      </c>
    </row>
    <row r="71" ht="13.5" customHeight="1">
      <c r="A71" s="10" t="s">
        <v>178</v>
      </c>
      <c r="B71" s="11">
        <v>1822.4</v>
      </c>
      <c r="C71" s="11">
        <v>1987.5</v>
      </c>
      <c r="D71" s="11">
        <v>2640.9</v>
      </c>
      <c r="E71" s="11">
        <v>3114.9</v>
      </c>
      <c r="F71" s="11">
        <v>3980.7</v>
      </c>
      <c r="G71" s="11">
        <v>6306.3</v>
      </c>
      <c r="H71" s="11">
        <v>6259.2</v>
      </c>
      <c r="I71" s="11">
        <v>5140.6</v>
      </c>
      <c r="J71" s="11">
        <v>4799.6</v>
      </c>
      <c r="K71" s="11">
        <v>4746.5</v>
      </c>
      <c r="L71" s="11">
        <v>4805.6</v>
      </c>
      <c r="M71" s="11">
        <v>4765.4</v>
      </c>
      <c r="N71" s="11">
        <v>4961.7</v>
      </c>
      <c r="O71" s="11">
        <v>5166.7</v>
      </c>
      <c r="P71" s="11">
        <v>6752.2</v>
      </c>
      <c r="Q71" s="11">
        <v>8472.8</v>
      </c>
      <c r="R71" s="11">
        <v>8566.0</v>
      </c>
    </row>
    <row r="72" ht="13.5" customHeight="1">
      <c r="A72" s="10" t="s">
        <v>179</v>
      </c>
      <c r="B72" s="3">
        <v>243.8</v>
      </c>
      <c r="C72" s="3">
        <v>244.7</v>
      </c>
      <c r="D72" s="3">
        <v>307.2</v>
      </c>
      <c r="E72" s="3">
        <v>336.3</v>
      </c>
      <c r="F72" s="3">
        <v>388.4</v>
      </c>
      <c r="G72" s="3">
        <v>440.7</v>
      </c>
      <c r="H72" s="3">
        <v>440.9</v>
      </c>
      <c r="I72" s="3">
        <v>441.0</v>
      </c>
      <c r="J72" s="3">
        <v>440.9</v>
      </c>
      <c r="K72" s="3">
        <v>417.3</v>
      </c>
      <c r="L72" s="3">
        <v>429.9</v>
      </c>
      <c r="M72" s="3">
        <v>408.8</v>
      </c>
      <c r="N72" s="3">
        <v>428.4</v>
      </c>
      <c r="O72" s="3">
        <v>430.2</v>
      </c>
      <c r="P72" s="3">
        <v>433.1</v>
      </c>
      <c r="Q72" s="3">
        <v>437.7</v>
      </c>
      <c r="R72" s="3">
        <v>443.7</v>
      </c>
    </row>
    <row r="73" ht="13.5" customHeight="1">
      <c r="A73" s="10" t="s">
        <v>180</v>
      </c>
      <c r="B73" s="3">
        <v>0.5</v>
      </c>
      <c r="C73" s="3">
        <v>0.0</v>
      </c>
      <c r="D73" s="3">
        <v>12.7</v>
      </c>
      <c r="E73" s="3">
        <v>12.7</v>
      </c>
      <c r="F73" s="3">
        <v>12.7</v>
      </c>
      <c r="G73" s="3">
        <v>18.9</v>
      </c>
      <c r="H73" s="3">
        <v>18.8</v>
      </c>
      <c r="I73" s="3">
        <v>18.7</v>
      </c>
      <c r="J73" s="3">
        <v>18.7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12.0</v>
      </c>
      <c r="R73" s="3">
        <v>12.0</v>
      </c>
    </row>
    <row r="74" ht="13.5" customHeight="1">
      <c r="A74" s="10" t="s">
        <v>181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</row>
    <row r="75" ht="13.5" customHeight="1">
      <c r="A75" s="7" t="s">
        <v>182</v>
      </c>
      <c r="B75" s="8">
        <v>280.0</v>
      </c>
      <c r="C75" s="8">
        <v>280.1</v>
      </c>
      <c r="D75" s="8">
        <v>330.2</v>
      </c>
      <c r="E75" s="8">
        <v>359.2</v>
      </c>
      <c r="F75" s="8">
        <v>411.2</v>
      </c>
      <c r="G75" s="8">
        <v>463.5</v>
      </c>
      <c r="H75" s="8">
        <v>463.7</v>
      </c>
      <c r="I75" s="8">
        <v>463.7</v>
      </c>
      <c r="J75" s="8">
        <v>462.9</v>
      </c>
      <c r="K75" s="8">
        <v>440.0</v>
      </c>
      <c r="L75" s="8">
        <v>429.9</v>
      </c>
      <c r="M75" s="8">
        <v>431.3</v>
      </c>
      <c r="N75" s="8">
        <v>428.4</v>
      </c>
      <c r="O75" s="8">
        <v>430.2</v>
      </c>
      <c r="P75" s="8">
        <v>433.1</v>
      </c>
      <c r="Q75" s="8">
        <v>437.7</v>
      </c>
      <c r="R75" s="8">
        <v>443.7</v>
      </c>
    </row>
    <row r="76" ht="13.5" customHeight="1">
      <c r="A76" s="10" t="s">
        <v>183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</row>
    <row r="77" ht="13.5" customHeight="1">
      <c r="A77" s="7" t="s">
        <v>184</v>
      </c>
      <c r="B77" s="8">
        <v>0.0</v>
      </c>
      <c r="C77" s="8">
        <v>0.0</v>
      </c>
      <c r="D77" s="8">
        <v>0.0</v>
      </c>
      <c r="E77" s="8">
        <v>359.2</v>
      </c>
      <c r="F77" s="8">
        <v>377.9</v>
      </c>
      <c r="G77" s="8">
        <v>463.5</v>
      </c>
      <c r="H77" s="8">
        <v>463.6</v>
      </c>
      <c r="I77" s="8">
        <v>463.7</v>
      </c>
      <c r="J77" s="8">
        <v>463.2</v>
      </c>
      <c r="K77" s="8">
        <v>456.4</v>
      </c>
      <c r="L77" s="8">
        <v>435.3</v>
      </c>
      <c r="M77" s="8">
        <v>432.5</v>
      </c>
      <c r="N77" s="8">
        <v>429.7</v>
      </c>
      <c r="O77" s="8">
        <v>429.2</v>
      </c>
      <c r="P77" s="8">
        <v>432.7</v>
      </c>
      <c r="Q77" s="8">
        <v>434.9</v>
      </c>
      <c r="R77" s="8">
        <v>441.0</v>
      </c>
    </row>
    <row r="78" ht="13.5" customHeight="1">
      <c r="A78" s="7" t="s">
        <v>185</v>
      </c>
      <c r="B78" s="8">
        <v>0.0</v>
      </c>
      <c r="C78" s="8">
        <v>0.0</v>
      </c>
      <c r="D78" s="8">
        <v>0.0</v>
      </c>
      <c r="E78" s="8">
        <v>359.2</v>
      </c>
      <c r="F78" s="8">
        <v>377.9</v>
      </c>
      <c r="G78" s="8">
        <v>463.5</v>
      </c>
      <c r="H78" s="8">
        <v>463.6</v>
      </c>
      <c r="I78" s="8">
        <v>463.7</v>
      </c>
      <c r="J78" s="8">
        <v>463.2</v>
      </c>
      <c r="K78" s="8">
        <v>440.0</v>
      </c>
      <c r="L78" s="8">
        <v>435.3</v>
      </c>
      <c r="M78" s="8">
        <v>431.3</v>
      </c>
      <c r="N78" s="8">
        <v>428.4</v>
      </c>
      <c r="O78" s="8">
        <v>430.8</v>
      </c>
      <c r="P78" s="8">
        <v>433.9</v>
      </c>
      <c r="Q78" s="8">
        <v>436.0</v>
      </c>
      <c r="R78" s="8">
        <v>442.0</v>
      </c>
    </row>
    <row r="79" ht="13.5" customHeight="1">
      <c r="A79" s="10" t="s">
        <v>186</v>
      </c>
      <c r="B79" s="3">
        <v>1659.0</v>
      </c>
      <c r="C79" s="3">
        <v>2127.0</v>
      </c>
      <c r="D79" s="3">
        <v>2686.0</v>
      </c>
      <c r="E79" s="3">
        <v>2400.0</v>
      </c>
      <c r="F79" s="3">
        <v>2400.0</v>
      </c>
      <c r="G79" s="3">
        <v>2400.0</v>
      </c>
      <c r="H79" s="3">
        <v>5600.0</v>
      </c>
      <c r="I79" s="3">
        <v>5600.0</v>
      </c>
      <c r="J79" s="3">
        <v>6500.0</v>
      </c>
      <c r="K79" s="3">
        <v>7400.0</v>
      </c>
      <c r="L79" s="3">
        <v>8200.0</v>
      </c>
      <c r="M79" s="3">
        <v>9000.0</v>
      </c>
      <c r="N79" s="3">
        <v>9000.0</v>
      </c>
      <c r="O79" s="3">
        <v>10000.0</v>
      </c>
      <c r="P79" s="3">
        <v>13000.0</v>
      </c>
      <c r="Q79" s="3">
        <v>12500.0</v>
      </c>
      <c r="R79" s="3">
        <v>14000.0</v>
      </c>
    </row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1">
    <mergeCell ref="A38:F38"/>
    <mergeCell ref="G38:K38"/>
    <mergeCell ref="L38:P38"/>
    <mergeCell ref="Q38:R38"/>
    <mergeCell ref="G2:K2"/>
    <mergeCell ref="L2:P2"/>
    <mergeCell ref="Q2:R2"/>
    <mergeCell ref="A3:F3"/>
    <mergeCell ref="G3:K3"/>
    <mergeCell ref="L3:P3"/>
    <mergeCell ref="Q3:R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25"/>
    <col customWidth="1" min="2" max="26" width="7.63"/>
  </cols>
  <sheetData>
    <row r="1" ht="13.5" customHeight="1">
      <c r="A1" s="10" t="s">
        <v>108</v>
      </c>
      <c r="B1" s="3">
        <v>1996.0</v>
      </c>
      <c r="C1" s="3">
        <v>1997.0</v>
      </c>
      <c r="D1" s="3">
        <v>1998.0</v>
      </c>
      <c r="E1" s="3">
        <v>1999.0</v>
      </c>
      <c r="F1" s="3">
        <v>2000.0</v>
      </c>
      <c r="G1" s="3">
        <v>2001.0</v>
      </c>
      <c r="H1" s="3">
        <v>2002.0</v>
      </c>
      <c r="I1" s="3">
        <v>2003.0</v>
      </c>
      <c r="J1" s="3">
        <v>2004.0</v>
      </c>
      <c r="K1" s="3">
        <v>2005.0</v>
      </c>
      <c r="L1" s="3">
        <v>2006.0</v>
      </c>
      <c r="M1" s="3">
        <v>2007.0</v>
      </c>
      <c r="N1" s="3">
        <v>2008.0</v>
      </c>
      <c r="O1" s="3">
        <v>2009.0</v>
      </c>
      <c r="P1" s="3">
        <v>2010.0</v>
      </c>
      <c r="Q1" s="3">
        <v>2011.0</v>
      </c>
      <c r="R1" s="3">
        <v>2012.0</v>
      </c>
    </row>
    <row r="2" ht="13.5" customHeight="1">
      <c r="A2" s="12" t="s">
        <v>187</v>
      </c>
      <c r="B2" s="12"/>
      <c r="C2" s="12"/>
      <c r="D2" s="12"/>
      <c r="E2" s="12"/>
      <c r="F2" s="12"/>
      <c r="G2" s="4"/>
      <c r="H2" s="5"/>
      <c r="I2" s="5"/>
      <c r="J2" s="5"/>
      <c r="K2" s="6"/>
      <c r="L2" s="4"/>
      <c r="M2" s="5"/>
      <c r="N2" s="5"/>
      <c r="O2" s="5"/>
      <c r="P2" s="6"/>
      <c r="Q2" s="4"/>
      <c r="R2" s="6"/>
    </row>
    <row r="3" ht="13.5" customHeight="1">
      <c r="A3" s="13" t="s">
        <v>188</v>
      </c>
      <c r="B3" s="5"/>
      <c r="C3" s="5"/>
      <c r="D3" s="5"/>
      <c r="E3" s="5"/>
      <c r="F3" s="6"/>
      <c r="G3" s="13"/>
      <c r="H3" s="5"/>
      <c r="I3" s="5"/>
      <c r="J3" s="5"/>
      <c r="K3" s="6"/>
      <c r="L3" s="13"/>
      <c r="M3" s="5"/>
      <c r="N3" s="5"/>
      <c r="O3" s="5"/>
      <c r="P3" s="6"/>
      <c r="Q3" s="13"/>
      <c r="R3" s="6"/>
    </row>
    <row r="4" ht="13.5" customHeight="1">
      <c r="A4" s="10" t="s">
        <v>189</v>
      </c>
      <c r="B4" s="3">
        <v>10.1</v>
      </c>
      <c r="C4" s="3">
        <v>43.2</v>
      </c>
      <c r="D4" s="3">
        <v>0.0</v>
      </c>
      <c r="E4" s="3">
        <v>220.0</v>
      </c>
      <c r="F4" s="3">
        <v>75.5</v>
      </c>
      <c r="G4" s="3">
        <v>0.0</v>
      </c>
      <c r="H4" s="3">
        <v>0.0</v>
      </c>
      <c r="I4" s="3">
        <v>0.0</v>
      </c>
      <c r="J4" s="3">
        <v>92.7</v>
      </c>
      <c r="K4" s="3">
        <v>39.1</v>
      </c>
      <c r="L4" s="3">
        <v>16.0</v>
      </c>
      <c r="M4" s="3">
        <v>27.6</v>
      </c>
      <c r="N4" s="3">
        <v>73.9</v>
      </c>
      <c r="O4" s="3">
        <v>15.2</v>
      </c>
      <c r="P4" s="3">
        <v>17.4</v>
      </c>
      <c r="Q4" s="3">
        <v>21.7</v>
      </c>
      <c r="R4" s="3">
        <v>12.5</v>
      </c>
    </row>
    <row r="5" ht="13.5" customHeight="1">
      <c r="A5" s="10" t="s">
        <v>190</v>
      </c>
      <c r="B5" s="3">
        <v>12.2</v>
      </c>
      <c r="C5" s="3">
        <v>44.3</v>
      </c>
      <c r="D5" s="3">
        <v>0.0</v>
      </c>
      <c r="E5" s="3">
        <v>283.3</v>
      </c>
      <c r="F5" s="3">
        <v>103.4</v>
      </c>
      <c r="G5" s="3">
        <v>0.0</v>
      </c>
      <c r="H5" s="3">
        <v>0.0</v>
      </c>
      <c r="I5" s="3">
        <v>0.0</v>
      </c>
      <c r="J5" s="3">
        <v>110.5</v>
      </c>
      <c r="K5" s="3">
        <v>42.4</v>
      </c>
      <c r="L5" s="3">
        <v>16.5</v>
      </c>
      <c r="M5" s="3">
        <v>32.3</v>
      </c>
      <c r="N5" s="3">
        <v>85.3</v>
      </c>
      <c r="O5" s="3">
        <v>19.5</v>
      </c>
      <c r="P5" s="3">
        <v>17.9</v>
      </c>
      <c r="Q5" s="3">
        <v>22.8</v>
      </c>
      <c r="R5" s="3">
        <v>13.8</v>
      </c>
    </row>
    <row r="6" ht="13.5" customHeight="1">
      <c r="A6" s="10" t="s">
        <v>191</v>
      </c>
      <c r="B6" s="3">
        <v>7.0</v>
      </c>
      <c r="C6" s="3">
        <v>26.8</v>
      </c>
      <c r="D6" s="3">
        <v>0.0</v>
      </c>
      <c r="E6" s="3">
        <v>96.9</v>
      </c>
      <c r="F6" s="3">
        <v>43.8</v>
      </c>
      <c r="G6" s="3">
        <v>0.0</v>
      </c>
      <c r="H6" s="3">
        <v>0.0</v>
      </c>
      <c r="I6" s="3">
        <v>0.0</v>
      </c>
      <c r="J6" s="3">
        <v>36.4</v>
      </c>
      <c r="K6" s="3">
        <v>15.7</v>
      </c>
      <c r="L6" s="3">
        <v>5.6</v>
      </c>
      <c r="M6" s="3">
        <v>1.1</v>
      </c>
      <c r="N6" s="3">
        <v>54.8</v>
      </c>
      <c r="O6" s="3">
        <v>14.0</v>
      </c>
      <c r="P6" s="3">
        <v>14.9</v>
      </c>
      <c r="Q6" s="3">
        <v>18.5</v>
      </c>
      <c r="R6" s="3">
        <v>11.8</v>
      </c>
    </row>
    <row r="7" ht="13.5" customHeight="1">
      <c r="A7" s="10" t="s">
        <v>192</v>
      </c>
      <c r="B7" s="3">
        <v>45.7</v>
      </c>
      <c r="C7" s="3">
        <v>43.9</v>
      </c>
      <c r="D7" s="3">
        <v>42.1</v>
      </c>
      <c r="E7" s="3">
        <v>43.0</v>
      </c>
      <c r="F7" s="3">
        <v>41.0</v>
      </c>
      <c r="G7" s="3">
        <v>29.3</v>
      </c>
      <c r="H7" s="3">
        <v>33.5</v>
      </c>
      <c r="I7" s="3">
        <v>39.5</v>
      </c>
      <c r="J7" s="3">
        <v>44.5</v>
      </c>
      <c r="K7" s="3">
        <v>44.4</v>
      </c>
      <c r="L7" s="3">
        <v>43.8</v>
      </c>
      <c r="M7" s="3">
        <v>44.7</v>
      </c>
      <c r="N7" s="3">
        <v>61.7</v>
      </c>
      <c r="O7" s="3">
        <v>37.0</v>
      </c>
      <c r="P7" s="3">
        <v>64.2</v>
      </c>
      <c r="Q7" s="3">
        <v>41.1</v>
      </c>
      <c r="R7" s="3">
        <v>42.7</v>
      </c>
    </row>
    <row r="8" ht="13.5" customHeight="1">
      <c r="A8" s="10" t="s">
        <v>193</v>
      </c>
      <c r="B8" s="3">
        <v>27.6</v>
      </c>
      <c r="C8" s="3">
        <v>3.9</v>
      </c>
      <c r="D8" s="3">
        <v>10.4</v>
      </c>
      <c r="E8" s="3">
        <v>17.5</v>
      </c>
      <c r="F8" s="3">
        <v>19.2</v>
      </c>
      <c r="G8" s="3">
        <v>-31.7</v>
      </c>
      <c r="H8" s="3">
        <v>-19.7</v>
      </c>
      <c r="I8" s="3">
        <v>-0.9</v>
      </c>
      <c r="J8" s="3">
        <v>8.0</v>
      </c>
      <c r="K8" s="3">
        <v>11.5</v>
      </c>
      <c r="L8" s="3">
        <v>15.2</v>
      </c>
      <c r="M8" s="3">
        <v>19.2</v>
      </c>
      <c r="N8" s="3">
        <v>22.2</v>
      </c>
      <c r="O8" s="3">
        <v>21.4</v>
      </c>
      <c r="P8" s="3">
        <v>19.3</v>
      </c>
      <c r="Q8" s="3">
        <v>16.2</v>
      </c>
      <c r="R8" s="3">
        <v>19.5</v>
      </c>
    </row>
    <row r="9" ht="13.5" customHeight="1">
      <c r="A9" s="10" t="s">
        <v>194</v>
      </c>
      <c r="B9" s="3">
        <v>14.6</v>
      </c>
      <c r="C9" s="3">
        <v>0.0</v>
      </c>
      <c r="D9" s="3">
        <v>1.7</v>
      </c>
      <c r="E9" s="3">
        <v>6.3</v>
      </c>
      <c r="F9" s="3">
        <v>12.2</v>
      </c>
      <c r="G9" s="3">
        <v>-9.4</v>
      </c>
      <c r="H9" s="3">
        <v>-15.3</v>
      </c>
      <c r="I9" s="3">
        <v>-2.3</v>
      </c>
      <c r="J9" s="3">
        <v>4.4</v>
      </c>
      <c r="K9" s="3">
        <v>7.3</v>
      </c>
      <c r="L9" s="3">
        <v>18.6</v>
      </c>
      <c r="M9" s="3">
        <v>14.0</v>
      </c>
      <c r="N9" s="3">
        <v>21.6</v>
      </c>
      <c r="O9" s="3">
        <v>15.8</v>
      </c>
      <c r="P9" s="3">
        <v>14.3</v>
      </c>
      <c r="Q9" s="3">
        <v>11.9</v>
      </c>
      <c r="R9" s="3">
        <v>15.2</v>
      </c>
    </row>
    <row r="10" ht="13.5" customHeight="1">
      <c r="A10" s="10" t="s">
        <v>195</v>
      </c>
      <c r="B10" s="3">
        <v>11.6</v>
      </c>
      <c r="C10" s="3">
        <v>-3.9</v>
      </c>
      <c r="D10" s="3">
        <v>1.7</v>
      </c>
      <c r="E10" s="3">
        <v>6.3</v>
      </c>
      <c r="F10" s="3">
        <v>12.2</v>
      </c>
      <c r="G10" s="3">
        <v>-9.4</v>
      </c>
      <c r="H10" s="3">
        <v>-15.3</v>
      </c>
      <c r="I10" s="3">
        <v>-2.3</v>
      </c>
      <c r="J10" s="3">
        <v>4.4</v>
      </c>
      <c r="K10" s="3">
        <v>7.3</v>
      </c>
      <c r="L10" s="3">
        <v>18.6</v>
      </c>
      <c r="M10" s="3">
        <v>14.0</v>
      </c>
      <c r="N10" s="3">
        <v>21.6</v>
      </c>
      <c r="O10" s="3">
        <v>15.8</v>
      </c>
      <c r="P10" s="3">
        <v>14.3</v>
      </c>
      <c r="Q10" s="3">
        <v>10.0</v>
      </c>
      <c r="R10" s="3">
        <v>15.2</v>
      </c>
    </row>
    <row r="11" ht="13.5" customHeight="1">
      <c r="A11" s="10" t="s">
        <v>196</v>
      </c>
      <c r="B11" s="3">
        <v>2.3</v>
      </c>
      <c r="C11" s="3">
        <v>1.2</v>
      </c>
      <c r="D11" s="3">
        <v>1.6</v>
      </c>
      <c r="E11" s="3">
        <v>2.3</v>
      </c>
      <c r="F11" s="3">
        <v>2.6</v>
      </c>
      <c r="G11" s="3">
        <v>0.0</v>
      </c>
      <c r="H11" s="3">
        <v>0.0</v>
      </c>
      <c r="I11" s="3">
        <v>0.9</v>
      </c>
      <c r="J11" s="3">
        <v>1.8</v>
      </c>
      <c r="K11" s="3">
        <v>2.2</v>
      </c>
      <c r="L11" s="3">
        <v>2.5</v>
      </c>
      <c r="M11" s="3">
        <v>3.2</v>
      </c>
      <c r="N11" s="3">
        <v>4.0</v>
      </c>
      <c r="O11" s="3">
        <v>4.1</v>
      </c>
      <c r="P11" s="3">
        <v>3.9</v>
      </c>
      <c r="Q11" s="3">
        <v>3.3</v>
      </c>
      <c r="R11" s="3">
        <v>4.0</v>
      </c>
    </row>
    <row r="12" ht="13.5" customHeight="1">
      <c r="A12" s="10" t="s">
        <v>197</v>
      </c>
      <c r="B12" s="3">
        <v>6.9</v>
      </c>
      <c r="C12" s="3">
        <v>6.8</v>
      </c>
      <c r="D12" s="3">
        <v>5.1</v>
      </c>
      <c r="E12" s="3">
        <v>3.2</v>
      </c>
      <c r="F12" s="3">
        <v>3.0</v>
      </c>
      <c r="G12" s="3">
        <v>3.3</v>
      </c>
      <c r="H12" s="3">
        <v>4.3</v>
      </c>
      <c r="I12" s="3">
        <v>5.1</v>
      </c>
      <c r="J12" s="3">
        <v>4.6</v>
      </c>
      <c r="K12" s="3">
        <v>4.5</v>
      </c>
      <c r="L12" s="3">
        <v>5.3</v>
      </c>
      <c r="M12" s="3">
        <v>5.1</v>
      </c>
      <c r="N12" s="3">
        <v>4.6</v>
      </c>
      <c r="O12" s="3">
        <v>4.6</v>
      </c>
      <c r="P12" s="3">
        <v>3.7</v>
      </c>
      <c r="Q12" s="3">
        <v>4.0</v>
      </c>
      <c r="R12" s="3">
        <v>3.9</v>
      </c>
    </row>
    <row r="13" ht="13.5" customHeight="1">
      <c r="A13" s="10" t="s">
        <v>198</v>
      </c>
      <c r="B13" s="3">
        <v>0.0</v>
      </c>
      <c r="C13" s="3">
        <v>0.0</v>
      </c>
      <c r="D13" s="3">
        <v>0.0</v>
      </c>
      <c r="E13" s="3">
        <v>0.0</v>
      </c>
      <c r="F13" s="3">
        <v>38.3</v>
      </c>
      <c r="G13" s="3">
        <v>0.0</v>
      </c>
      <c r="H13" s="3">
        <v>0.0</v>
      </c>
      <c r="I13" s="3">
        <v>0.0</v>
      </c>
      <c r="J13" s="3">
        <v>0.0</v>
      </c>
      <c r="K13" s="3">
        <v>36.9</v>
      </c>
      <c r="L13" s="3">
        <v>0.0</v>
      </c>
      <c r="M13" s="3">
        <v>26.9</v>
      </c>
      <c r="N13" s="3">
        <v>2.4</v>
      </c>
      <c r="O13" s="3">
        <v>26.3</v>
      </c>
      <c r="P13" s="3">
        <v>25.6</v>
      </c>
      <c r="Q13" s="3">
        <v>26.7</v>
      </c>
      <c r="R13" s="3">
        <v>21.9</v>
      </c>
    </row>
    <row r="14" ht="13.5" customHeight="1">
      <c r="A14" s="10" t="s">
        <v>199</v>
      </c>
      <c r="B14" s="3">
        <v>40928.0</v>
      </c>
      <c r="C14" s="3">
        <v>-12506.0</v>
      </c>
      <c r="D14" s="3">
        <v>5026.0</v>
      </c>
      <c r="E14" s="3">
        <v>19083.0</v>
      </c>
      <c r="F14" s="3">
        <v>49275.0</v>
      </c>
      <c r="G14" s="3">
        <v>-61425.0</v>
      </c>
      <c r="H14" s="3">
        <v>-51481.0</v>
      </c>
      <c r="I14" s="3">
        <v>-8541.0</v>
      </c>
      <c r="J14" s="3">
        <v>13986.0</v>
      </c>
      <c r="K14" s="3">
        <v>21701.0</v>
      </c>
      <c r="L14" s="3">
        <v>55884.0</v>
      </c>
      <c r="M14" s="3">
        <v>43164.0</v>
      </c>
      <c r="N14" s="3">
        <v>74618.0</v>
      </c>
      <c r="O14" s="3">
        <v>53524.0</v>
      </c>
      <c r="P14" s="3">
        <v>40979.0</v>
      </c>
      <c r="Q14" s="3">
        <v>37823.0</v>
      </c>
      <c r="R14" s="3">
        <v>54357.0</v>
      </c>
    </row>
    <row r="15" ht="13.5" customHeight="1">
      <c r="A15" s="13" t="s">
        <v>200</v>
      </c>
      <c r="B15" s="5"/>
      <c r="C15" s="5"/>
      <c r="D15" s="5"/>
      <c r="E15" s="5"/>
      <c r="F15" s="6"/>
      <c r="G15" s="13"/>
      <c r="H15" s="5"/>
      <c r="I15" s="5"/>
      <c r="J15" s="5"/>
      <c r="K15" s="6"/>
      <c r="L15" s="13"/>
      <c r="M15" s="5"/>
      <c r="N15" s="5"/>
      <c r="O15" s="5"/>
      <c r="P15" s="6"/>
      <c r="Q15" s="13"/>
      <c r="R15" s="6"/>
    </row>
    <row r="16" ht="13.5" customHeight="1">
      <c r="A16" s="10" t="s">
        <v>201</v>
      </c>
      <c r="B16" s="3">
        <v>0.0</v>
      </c>
      <c r="C16" s="3">
        <v>2.6</v>
      </c>
      <c r="D16" s="3">
        <v>0.0</v>
      </c>
      <c r="E16" s="3">
        <v>94.3</v>
      </c>
      <c r="F16" s="3">
        <v>92.2</v>
      </c>
      <c r="G16" s="3">
        <v>0.0</v>
      </c>
      <c r="H16" s="3">
        <v>0.0</v>
      </c>
      <c r="I16" s="3">
        <v>0.0</v>
      </c>
      <c r="J16" s="3">
        <v>92.7</v>
      </c>
      <c r="K16" s="3">
        <v>34.8</v>
      </c>
      <c r="L16" s="3">
        <v>15.5</v>
      </c>
      <c r="M16" s="3">
        <v>27.6</v>
      </c>
      <c r="N16" s="3">
        <v>73.9</v>
      </c>
      <c r="O16" s="3">
        <v>15.2</v>
      </c>
      <c r="P16" s="3">
        <v>17.4</v>
      </c>
      <c r="Q16" s="3">
        <v>18.1</v>
      </c>
      <c r="R16" s="3">
        <v>12.5</v>
      </c>
    </row>
    <row r="17" ht="13.5" customHeight="1">
      <c r="A17" s="10" t="s">
        <v>202</v>
      </c>
      <c r="B17" s="3">
        <v>0.0</v>
      </c>
      <c r="C17" s="3">
        <v>2.6</v>
      </c>
      <c r="D17" s="3">
        <v>0.0</v>
      </c>
      <c r="E17" s="3">
        <v>121.4</v>
      </c>
      <c r="F17" s="3">
        <v>126.4</v>
      </c>
      <c r="G17" s="3">
        <v>0.0</v>
      </c>
      <c r="H17" s="3">
        <v>0.0</v>
      </c>
      <c r="I17" s="3">
        <v>0.0</v>
      </c>
      <c r="J17" s="3">
        <v>110.5</v>
      </c>
      <c r="K17" s="3">
        <v>37.7</v>
      </c>
      <c r="L17" s="3">
        <v>16.0</v>
      </c>
      <c r="M17" s="3">
        <v>32.3</v>
      </c>
      <c r="N17" s="3">
        <v>85.3</v>
      </c>
      <c r="O17" s="3">
        <v>19.5</v>
      </c>
      <c r="P17" s="3">
        <v>17.9</v>
      </c>
      <c r="Q17" s="3">
        <v>19.0</v>
      </c>
      <c r="R17" s="3">
        <v>13.8</v>
      </c>
    </row>
    <row r="18" ht="13.5" customHeight="1">
      <c r="A18" s="10" t="s">
        <v>203</v>
      </c>
      <c r="B18" s="3">
        <v>0.0</v>
      </c>
      <c r="C18" s="3">
        <v>1.6</v>
      </c>
      <c r="D18" s="3">
        <v>0.0</v>
      </c>
      <c r="E18" s="3">
        <v>41.5</v>
      </c>
      <c r="F18" s="3">
        <v>53.5</v>
      </c>
      <c r="G18" s="3">
        <v>0.0</v>
      </c>
      <c r="H18" s="3">
        <v>0.0</v>
      </c>
      <c r="I18" s="3">
        <v>0.0</v>
      </c>
      <c r="J18" s="3">
        <v>36.4</v>
      </c>
      <c r="K18" s="3">
        <v>14.0</v>
      </c>
      <c r="L18" s="3">
        <v>5.4</v>
      </c>
      <c r="M18" s="3">
        <v>1.1</v>
      </c>
      <c r="N18" s="3">
        <v>54.8</v>
      </c>
      <c r="O18" s="3">
        <v>14.0</v>
      </c>
      <c r="P18" s="3">
        <v>14.9</v>
      </c>
      <c r="Q18" s="3">
        <v>15.4</v>
      </c>
      <c r="R18" s="3">
        <v>11.8</v>
      </c>
    </row>
    <row r="19" ht="13.5" customHeight="1">
      <c r="A19" s="10" t="s">
        <v>204</v>
      </c>
      <c r="B19" s="3">
        <v>-4.2</v>
      </c>
      <c r="C19" s="3">
        <v>3.4</v>
      </c>
      <c r="D19" s="3">
        <v>-3.6</v>
      </c>
      <c r="E19" s="3">
        <v>14.7</v>
      </c>
      <c r="F19" s="3">
        <v>9.8</v>
      </c>
      <c r="G19" s="3">
        <v>-2.7</v>
      </c>
      <c r="H19" s="3">
        <v>-9.3</v>
      </c>
      <c r="I19" s="3">
        <v>-0.6</v>
      </c>
      <c r="J19" s="3">
        <v>4.4</v>
      </c>
      <c r="K19" s="3">
        <v>8.1</v>
      </c>
      <c r="L19" s="3">
        <v>19.2</v>
      </c>
      <c r="M19" s="3">
        <v>14.0</v>
      </c>
      <c r="N19" s="3">
        <v>21.6</v>
      </c>
      <c r="O19" s="3">
        <v>15.8</v>
      </c>
      <c r="P19" s="3">
        <v>14.3</v>
      </c>
      <c r="Q19" s="3">
        <v>11.9</v>
      </c>
      <c r="R19" s="3">
        <v>15.2</v>
      </c>
    </row>
    <row r="20" ht="13.5" customHeight="1">
      <c r="A20" s="10" t="s">
        <v>205</v>
      </c>
      <c r="B20" s="3">
        <v>0.0</v>
      </c>
      <c r="C20" s="3">
        <v>4.0</v>
      </c>
      <c r="D20" s="3">
        <v>0.0</v>
      </c>
      <c r="E20" s="3">
        <v>8.7</v>
      </c>
      <c r="F20" s="3">
        <v>5.2</v>
      </c>
      <c r="G20" s="3">
        <v>0.0</v>
      </c>
      <c r="H20" s="3">
        <v>0.0</v>
      </c>
      <c r="I20" s="3">
        <v>0.0</v>
      </c>
      <c r="J20" s="3">
        <v>5.2</v>
      </c>
      <c r="K20" s="3">
        <v>8.8</v>
      </c>
      <c r="L20" s="3">
        <v>26.0</v>
      </c>
      <c r="M20" s="3">
        <v>19.5</v>
      </c>
      <c r="N20" s="3">
        <v>29.8</v>
      </c>
      <c r="O20" s="3">
        <v>21.4</v>
      </c>
      <c r="P20" s="3">
        <v>19.2</v>
      </c>
      <c r="Q20" s="3">
        <v>19.2</v>
      </c>
      <c r="R20" s="3">
        <v>20.3</v>
      </c>
    </row>
    <row r="21" ht="13.5" customHeight="1">
      <c r="A21" s="10" t="s">
        <v>206</v>
      </c>
      <c r="B21" s="3">
        <v>-1.1</v>
      </c>
      <c r="C21" s="3">
        <v>1.0</v>
      </c>
      <c r="D21" s="3">
        <v>-0.9</v>
      </c>
      <c r="E21" s="3">
        <v>2.9</v>
      </c>
      <c r="F21" s="3">
        <v>1.8</v>
      </c>
      <c r="G21" s="3">
        <v>-0.5</v>
      </c>
      <c r="H21" s="3">
        <v>-2.1</v>
      </c>
      <c r="I21" s="3">
        <v>-0.2</v>
      </c>
      <c r="J21" s="3">
        <v>1.2</v>
      </c>
      <c r="K21" s="3">
        <v>2.4</v>
      </c>
      <c r="L21" s="3">
        <v>6.3</v>
      </c>
      <c r="M21" s="3">
        <v>4.8</v>
      </c>
      <c r="N21" s="3">
        <v>8.0</v>
      </c>
      <c r="O21" s="3">
        <v>6.0</v>
      </c>
      <c r="P21" s="3">
        <v>5.2</v>
      </c>
      <c r="Q21" s="3">
        <v>4.5</v>
      </c>
      <c r="R21" s="3">
        <v>6.0</v>
      </c>
    </row>
    <row r="22" ht="13.5" customHeight="1">
      <c r="A22" s="10" t="s">
        <v>207</v>
      </c>
      <c r="B22" s="3">
        <v>-1.3</v>
      </c>
      <c r="C22" s="3">
        <v>1.2</v>
      </c>
      <c r="D22" s="3">
        <v>-1.1</v>
      </c>
      <c r="E22" s="3">
        <v>3.4</v>
      </c>
      <c r="F22" s="3">
        <v>2.4</v>
      </c>
      <c r="G22" s="3">
        <v>-0.7</v>
      </c>
      <c r="H22" s="3">
        <v>-2.8</v>
      </c>
      <c r="I22" s="3">
        <v>-0.3</v>
      </c>
      <c r="J22" s="3">
        <v>1.9</v>
      </c>
      <c r="K22" s="3">
        <v>3.8</v>
      </c>
      <c r="L22" s="3">
        <v>9.8</v>
      </c>
      <c r="M22" s="3">
        <v>8.2</v>
      </c>
      <c r="N22" s="3">
        <v>13.5</v>
      </c>
      <c r="O22" s="3">
        <v>10.4</v>
      </c>
      <c r="P22" s="3">
        <v>7.9</v>
      </c>
      <c r="Q22" s="3">
        <v>6.6</v>
      </c>
      <c r="R22" s="3">
        <v>8.9</v>
      </c>
    </row>
    <row r="23" ht="13.5" customHeight="1">
      <c r="A23" s="10" t="s">
        <v>208</v>
      </c>
      <c r="B23" s="3">
        <v>-14708.0</v>
      </c>
      <c r="C23" s="3">
        <v>10954.0</v>
      </c>
      <c r="D23" s="3">
        <v>-10424.0</v>
      </c>
      <c r="E23" s="3">
        <v>44542.0</v>
      </c>
      <c r="F23" s="3">
        <v>39683.0</v>
      </c>
      <c r="G23" s="3">
        <v>-17488.0</v>
      </c>
      <c r="H23" s="3">
        <v>-31227.0</v>
      </c>
      <c r="I23" s="3">
        <v>-2364.0</v>
      </c>
      <c r="J23" s="3">
        <v>14086.0</v>
      </c>
      <c r="K23" s="3">
        <v>24314.0</v>
      </c>
      <c r="L23" s="3">
        <v>57441.0</v>
      </c>
      <c r="M23" s="3">
        <v>43164.0</v>
      </c>
      <c r="N23" s="3">
        <v>74618.0</v>
      </c>
      <c r="O23" s="3">
        <v>53524.0</v>
      </c>
      <c r="P23" s="3">
        <v>40979.0</v>
      </c>
      <c r="Q23" s="3">
        <v>44964.0</v>
      </c>
      <c r="R23" s="3">
        <v>54357.0</v>
      </c>
    </row>
    <row r="24" ht="13.5" customHeight="1">
      <c r="A24" s="13" t="s">
        <v>209</v>
      </c>
      <c r="B24" s="5"/>
      <c r="C24" s="5"/>
      <c r="D24" s="5"/>
      <c r="E24" s="5"/>
      <c r="F24" s="6"/>
      <c r="G24" s="13"/>
      <c r="H24" s="5"/>
      <c r="I24" s="5"/>
      <c r="J24" s="5"/>
      <c r="K24" s="6"/>
      <c r="L24" s="13"/>
      <c r="M24" s="5"/>
      <c r="N24" s="5"/>
      <c r="O24" s="5"/>
      <c r="P24" s="6"/>
      <c r="Q24" s="13"/>
      <c r="R24" s="6"/>
    </row>
    <row r="25" ht="13.5" customHeight="1">
      <c r="A25" s="10" t="s">
        <v>210</v>
      </c>
      <c r="B25" s="3">
        <v>0.2</v>
      </c>
      <c r="C25" s="3">
        <v>0.2</v>
      </c>
      <c r="D25" s="3">
        <v>0.3</v>
      </c>
      <c r="E25" s="3">
        <v>0.2</v>
      </c>
      <c r="F25" s="3">
        <v>0.2</v>
      </c>
      <c r="G25" s="3">
        <v>0.3</v>
      </c>
      <c r="H25" s="3">
        <v>0.3</v>
      </c>
      <c r="I25" s="3">
        <v>0.2</v>
      </c>
      <c r="J25" s="3">
        <v>0.1</v>
      </c>
      <c r="K25" s="3">
        <v>0.2</v>
      </c>
      <c r="L25" s="3">
        <v>0.2</v>
      </c>
      <c r="M25" s="3">
        <v>0.4</v>
      </c>
      <c r="N25" s="3">
        <v>0.2</v>
      </c>
      <c r="O25" s="3">
        <v>0.5</v>
      </c>
      <c r="P25" s="3">
        <v>0.4</v>
      </c>
      <c r="Q25" s="3">
        <v>0.8</v>
      </c>
      <c r="R25" s="3">
        <v>0.5</v>
      </c>
    </row>
    <row r="26" ht="13.5" customHeight="1">
      <c r="A26" s="10" t="s">
        <v>211</v>
      </c>
      <c r="B26" s="3">
        <v>0.3</v>
      </c>
      <c r="C26" s="3">
        <v>0.2</v>
      </c>
      <c r="D26" s="3">
        <v>0.4</v>
      </c>
      <c r="E26" s="3">
        <v>0.3</v>
      </c>
      <c r="F26" s="3">
        <v>0.2</v>
      </c>
      <c r="G26" s="3">
        <v>0.6</v>
      </c>
      <c r="H26" s="3">
        <v>0.6</v>
      </c>
      <c r="I26" s="3">
        <v>0.3</v>
      </c>
      <c r="J26" s="3">
        <v>0.2</v>
      </c>
      <c r="K26" s="3">
        <v>0.3</v>
      </c>
      <c r="L26" s="3">
        <v>0.4</v>
      </c>
      <c r="M26" s="3">
        <v>0.7</v>
      </c>
      <c r="N26" s="3">
        <v>0.5</v>
      </c>
      <c r="O26" s="3">
        <v>0.6</v>
      </c>
      <c r="P26" s="3">
        <v>0.6</v>
      </c>
      <c r="Q26" s="3">
        <v>1.1</v>
      </c>
      <c r="R26" s="3">
        <v>0.7</v>
      </c>
    </row>
    <row r="27" ht="13.5" customHeight="1">
      <c r="A27" s="10" t="s">
        <v>212</v>
      </c>
      <c r="B27" s="3">
        <v>9.0</v>
      </c>
      <c r="C27" s="3">
        <v>29.0</v>
      </c>
      <c r="D27" s="3"/>
      <c r="E27" s="3"/>
      <c r="F27" s="3"/>
      <c r="G27" s="3"/>
      <c r="H27" s="3"/>
      <c r="I27" s="3"/>
      <c r="J27" s="3">
        <v>73.0</v>
      </c>
      <c r="K27" s="3">
        <v>58.0</v>
      </c>
      <c r="L27" s="3">
        <v>23.0</v>
      </c>
      <c r="M27" s="3">
        <v>99.0</v>
      </c>
      <c r="N27" s="3">
        <v>227.0</v>
      </c>
      <c r="O27" s="3">
        <v>66.0</v>
      </c>
      <c r="P27" s="3">
        <v>70.0</v>
      </c>
      <c r="Q27" s="3">
        <v>87.0</v>
      </c>
      <c r="R27" s="3">
        <v>63.0</v>
      </c>
    </row>
    <row r="28" ht="13.5" customHeight="1">
      <c r="A28" s="10" t="s">
        <v>213</v>
      </c>
      <c r="B28" s="3">
        <v>2.25</v>
      </c>
      <c r="C28" s="3">
        <v>2.59</v>
      </c>
      <c r="D28" s="3">
        <v>1.55</v>
      </c>
      <c r="E28" s="3">
        <v>1.17</v>
      </c>
      <c r="F28" s="3">
        <v>0.98</v>
      </c>
      <c r="G28" s="3">
        <v>1.36</v>
      </c>
      <c r="H28" s="3">
        <v>1.85</v>
      </c>
      <c r="I28" s="3">
        <v>1.65</v>
      </c>
      <c r="J28" s="3">
        <v>1.5</v>
      </c>
      <c r="K28" s="3">
        <v>1.34</v>
      </c>
      <c r="L28" s="3">
        <v>1.67</v>
      </c>
      <c r="M28" s="3">
        <v>1.54</v>
      </c>
      <c r="N28" s="3">
        <v>1.22</v>
      </c>
      <c r="O28" s="3">
        <v>1.26</v>
      </c>
      <c r="P28" s="3">
        <v>1.44</v>
      </c>
      <c r="Q28" s="3">
        <v>1.8</v>
      </c>
      <c r="R28" s="3">
        <v>1.4</v>
      </c>
    </row>
    <row r="29" ht="13.5" customHeight="1">
      <c r="A29" s="10" t="s">
        <v>214</v>
      </c>
      <c r="B29" s="3">
        <v>0.68</v>
      </c>
      <c r="C29" s="3">
        <v>0.71</v>
      </c>
      <c r="D29" s="3">
        <v>0.46</v>
      </c>
      <c r="E29" s="3">
        <v>0.43</v>
      </c>
      <c r="F29" s="3">
        <v>0.4</v>
      </c>
      <c r="G29" s="3">
        <v>0.48</v>
      </c>
      <c r="H29" s="3">
        <v>0.55</v>
      </c>
      <c r="I29" s="3">
        <v>0.51</v>
      </c>
      <c r="J29" s="3">
        <v>0.48</v>
      </c>
      <c r="K29" s="3">
        <v>0.57</v>
      </c>
      <c r="L29" s="3">
        <v>0.62</v>
      </c>
      <c r="M29" s="3">
        <v>0.58</v>
      </c>
      <c r="N29" s="3">
        <v>0.55</v>
      </c>
      <c r="O29" s="3">
        <v>0.52</v>
      </c>
      <c r="P29" s="3">
        <v>0.59</v>
      </c>
      <c r="Q29" s="3">
        <v>0.62</v>
      </c>
      <c r="R29" s="3">
        <v>0.56</v>
      </c>
    </row>
    <row r="30" ht="13.5" customHeight="1">
      <c r="A30" s="13" t="s">
        <v>215</v>
      </c>
      <c r="B30" s="5"/>
      <c r="C30" s="5"/>
      <c r="D30" s="5"/>
      <c r="E30" s="5"/>
      <c r="F30" s="6"/>
      <c r="G30" s="13"/>
      <c r="H30" s="5"/>
      <c r="I30" s="5"/>
      <c r="J30" s="5"/>
      <c r="K30" s="6"/>
      <c r="L30" s="13"/>
      <c r="M30" s="5"/>
      <c r="N30" s="5"/>
      <c r="O30" s="5"/>
      <c r="P30" s="6"/>
      <c r="Q30" s="13"/>
      <c r="R30" s="6"/>
    </row>
    <row r="31" ht="13.5" customHeight="1">
      <c r="A31" s="10" t="s">
        <v>216</v>
      </c>
      <c r="B31" s="3">
        <v>3.9</v>
      </c>
      <c r="C31" s="3">
        <v>4.2</v>
      </c>
      <c r="D31" s="3">
        <v>3.7</v>
      </c>
      <c r="E31" s="3">
        <v>3.0</v>
      </c>
      <c r="F31" s="3">
        <v>2.9</v>
      </c>
      <c r="G31" s="3">
        <v>4.0</v>
      </c>
      <c r="H31" s="3">
        <v>4.5</v>
      </c>
      <c r="I31" s="3">
        <v>4.3</v>
      </c>
      <c r="J31" s="3">
        <v>4.3</v>
      </c>
      <c r="K31" s="3">
        <v>3.6</v>
      </c>
      <c r="L31" s="3">
        <v>4.2</v>
      </c>
      <c r="M31" s="3">
        <v>4.1</v>
      </c>
      <c r="N31" s="3">
        <v>3.7</v>
      </c>
      <c r="O31" s="3">
        <v>3.6</v>
      </c>
      <c r="P31" s="3">
        <v>3.7</v>
      </c>
      <c r="Q31" s="3">
        <v>4.3</v>
      </c>
      <c r="R31" s="3">
        <v>3.4</v>
      </c>
    </row>
    <row r="32" ht="13.5" customHeight="1">
      <c r="A32" s="10" t="s">
        <v>217</v>
      </c>
      <c r="B32" s="3">
        <v>0.0</v>
      </c>
      <c r="C32" s="3">
        <v>0.0</v>
      </c>
      <c r="D32" s="3">
        <v>0.3</v>
      </c>
      <c r="E32" s="3">
        <v>0.2</v>
      </c>
      <c r="F32" s="3">
        <v>0.2</v>
      </c>
      <c r="G32" s="3">
        <v>0.2</v>
      </c>
      <c r="H32" s="3">
        <v>0.2</v>
      </c>
      <c r="I32" s="3">
        <v>0.3</v>
      </c>
      <c r="J32" s="3">
        <v>0.3</v>
      </c>
      <c r="K32" s="3">
        <v>0.3</v>
      </c>
      <c r="L32" s="3">
        <v>0.3</v>
      </c>
      <c r="M32" s="3">
        <v>0.4</v>
      </c>
      <c r="N32" s="3">
        <v>0.4</v>
      </c>
      <c r="O32" s="3">
        <v>0.4</v>
      </c>
      <c r="P32" s="3">
        <v>0.4</v>
      </c>
      <c r="Q32" s="3">
        <v>0.4</v>
      </c>
      <c r="R32" s="3">
        <v>0.4</v>
      </c>
    </row>
    <row r="33" ht="13.5" customHeight="1">
      <c r="A33" s="10" t="s">
        <v>218</v>
      </c>
      <c r="B33" s="3">
        <v>0.0</v>
      </c>
      <c r="C33" s="3">
        <v>0.0</v>
      </c>
      <c r="D33" s="3">
        <v>2.8</v>
      </c>
      <c r="E33" s="3">
        <v>0.0</v>
      </c>
      <c r="F33" s="3">
        <v>0.0</v>
      </c>
      <c r="G33" s="3">
        <v>0.0</v>
      </c>
      <c r="H33" s="3">
        <v>0.0</v>
      </c>
      <c r="I33" s="3">
        <v>1.0</v>
      </c>
      <c r="J33" s="3">
        <v>0.0</v>
      </c>
      <c r="K33" s="3">
        <v>0.1</v>
      </c>
      <c r="L33" s="3">
        <v>0.0</v>
      </c>
      <c r="M33" s="3">
        <v>6.0</v>
      </c>
      <c r="N33" s="3">
        <v>0.0</v>
      </c>
      <c r="O33" s="3">
        <v>7.5</v>
      </c>
      <c r="P33" s="3">
        <v>5.8</v>
      </c>
      <c r="Q33" s="3">
        <v>9.4</v>
      </c>
      <c r="R33" s="3">
        <v>8.5</v>
      </c>
    </row>
    <row r="34" ht="13.5" customHeight="1">
      <c r="A34" s="10" t="s">
        <v>219</v>
      </c>
      <c r="B34" s="3">
        <v>7.0</v>
      </c>
      <c r="C34" s="3">
        <v>6.6</v>
      </c>
      <c r="D34" s="3">
        <v>7.6</v>
      </c>
      <c r="E34" s="3">
        <v>9.3</v>
      </c>
      <c r="F34" s="3">
        <v>9.2</v>
      </c>
      <c r="G34" s="3">
        <v>11.6</v>
      </c>
      <c r="H34" s="3">
        <v>9.9</v>
      </c>
      <c r="I34" s="3">
        <v>6.8</v>
      </c>
      <c r="J34" s="3">
        <v>5.7</v>
      </c>
      <c r="K34" s="3">
        <v>5.2</v>
      </c>
      <c r="L34" s="3">
        <v>5.6</v>
      </c>
      <c r="M34" s="3">
        <v>5.6</v>
      </c>
      <c r="N34" s="3">
        <v>6.1</v>
      </c>
      <c r="O34" s="3">
        <v>5.7</v>
      </c>
      <c r="P34" s="3">
        <v>5.3</v>
      </c>
      <c r="Q34" s="3">
        <v>9.3</v>
      </c>
      <c r="R34" s="3">
        <v>8.7</v>
      </c>
    </row>
    <row r="35" ht="13.5" customHeight="1">
      <c r="A35" s="10" t="s">
        <v>220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</row>
    <row r="36" ht="13.5" customHeight="1">
      <c r="A36" s="10" t="s">
        <v>221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</row>
    <row r="37" ht="13.5" customHeight="1">
      <c r="A37" s="13" t="s">
        <v>222</v>
      </c>
      <c r="B37" s="5"/>
      <c r="C37" s="5"/>
      <c r="D37" s="5"/>
      <c r="E37" s="5"/>
      <c r="F37" s="6"/>
      <c r="G37" s="13"/>
      <c r="H37" s="5"/>
      <c r="I37" s="5"/>
      <c r="J37" s="5"/>
      <c r="K37" s="6"/>
      <c r="L37" s="13"/>
      <c r="M37" s="5"/>
      <c r="N37" s="5"/>
      <c r="O37" s="5"/>
      <c r="P37" s="6"/>
      <c r="Q37" s="13"/>
      <c r="R37" s="6"/>
    </row>
    <row r="38" ht="13.5" customHeight="1">
      <c r="A38" s="10" t="s">
        <v>223</v>
      </c>
      <c r="B38" s="3">
        <v>0.0</v>
      </c>
      <c r="C38" s="3">
        <v>0.0</v>
      </c>
      <c r="D38" s="3">
        <v>35.63</v>
      </c>
      <c r="E38" s="3">
        <v>0.0</v>
      </c>
      <c r="F38" s="3">
        <v>0.0</v>
      </c>
      <c r="G38" s="3">
        <v>0.0</v>
      </c>
      <c r="H38" s="3">
        <v>0.0</v>
      </c>
      <c r="I38" s="3">
        <v>100.07</v>
      </c>
      <c r="J38" s="3">
        <v>0.0</v>
      </c>
      <c r="K38" s="3">
        <v>1290.02</v>
      </c>
      <c r="L38" s="3">
        <v>0.0</v>
      </c>
      <c r="M38" s="3">
        <v>16.78</v>
      </c>
      <c r="N38" s="3">
        <v>0.0</v>
      </c>
      <c r="O38" s="3">
        <v>13.36</v>
      </c>
      <c r="P38" s="3">
        <v>17.15</v>
      </c>
      <c r="Q38" s="3">
        <v>10.69</v>
      </c>
      <c r="R38" s="3">
        <v>11.7</v>
      </c>
    </row>
    <row r="39" ht="13.5" customHeight="1">
      <c r="A39" s="10" t="s">
        <v>224</v>
      </c>
      <c r="B39" s="3">
        <v>0.78</v>
      </c>
      <c r="C39" s="3">
        <v>0.78</v>
      </c>
      <c r="D39" s="3">
        <v>0.79</v>
      </c>
      <c r="E39" s="3">
        <v>0.61</v>
      </c>
      <c r="F39" s="3">
        <v>0.58</v>
      </c>
      <c r="G39" s="3">
        <v>0.62</v>
      </c>
      <c r="H39" s="3">
        <v>0.68</v>
      </c>
      <c r="I39" s="3">
        <v>0.86</v>
      </c>
      <c r="J39" s="3">
        <v>0.91</v>
      </c>
      <c r="K39" s="3">
        <v>1.01</v>
      </c>
      <c r="L39" s="3">
        <v>1.09</v>
      </c>
      <c r="M39" s="3">
        <v>1.15</v>
      </c>
      <c r="N39" s="3">
        <v>1.19</v>
      </c>
      <c r="O39" s="3">
        <v>1.2</v>
      </c>
      <c r="P39" s="3">
        <v>1.24</v>
      </c>
      <c r="Q39" s="3">
        <v>1.48</v>
      </c>
      <c r="R39" s="3">
        <v>1.54</v>
      </c>
    </row>
    <row r="40" ht="13.5" customHeight="1">
      <c r="A40" s="10" t="s">
        <v>225</v>
      </c>
      <c r="B40" s="3">
        <v>1.03</v>
      </c>
      <c r="C40" s="3">
        <v>1.19</v>
      </c>
      <c r="D40" s="3">
        <v>0.9</v>
      </c>
      <c r="E40" s="3">
        <v>0.59</v>
      </c>
      <c r="F40" s="3">
        <v>0.53</v>
      </c>
      <c r="G40" s="3">
        <v>0.71</v>
      </c>
      <c r="H40" s="3">
        <v>1.0</v>
      </c>
      <c r="I40" s="3">
        <v>1.17</v>
      </c>
      <c r="J40" s="3">
        <v>1.18</v>
      </c>
      <c r="K40" s="3">
        <v>1.08</v>
      </c>
      <c r="L40" s="3">
        <v>1.36</v>
      </c>
      <c r="M40" s="3">
        <v>1.39</v>
      </c>
      <c r="N40" s="3">
        <v>1.38</v>
      </c>
      <c r="O40" s="3">
        <v>1.36</v>
      </c>
      <c r="P40" s="3">
        <v>1.34</v>
      </c>
      <c r="Q40" s="3">
        <v>1.62</v>
      </c>
      <c r="R40" s="3">
        <v>1.33</v>
      </c>
    </row>
    <row r="41" ht="13.5" customHeight="1">
      <c r="A41" s="10" t="s">
        <v>226</v>
      </c>
      <c r="B41" s="3">
        <v>0.32</v>
      </c>
      <c r="C41" s="3">
        <v>0.35</v>
      </c>
      <c r="D41" s="3">
        <v>0.3</v>
      </c>
      <c r="E41" s="3">
        <v>0.23</v>
      </c>
      <c r="F41" s="3">
        <v>0.24</v>
      </c>
      <c r="G41" s="3">
        <v>0.25</v>
      </c>
      <c r="H41" s="3">
        <v>0.3</v>
      </c>
      <c r="I41" s="3">
        <v>0.4</v>
      </c>
      <c r="J41" s="3">
        <v>0.43</v>
      </c>
      <c r="K41" s="3">
        <v>0.47</v>
      </c>
      <c r="L41" s="3">
        <v>0.51</v>
      </c>
      <c r="M41" s="3">
        <v>0.58</v>
      </c>
      <c r="N41" s="3">
        <v>0.63</v>
      </c>
      <c r="O41" s="3">
        <v>0.66</v>
      </c>
      <c r="P41" s="3">
        <v>0.55</v>
      </c>
      <c r="Q41" s="3">
        <v>0.56</v>
      </c>
      <c r="R41" s="3">
        <v>0.58</v>
      </c>
    </row>
    <row r="42" ht="13.5" customHeight="1">
      <c r="A42" s="13" t="s">
        <v>227</v>
      </c>
      <c r="B42" s="5"/>
      <c r="C42" s="5"/>
      <c r="D42" s="5"/>
      <c r="E42" s="5"/>
      <c r="F42" s="6"/>
      <c r="G42" s="13"/>
      <c r="H42" s="5"/>
      <c r="I42" s="5"/>
      <c r="J42" s="5"/>
      <c r="K42" s="6"/>
      <c r="L42" s="13"/>
      <c r="M42" s="5"/>
      <c r="N42" s="5"/>
      <c r="O42" s="5"/>
      <c r="P42" s="6"/>
      <c r="Q42" s="13"/>
      <c r="R42" s="6"/>
    </row>
    <row r="43" ht="13.5" customHeight="1">
      <c r="A43" s="10" t="s">
        <v>228</v>
      </c>
      <c r="B43" s="3">
        <v>0.0</v>
      </c>
      <c r="C43" s="3">
        <v>0.0</v>
      </c>
      <c r="D43" s="3">
        <v>14.9</v>
      </c>
      <c r="E43" s="3">
        <v>11.5</v>
      </c>
      <c r="F43" s="3">
        <v>12.4</v>
      </c>
      <c r="G43" s="3">
        <v>11.6</v>
      </c>
      <c r="H43" s="3">
        <v>10.2</v>
      </c>
      <c r="I43" s="3">
        <v>12.6</v>
      </c>
      <c r="J43" s="3">
        <v>16.0</v>
      </c>
      <c r="K43" s="3">
        <v>18.9</v>
      </c>
      <c r="L43" s="3">
        <v>19.5</v>
      </c>
      <c r="M43" s="3">
        <v>18.9</v>
      </c>
      <c r="N43" s="3">
        <v>18.1</v>
      </c>
      <c r="O43" s="3">
        <v>17.7</v>
      </c>
      <c r="P43" s="3">
        <v>19.0</v>
      </c>
      <c r="Q43" s="3">
        <v>14.8</v>
      </c>
      <c r="R43" s="3">
        <v>11.4</v>
      </c>
    </row>
    <row r="44" ht="13.5" customHeight="1">
      <c r="A44" s="10" t="s">
        <v>229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23.3</v>
      </c>
      <c r="H44" s="3">
        <v>11.2</v>
      </c>
      <c r="I44" s="3">
        <v>11.9</v>
      </c>
      <c r="J44" s="3">
        <v>18.5</v>
      </c>
      <c r="K44" s="3">
        <v>27.8</v>
      </c>
      <c r="L44" s="3">
        <v>27.8</v>
      </c>
      <c r="M44" s="3">
        <v>26.8</v>
      </c>
      <c r="N44" s="3">
        <v>21.1</v>
      </c>
      <c r="O44" s="3">
        <v>41.1</v>
      </c>
      <c r="P44" s="3">
        <v>25.1</v>
      </c>
      <c r="Q44" s="3">
        <v>37.0</v>
      </c>
      <c r="R44" s="3">
        <v>28.8</v>
      </c>
    </row>
    <row r="45" ht="13.5" customHeight="1">
      <c r="A45" s="10" t="s">
        <v>230</v>
      </c>
      <c r="B45" s="3">
        <v>25.07</v>
      </c>
      <c r="C45" s="3">
        <v>23.85</v>
      </c>
      <c r="D45" s="3">
        <v>27.37</v>
      </c>
      <c r="E45" s="3">
        <v>33.32</v>
      </c>
      <c r="F45" s="3">
        <v>33.2</v>
      </c>
      <c r="G45" s="3">
        <v>41.82</v>
      </c>
      <c r="H45" s="3">
        <v>35.74</v>
      </c>
      <c r="I45" s="3">
        <v>24.44</v>
      </c>
      <c r="J45" s="3">
        <v>20.69</v>
      </c>
      <c r="K45" s="3">
        <v>18.68</v>
      </c>
      <c r="L45" s="3">
        <v>20.22</v>
      </c>
      <c r="M45" s="3">
        <v>20.18</v>
      </c>
      <c r="N45" s="3">
        <v>21.81</v>
      </c>
      <c r="O45" s="3">
        <v>20.65</v>
      </c>
      <c r="P45" s="3">
        <v>19.02</v>
      </c>
      <c r="Q45" s="3">
        <v>33.63</v>
      </c>
      <c r="R45" s="3">
        <v>31.19</v>
      </c>
    </row>
    <row r="46" ht="13.5" customHeight="1">
      <c r="A46" s="10" t="s">
        <v>231</v>
      </c>
      <c r="B46" s="3">
        <v>14.36</v>
      </c>
      <c r="C46" s="3">
        <v>15.1</v>
      </c>
      <c r="D46" s="3">
        <v>13.15</v>
      </c>
      <c r="E46" s="3">
        <v>10.81</v>
      </c>
      <c r="F46" s="3">
        <v>10.84</v>
      </c>
      <c r="G46" s="3">
        <v>8.61</v>
      </c>
      <c r="H46" s="3">
        <v>10.07</v>
      </c>
      <c r="I46" s="3">
        <v>14.73</v>
      </c>
      <c r="J46" s="3">
        <v>17.4</v>
      </c>
      <c r="K46" s="3">
        <v>19.27</v>
      </c>
      <c r="L46" s="3">
        <v>17.8</v>
      </c>
      <c r="M46" s="3">
        <v>17.84</v>
      </c>
      <c r="N46" s="3">
        <v>16.5</v>
      </c>
      <c r="O46" s="3">
        <v>17.44</v>
      </c>
      <c r="P46" s="3">
        <v>18.93</v>
      </c>
      <c r="Q46" s="3">
        <v>10.71</v>
      </c>
      <c r="R46" s="3">
        <v>11.54</v>
      </c>
    </row>
    <row r="47" ht="13.5" customHeight="1">
      <c r="A47" s="10" t="s">
        <v>232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16.48</v>
      </c>
      <c r="H47" s="3">
        <v>14.66</v>
      </c>
      <c r="I47" s="3">
        <v>25.39</v>
      </c>
      <c r="J47" s="3">
        <v>48.4</v>
      </c>
      <c r="K47" s="3">
        <v>48.86</v>
      </c>
      <c r="L47" s="3">
        <v>45.55</v>
      </c>
      <c r="M47" s="3">
        <v>45.78</v>
      </c>
      <c r="N47" s="3">
        <v>59.97</v>
      </c>
      <c r="O47" s="3">
        <v>64.83</v>
      </c>
      <c r="P47" s="3">
        <v>69.08</v>
      </c>
      <c r="Q47" s="3">
        <v>48.9</v>
      </c>
      <c r="R47" s="3">
        <v>49.0</v>
      </c>
    </row>
    <row r="48" ht="13.5" customHeight="1">
      <c r="A48" s="10" t="s">
        <v>233</v>
      </c>
      <c r="B48" s="3">
        <v>0.3</v>
      </c>
      <c r="C48" s="3">
        <v>0.3</v>
      </c>
      <c r="D48" s="3">
        <v>0.2</v>
      </c>
      <c r="E48" s="3">
        <v>0.2</v>
      </c>
      <c r="F48" s="3">
        <v>0.2</v>
      </c>
      <c r="G48" s="3">
        <v>0.2</v>
      </c>
      <c r="H48" s="3">
        <v>0.2</v>
      </c>
      <c r="I48" s="3">
        <v>0.3</v>
      </c>
      <c r="J48" s="3">
        <v>0.3</v>
      </c>
      <c r="K48" s="3">
        <v>0.3</v>
      </c>
      <c r="L48" s="3">
        <v>0.3</v>
      </c>
      <c r="M48" s="3">
        <v>0.3</v>
      </c>
      <c r="N48" s="3">
        <v>0.4</v>
      </c>
      <c r="O48" s="3">
        <v>0.4</v>
      </c>
      <c r="P48" s="3">
        <v>0.4</v>
      </c>
      <c r="Q48" s="3">
        <v>0.4</v>
      </c>
      <c r="R48" s="3">
        <v>0.4</v>
      </c>
    </row>
    <row r="49" ht="13.5" customHeight="1">
      <c r="A49" s="10" t="s">
        <v>234</v>
      </c>
      <c r="B49" s="3"/>
      <c r="C49" s="3"/>
      <c r="D49" s="3"/>
      <c r="E49" s="3"/>
      <c r="F49" s="3"/>
      <c r="G49" s="3">
        <v>15.0</v>
      </c>
      <c r="H49" s="3">
        <v>32.0</v>
      </c>
      <c r="I49" s="3">
        <v>30.0</v>
      </c>
      <c r="J49" s="3">
        <v>19.0</v>
      </c>
      <c r="K49" s="3">
        <v>13.0</v>
      </c>
      <c r="L49" s="3">
        <v>13.0</v>
      </c>
      <c r="M49" s="3">
        <v>13.0</v>
      </c>
      <c r="N49" s="3">
        <v>17.0</v>
      </c>
      <c r="O49" s="3">
        <v>9.0</v>
      </c>
      <c r="P49" s="3">
        <v>14.0</v>
      </c>
      <c r="Q49" s="3">
        <v>10.0</v>
      </c>
      <c r="R49" s="3">
        <v>12.0</v>
      </c>
    </row>
    <row r="50" ht="13.5" customHeight="1">
      <c r="A50" s="10" t="s">
        <v>235</v>
      </c>
      <c r="B50" s="3">
        <v>0.24</v>
      </c>
      <c r="C50" s="3">
        <v>0.22</v>
      </c>
      <c r="D50" s="3">
        <v>0.35</v>
      </c>
      <c r="E50" s="3">
        <v>0.27</v>
      </c>
      <c r="F50" s="3">
        <v>0.24</v>
      </c>
      <c r="G50" s="3">
        <v>0.86</v>
      </c>
      <c r="H50" s="3">
        <v>0.74</v>
      </c>
      <c r="I50" s="3">
        <v>0.56</v>
      </c>
      <c r="J50" s="3">
        <v>0.39</v>
      </c>
      <c r="K50" s="3">
        <v>0.41</v>
      </c>
      <c r="L50" s="3">
        <v>0.5</v>
      </c>
      <c r="M50" s="3">
        <v>1.37</v>
      </c>
      <c r="N50" s="3">
        <v>0.94</v>
      </c>
      <c r="O50" s="3">
        <v>1.76</v>
      </c>
      <c r="P50" s="3">
        <v>1.37</v>
      </c>
      <c r="Q50" s="3">
        <v>2.88</v>
      </c>
      <c r="R50" s="3">
        <v>2.37</v>
      </c>
    </row>
    <row r="51" ht="13.5" customHeight="1">
      <c r="A51" s="10" t="s">
        <v>236</v>
      </c>
      <c r="B51" s="3">
        <v>7.81</v>
      </c>
      <c r="C51" s="3">
        <v>8.75</v>
      </c>
      <c r="D51" s="3">
        <v>9.69</v>
      </c>
      <c r="E51" s="3">
        <v>10.4</v>
      </c>
      <c r="F51" s="3">
        <v>12.94</v>
      </c>
      <c r="G51" s="3">
        <v>18.96</v>
      </c>
      <c r="H51" s="3">
        <v>18.36</v>
      </c>
      <c r="I51" s="3">
        <v>16.39</v>
      </c>
      <c r="J51" s="3">
        <v>16.32</v>
      </c>
      <c r="K51" s="3">
        <v>16.86</v>
      </c>
      <c r="L51" s="3">
        <v>17.5</v>
      </c>
      <c r="M51" s="3">
        <v>18.93</v>
      </c>
      <c r="N51" s="3">
        <v>19.51</v>
      </c>
      <c r="O51" s="3">
        <v>20.77</v>
      </c>
      <c r="P51" s="3">
        <v>23.44</v>
      </c>
      <c r="Q51" s="3">
        <v>28.62</v>
      </c>
      <c r="R51" s="3">
        <v>28.67</v>
      </c>
    </row>
    <row r="52" ht="13.5" customHeight="1">
      <c r="A52" s="10" t="s">
        <v>237</v>
      </c>
      <c r="B52" s="3">
        <v>223.5</v>
      </c>
      <c r="C52" s="3">
        <v>223.4</v>
      </c>
      <c r="D52" s="3">
        <v>149.7</v>
      </c>
      <c r="E52" s="3">
        <v>106.5</v>
      </c>
      <c r="F52" s="3">
        <v>125.6</v>
      </c>
      <c r="G52" s="3">
        <v>226.7</v>
      </c>
      <c r="H52" s="3">
        <v>267.0</v>
      </c>
      <c r="I52" s="3">
        <v>265.9</v>
      </c>
      <c r="J52" s="3">
        <v>270.1</v>
      </c>
      <c r="K52" s="3">
        <v>232.5</v>
      </c>
      <c r="L52" s="3">
        <v>264.1</v>
      </c>
      <c r="M52" s="3">
        <v>243.9</v>
      </c>
      <c r="N52" s="3">
        <v>215.7</v>
      </c>
      <c r="O52" s="3">
        <v>196.3</v>
      </c>
      <c r="P52" s="3">
        <v>201.3</v>
      </c>
      <c r="Q52" s="3">
        <v>265.7</v>
      </c>
      <c r="R52" s="3">
        <v>215.0</v>
      </c>
    </row>
    <row r="53" ht="13.5" customHeight="1">
      <c r="A53" s="10" t="s">
        <v>238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6.1</v>
      </c>
      <c r="H53" s="3">
        <v>6.8</v>
      </c>
      <c r="I53" s="3">
        <v>3.9</v>
      </c>
      <c r="J53" s="3">
        <v>2.1</v>
      </c>
      <c r="K53" s="3">
        <v>2.0</v>
      </c>
      <c r="L53" s="3">
        <v>2.2</v>
      </c>
      <c r="M53" s="3">
        <v>2.2</v>
      </c>
      <c r="N53" s="3">
        <v>1.7</v>
      </c>
      <c r="O53" s="3">
        <v>1.5</v>
      </c>
      <c r="P53" s="3">
        <v>1.4</v>
      </c>
      <c r="Q53" s="3">
        <v>2.0</v>
      </c>
      <c r="R53" s="3">
        <v>2.0</v>
      </c>
    </row>
    <row r="54" ht="13.5" customHeight="1">
      <c r="A54" s="13" t="s">
        <v>239</v>
      </c>
      <c r="B54" s="5"/>
      <c r="C54" s="5"/>
      <c r="D54" s="5"/>
      <c r="E54" s="5"/>
      <c r="F54" s="6"/>
      <c r="G54" s="13"/>
      <c r="H54" s="5"/>
      <c r="I54" s="5"/>
      <c r="J54" s="5"/>
      <c r="K54" s="6"/>
      <c r="L54" s="13"/>
      <c r="M54" s="5"/>
      <c r="N54" s="5"/>
      <c r="O54" s="5"/>
      <c r="P54" s="6"/>
      <c r="Q54" s="13"/>
      <c r="R54" s="6"/>
    </row>
    <row r="55" ht="13.5" customHeight="1">
      <c r="A55" s="10" t="s">
        <v>240</v>
      </c>
      <c r="B55" s="3">
        <v>4.41</v>
      </c>
      <c r="C55" s="3">
        <v>5.03</v>
      </c>
      <c r="D55" s="3">
        <v>3.71</v>
      </c>
      <c r="E55" s="3">
        <v>3.72</v>
      </c>
      <c r="F55" s="3">
        <v>3.87</v>
      </c>
      <c r="G55" s="3">
        <v>6.49</v>
      </c>
      <c r="H55" s="3">
        <v>7.48</v>
      </c>
      <c r="I55" s="3">
        <v>5.71</v>
      </c>
      <c r="J55" s="3">
        <v>4.98</v>
      </c>
      <c r="K55" s="3">
        <v>6.12</v>
      </c>
      <c r="L55" s="3">
        <v>6.97</v>
      </c>
      <c r="M55" s="3">
        <v>6.42</v>
      </c>
      <c r="N55" s="3">
        <v>6.32</v>
      </c>
      <c r="O55" s="3">
        <v>6.2</v>
      </c>
      <c r="P55" s="3">
        <v>9.19</v>
      </c>
      <c r="Q55" s="3">
        <v>12.01</v>
      </c>
      <c r="R55" s="3">
        <v>10.84</v>
      </c>
    </row>
    <row r="56" ht="13.5" customHeight="1">
      <c r="A56" s="10" t="s">
        <v>241</v>
      </c>
      <c r="B56" s="3">
        <v>0.75</v>
      </c>
      <c r="C56" s="3">
        <v>0.93</v>
      </c>
      <c r="D56" s="3">
        <v>0.93</v>
      </c>
      <c r="E56" s="3">
        <v>0.88</v>
      </c>
      <c r="F56" s="3">
        <v>1.45</v>
      </c>
      <c r="G56" s="3">
        <v>1.38</v>
      </c>
      <c r="H56" s="3">
        <v>1.32</v>
      </c>
      <c r="I56" s="3">
        <v>1.72</v>
      </c>
      <c r="J56" s="3">
        <v>1.86</v>
      </c>
      <c r="K56" s="3">
        <v>1.28</v>
      </c>
      <c r="L56" s="3">
        <v>1.38</v>
      </c>
      <c r="M56" s="3">
        <v>2.0</v>
      </c>
      <c r="N56" s="3">
        <v>1.93</v>
      </c>
      <c r="O56" s="3">
        <v>3.2</v>
      </c>
      <c r="P56" s="3">
        <v>2.35</v>
      </c>
      <c r="Q56" s="3">
        <v>2.58</v>
      </c>
      <c r="R56" s="3">
        <v>3.59</v>
      </c>
    </row>
    <row r="57" ht="13.5" customHeight="1">
      <c r="A57" s="10" t="s">
        <v>242</v>
      </c>
      <c r="B57" s="3">
        <v>0.0</v>
      </c>
      <c r="C57" s="3">
        <v>0.0</v>
      </c>
      <c r="D57" s="3">
        <v>0.07</v>
      </c>
      <c r="E57" s="3">
        <v>0.0</v>
      </c>
      <c r="F57" s="3">
        <v>0.0</v>
      </c>
      <c r="G57" s="3">
        <v>0.0</v>
      </c>
      <c r="H57" s="3">
        <v>0.0</v>
      </c>
      <c r="I57" s="3">
        <v>0.04</v>
      </c>
      <c r="J57" s="3">
        <v>0.0</v>
      </c>
      <c r="K57" s="3">
        <v>0.0</v>
      </c>
      <c r="L57" s="3">
        <v>0.0</v>
      </c>
      <c r="M57" s="3">
        <v>0.38</v>
      </c>
      <c r="N57" s="3">
        <v>0.0</v>
      </c>
      <c r="O57" s="3">
        <v>0.59</v>
      </c>
      <c r="P57" s="3">
        <v>0.5</v>
      </c>
      <c r="Q57" s="3">
        <v>1.01</v>
      </c>
      <c r="R57" s="3">
        <v>0.96</v>
      </c>
    </row>
    <row r="58" ht="13.5" customHeight="1">
      <c r="A58" s="10" t="s">
        <v>243</v>
      </c>
      <c r="B58" s="3">
        <v>2.18</v>
      </c>
      <c r="C58" s="3">
        <v>2.43</v>
      </c>
      <c r="D58" s="3">
        <v>1.41</v>
      </c>
      <c r="E58" s="3">
        <v>1.08</v>
      </c>
      <c r="F58" s="3">
        <v>0.86</v>
      </c>
      <c r="G58" s="3">
        <v>1.35</v>
      </c>
      <c r="H58" s="3">
        <v>1.84</v>
      </c>
      <c r="I58" s="3">
        <v>1.49</v>
      </c>
      <c r="J58" s="3">
        <v>1.31</v>
      </c>
      <c r="K58" s="3">
        <v>1.31</v>
      </c>
      <c r="L58" s="3">
        <v>1.66</v>
      </c>
      <c r="M58" s="3">
        <v>1.39</v>
      </c>
      <c r="N58" s="3">
        <v>1.2</v>
      </c>
      <c r="O58" s="3">
        <v>1.07</v>
      </c>
      <c r="P58" s="3">
        <v>1.44</v>
      </c>
      <c r="Q58" s="3">
        <v>1.8</v>
      </c>
      <c r="R58" s="3">
        <v>1.28</v>
      </c>
    </row>
    <row r="59" ht="13.5" customHeight="1">
      <c r="A59" s="10" t="s">
        <v>244</v>
      </c>
      <c r="B59" s="3">
        <v>67.8</v>
      </c>
      <c r="C59" s="3">
        <v>70.8</v>
      </c>
      <c r="D59" s="3">
        <v>46.4</v>
      </c>
      <c r="E59" s="3">
        <v>42.9</v>
      </c>
      <c r="F59" s="3">
        <v>40.0</v>
      </c>
      <c r="G59" s="3">
        <v>47.7</v>
      </c>
      <c r="H59" s="3">
        <v>55.4</v>
      </c>
      <c r="I59" s="3">
        <v>51.5</v>
      </c>
      <c r="J59" s="3">
        <v>48.1</v>
      </c>
      <c r="K59" s="3">
        <v>56.7</v>
      </c>
      <c r="L59" s="3">
        <v>62.3</v>
      </c>
      <c r="M59" s="3">
        <v>58.2</v>
      </c>
      <c r="N59" s="3">
        <v>54.5</v>
      </c>
      <c r="O59" s="3">
        <v>51.7</v>
      </c>
      <c r="P59" s="3">
        <v>59.0</v>
      </c>
      <c r="Q59" s="3">
        <v>62.0</v>
      </c>
      <c r="R59" s="3">
        <v>56.2</v>
      </c>
    </row>
    <row r="60" ht="13.5" customHeight="1">
      <c r="A60" s="10" t="s">
        <v>245</v>
      </c>
      <c r="B60" s="3">
        <v>77.2</v>
      </c>
      <c r="C60" s="3">
        <v>75.3</v>
      </c>
      <c r="D60" s="3">
        <v>68.6</v>
      </c>
      <c r="E60" s="3">
        <v>68.3</v>
      </c>
      <c r="F60" s="3">
        <v>54.3</v>
      </c>
      <c r="G60" s="3">
        <v>54.8</v>
      </c>
      <c r="H60" s="3">
        <v>60.6</v>
      </c>
      <c r="I60" s="3">
        <v>51.8</v>
      </c>
      <c r="J60" s="3">
        <v>45.6</v>
      </c>
      <c r="K60" s="3">
        <v>50.2</v>
      </c>
      <c r="L60" s="3">
        <v>52.4</v>
      </c>
      <c r="M60" s="3">
        <v>44.9</v>
      </c>
      <c r="N60" s="3">
        <v>44.4</v>
      </c>
      <c r="O60" s="3">
        <v>41.4</v>
      </c>
      <c r="P60" s="3">
        <v>53.9</v>
      </c>
      <c r="Q60" s="3">
        <v>56.5</v>
      </c>
      <c r="R60" s="3">
        <v>53.7</v>
      </c>
    </row>
    <row r="61" ht="13.5" customHeight="1">
      <c r="A61" s="10" t="s">
        <v>246</v>
      </c>
      <c r="B61" s="3">
        <v>73.2</v>
      </c>
      <c r="C61" s="3">
        <v>76.4</v>
      </c>
      <c r="D61" s="3">
        <v>55.8</v>
      </c>
      <c r="E61" s="3">
        <v>52.4</v>
      </c>
      <c r="F61" s="3">
        <v>55.1</v>
      </c>
      <c r="G61" s="3">
        <v>62.5</v>
      </c>
      <c r="H61" s="3">
        <v>67.2</v>
      </c>
      <c r="I61" s="3">
        <v>67.2</v>
      </c>
      <c r="J61" s="3">
        <v>67.0</v>
      </c>
      <c r="K61" s="3">
        <v>72.3</v>
      </c>
      <c r="L61" s="3">
        <v>75.9</v>
      </c>
      <c r="M61" s="3">
        <v>75.6</v>
      </c>
      <c r="N61" s="3">
        <v>73.0</v>
      </c>
      <c r="O61" s="3">
        <v>72.1</v>
      </c>
      <c r="P61" s="3">
        <v>72.7</v>
      </c>
      <c r="Q61" s="3">
        <v>74.3</v>
      </c>
      <c r="R61" s="3">
        <v>70.5</v>
      </c>
    </row>
    <row r="62" ht="13.5" customHeight="1">
      <c r="A62" s="10" t="s">
        <v>247</v>
      </c>
      <c r="B62" s="3">
        <v>-25.1</v>
      </c>
      <c r="C62" s="3">
        <v>-34.3</v>
      </c>
      <c r="D62" s="3">
        <v>-21.7</v>
      </c>
      <c r="E62" s="3">
        <v>-17.7</v>
      </c>
      <c r="F62" s="3">
        <v>-27.0</v>
      </c>
      <c r="G62" s="3">
        <v>-10.9</v>
      </c>
      <c r="H62" s="3">
        <v>-14.2</v>
      </c>
      <c r="I62" s="3">
        <v>-30.3</v>
      </c>
      <c r="J62" s="3">
        <v>-38.5</v>
      </c>
      <c r="K62" s="3">
        <v>-18.7</v>
      </c>
      <c r="L62" s="3">
        <v>-21.0</v>
      </c>
      <c r="M62" s="3">
        <v>-13.6</v>
      </c>
      <c r="N62" s="3">
        <v>-18.8</v>
      </c>
      <c r="O62" s="3">
        <v>-24.8</v>
      </c>
      <c r="P62" s="3">
        <v>-15.3</v>
      </c>
      <c r="Q62" s="3">
        <v>4.5</v>
      </c>
      <c r="R62" s="3">
        <v>-14.5</v>
      </c>
    </row>
    <row r="63" ht="13.5" customHeight="1">
      <c r="A63" s="10" t="s">
        <v>248</v>
      </c>
      <c r="B63" s="3">
        <v>2.09</v>
      </c>
      <c r="C63" s="3">
        <v>2.46</v>
      </c>
      <c r="D63" s="3">
        <v>2.37</v>
      </c>
      <c r="E63" s="3">
        <v>2.03</v>
      </c>
      <c r="F63" s="3">
        <v>2.36</v>
      </c>
      <c r="G63" s="3">
        <v>3.39</v>
      </c>
      <c r="H63" s="3">
        <v>4.07</v>
      </c>
      <c r="I63" s="3">
        <v>4.48</v>
      </c>
      <c r="J63" s="3">
        <v>4.49</v>
      </c>
      <c r="K63" s="3">
        <v>5.02</v>
      </c>
      <c r="L63" s="3">
        <v>5.72</v>
      </c>
      <c r="M63" s="3">
        <v>6.43</v>
      </c>
      <c r="N63" s="3">
        <v>7.25</v>
      </c>
      <c r="O63" s="3">
        <v>7.88</v>
      </c>
      <c r="P63" s="3">
        <v>8.58</v>
      </c>
      <c r="Q63" s="3">
        <v>10.83</v>
      </c>
      <c r="R63" s="3">
        <v>11.26</v>
      </c>
    </row>
    <row r="64" ht="13.5" customHeight="1">
      <c r="A64" s="10" t="s">
        <v>249</v>
      </c>
      <c r="B64" s="3">
        <v>2.03</v>
      </c>
      <c r="C64" s="3">
        <v>2.07</v>
      </c>
      <c r="D64" s="3">
        <v>2.64</v>
      </c>
      <c r="E64" s="3">
        <v>3.43</v>
      </c>
      <c r="F64" s="3">
        <v>4.49</v>
      </c>
      <c r="G64" s="3">
        <v>4.79</v>
      </c>
      <c r="H64" s="3">
        <v>4.06</v>
      </c>
      <c r="I64" s="3">
        <v>4.06</v>
      </c>
      <c r="J64" s="3">
        <v>4.06</v>
      </c>
      <c r="K64" s="3">
        <v>4.06</v>
      </c>
      <c r="L64" s="3">
        <v>4.06</v>
      </c>
      <c r="M64" s="3">
        <v>4.06</v>
      </c>
      <c r="N64" s="3">
        <v>4.06</v>
      </c>
      <c r="O64" s="3">
        <v>4.06</v>
      </c>
      <c r="P64" s="3">
        <v>4.06</v>
      </c>
      <c r="Q64" s="3">
        <v>4.06</v>
      </c>
      <c r="R64" s="3">
        <v>4.06</v>
      </c>
    </row>
    <row r="65" ht="13.5" customHeight="1">
      <c r="A65" s="10" t="s">
        <v>250</v>
      </c>
      <c r="B65" s="3">
        <v>-2.5</v>
      </c>
      <c r="C65" s="3">
        <v>-2.55</v>
      </c>
      <c r="D65" s="3">
        <v>-1.31</v>
      </c>
      <c r="E65" s="3">
        <v>-0.22</v>
      </c>
      <c r="F65" s="3">
        <v>-1.15</v>
      </c>
      <c r="G65" s="3">
        <v>-6.07</v>
      </c>
      <c r="H65" s="3">
        <v>-6.78</v>
      </c>
      <c r="I65" s="3">
        <v>-6.33</v>
      </c>
      <c r="J65" s="3">
        <v>-6.49</v>
      </c>
      <c r="K65" s="3">
        <v>-6.18</v>
      </c>
      <c r="L65" s="3">
        <v>-6.91</v>
      </c>
      <c r="M65" s="3">
        <v>-6.65</v>
      </c>
      <c r="N65" s="3">
        <v>-6.09</v>
      </c>
      <c r="O65" s="3">
        <v>-5.59</v>
      </c>
      <c r="P65" s="3">
        <v>-6.48</v>
      </c>
      <c r="Q65" s="3">
        <v>-11.07</v>
      </c>
      <c r="R65" s="3">
        <v>-9.73</v>
      </c>
    </row>
    <row r="66" ht="13.5" customHeight="1">
      <c r="A66" s="10" t="s">
        <v>251</v>
      </c>
      <c r="B66" s="3">
        <v>1.06</v>
      </c>
      <c r="C66" s="3">
        <v>1.23</v>
      </c>
      <c r="D66" s="3">
        <v>2.82</v>
      </c>
      <c r="E66" s="3">
        <v>6.5</v>
      </c>
      <c r="F66" s="3">
        <v>7.03</v>
      </c>
      <c r="G66" s="3">
        <v>4.65</v>
      </c>
      <c r="H66" s="3">
        <v>1.84</v>
      </c>
      <c r="I66" s="3">
        <v>1.91</v>
      </c>
      <c r="J66" s="3">
        <v>2.27</v>
      </c>
      <c r="K66" s="3">
        <v>2.49</v>
      </c>
      <c r="L66" s="3">
        <v>2.9</v>
      </c>
      <c r="M66" s="3">
        <v>3.81</v>
      </c>
      <c r="N66" s="3">
        <v>3.16</v>
      </c>
      <c r="O66" s="3">
        <v>2.38</v>
      </c>
      <c r="P66" s="3">
        <v>2.5</v>
      </c>
      <c r="Q66" s="3">
        <v>2.07</v>
      </c>
      <c r="R66" s="3">
        <v>1.79</v>
      </c>
    </row>
    <row r="67" ht="13.5" customHeight="1">
      <c r="A67" s="10" t="s">
        <v>252</v>
      </c>
      <c r="B67" s="3">
        <v>1.1</v>
      </c>
      <c r="C67" s="3">
        <v>1.46</v>
      </c>
      <c r="D67" s="3">
        <v>2.53</v>
      </c>
      <c r="E67" s="3">
        <v>3.85</v>
      </c>
      <c r="F67" s="3">
        <v>3.7</v>
      </c>
      <c r="G67" s="3">
        <v>3.29</v>
      </c>
      <c r="H67" s="3">
        <v>1.85</v>
      </c>
      <c r="I67" s="3">
        <v>2.24</v>
      </c>
      <c r="J67" s="3">
        <v>2.67</v>
      </c>
      <c r="K67" s="3">
        <v>2.68</v>
      </c>
      <c r="L67" s="3">
        <v>3.94</v>
      </c>
      <c r="M67" s="3">
        <v>5.31</v>
      </c>
      <c r="N67" s="3">
        <v>4.35</v>
      </c>
      <c r="O67" s="3">
        <v>3.23</v>
      </c>
      <c r="P67" s="3">
        <v>3.35</v>
      </c>
      <c r="Q67" s="3">
        <v>3.35</v>
      </c>
      <c r="R67" s="3">
        <v>2.38</v>
      </c>
    </row>
    <row r="68" ht="13.5" customHeight="1">
      <c r="A68" s="10" t="s">
        <v>253</v>
      </c>
      <c r="B68" s="3">
        <v>-0.89</v>
      </c>
      <c r="C68" s="3">
        <v>-1.19</v>
      </c>
      <c r="D68" s="3">
        <v>-5.1</v>
      </c>
      <c r="E68" s="3">
        <v>-60.0</v>
      </c>
      <c r="F68" s="3">
        <v>-14.43</v>
      </c>
      <c r="G68" s="3">
        <v>-2.6</v>
      </c>
      <c r="H68" s="3">
        <v>-1.11</v>
      </c>
      <c r="I68" s="3">
        <v>-1.35</v>
      </c>
      <c r="J68" s="3">
        <v>-1.57</v>
      </c>
      <c r="K68" s="3">
        <v>-2.03</v>
      </c>
      <c r="L68" s="3">
        <v>-2.4</v>
      </c>
      <c r="M68" s="3">
        <v>-3.69</v>
      </c>
      <c r="N68" s="3">
        <v>-3.76</v>
      </c>
      <c r="O68" s="3">
        <v>-3.36</v>
      </c>
      <c r="P68" s="3">
        <v>-3.3</v>
      </c>
      <c r="Q68" s="3">
        <v>-2.02</v>
      </c>
      <c r="R68" s="3">
        <v>-2.07</v>
      </c>
    </row>
    <row r="69" ht="13.5" customHeight="1">
      <c r="A69" s="10" t="s">
        <v>254</v>
      </c>
      <c r="B69" s="3">
        <v>-22.9</v>
      </c>
      <c r="C69" s="3">
        <v>-23.5</v>
      </c>
      <c r="D69" s="3">
        <v>-8.5</v>
      </c>
      <c r="E69" s="3">
        <v>-4.6</v>
      </c>
      <c r="F69" s="3">
        <v>-7.3</v>
      </c>
      <c r="G69" s="3">
        <v>-3.3</v>
      </c>
      <c r="H69" s="3">
        <v>-7.7</v>
      </c>
      <c r="I69" s="3">
        <v>-13.5</v>
      </c>
      <c r="J69" s="3">
        <v>-14.4</v>
      </c>
      <c r="K69" s="3">
        <v>-6.9</v>
      </c>
      <c r="L69" s="3">
        <v>-5.3</v>
      </c>
      <c r="M69" s="3">
        <v>-2.6</v>
      </c>
      <c r="N69" s="3">
        <v>-4.3</v>
      </c>
      <c r="O69" s="3">
        <v>-7.7</v>
      </c>
      <c r="P69" s="3">
        <v>-4.6</v>
      </c>
      <c r="Q69" s="3">
        <v>1.3</v>
      </c>
      <c r="R69" s="3">
        <v>-6.1</v>
      </c>
    </row>
    <row r="70" ht="13.5" customHeight="1">
      <c r="A70" s="13" t="s">
        <v>255</v>
      </c>
      <c r="B70" s="5"/>
      <c r="C70" s="5"/>
      <c r="D70" s="5"/>
      <c r="E70" s="5"/>
      <c r="F70" s="6"/>
      <c r="G70" s="13"/>
      <c r="H70" s="5"/>
      <c r="I70" s="5"/>
      <c r="J70" s="5"/>
      <c r="K70" s="6"/>
      <c r="L70" s="13"/>
      <c r="M70" s="5"/>
      <c r="N70" s="5"/>
      <c r="O70" s="5"/>
      <c r="P70" s="6"/>
      <c r="Q70" s="13"/>
      <c r="R70" s="6"/>
    </row>
    <row r="71" ht="13.5" customHeight="1">
      <c r="A71" s="10" t="s">
        <v>256</v>
      </c>
      <c r="B71" s="3">
        <v>-0.51</v>
      </c>
      <c r="C71" s="3">
        <v>-0.71</v>
      </c>
      <c r="D71" s="3">
        <v>-0.57</v>
      </c>
      <c r="E71" s="3">
        <v>-0.61</v>
      </c>
      <c r="F71" s="3">
        <v>-1.21</v>
      </c>
      <c r="G71" s="3">
        <v>-0.52</v>
      </c>
      <c r="H71" s="3">
        <v>-0.58</v>
      </c>
      <c r="I71" s="3">
        <v>-1.16</v>
      </c>
      <c r="J71" s="3">
        <v>-1.47</v>
      </c>
      <c r="K71" s="3">
        <v>-0.87</v>
      </c>
      <c r="L71" s="3">
        <v>-0.88</v>
      </c>
      <c r="M71" s="3">
        <v>-0.63</v>
      </c>
      <c r="N71" s="3">
        <v>-0.99</v>
      </c>
      <c r="O71" s="3">
        <v>-1.44</v>
      </c>
      <c r="P71" s="3">
        <v>-0.98</v>
      </c>
      <c r="Q71" s="3">
        <v>0.3</v>
      </c>
      <c r="R71" s="3">
        <v>-1.23</v>
      </c>
    </row>
    <row r="72" ht="13.5" customHeight="1">
      <c r="A72" s="10" t="s">
        <v>257</v>
      </c>
      <c r="B72" s="3">
        <v>0.55</v>
      </c>
      <c r="C72" s="3">
        <v>0.33</v>
      </c>
      <c r="D72" s="3">
        <v>0.53</v>
      </c>
      <c r="E72" s="3">
        <v>0.5</v>
      </c>
      <c r="F72" s="3">
        <v>0.73</v>
      </c>
      <c r="G72" s="3">
        <v>0.7</v>
      </c>
      <c r="H72" s="3">
        <v>0.53</v>
      </c>
      <c r="I72" s="3">
        <v>1.16</v>
      </c>
      <c r="J72" s="3">
        <v>1.37</v>
      </c>
      <c r="K72" s="3">
        <v>1.59</v>
      </c>
      <c r="L72" s="3">
        <v>2.23</v>
      </c>
      <c r="M72" s="3">
        <v>2.0</v>
      </c>
      <c r="N72" s="3">
        <v>2.75</v>
      </c>
      <c r="O72" s="3">
        <v>2.61</v>
      </c>
      <c r="P72" s="3">
        <v>2.75</v>
      </c>
      <c r="Q72" s="3">
        <v>2.57</v>
      </c>
      <c r="R72" s="3">
        <v>3.55</v>
      </c>
    </row>
    <row r="73" ht="13.5" customHeight="1">
      <c r="A73" s="10" t="s">
        <v>258</v>
      </c>
      <c r="B73" s="3">
        <v>-0.49</v>
      </c>
      <c r="C73" s="3">
        <v>-0.39</v>
      </c>
      <c r="D73" s="3">
        <v>-0.81</v>
      </c>
      <c r="E73" s="3">
        <v>-0.65</v>
      </c>
      <c r="F73" s="3">
        <v>-1.53</v>
      </c>
      <c r="G73" s="3">
        <v>-2.56</v>
      </c>
      <c r="H73" s="3">
        <v>-1.34</v>
      </c>
      <c r="I73" s="3">
        <v>0.14</v>
      </c>
      <c r="J73" s="3">
        <v>0.52</v>
      </c>
      <c r="K73" s="3">
        <v>0.47</v>
      </c>
      <c r="L73" s="3">
        <v>0.46</v>
      </c>
      <c r="M73" s="3">
        <v>0.64</v>
      </c>
      <c r="N73" s="3">
        <v>1.2</v>
      </c>
      <c r="O73" s="3">
        <v>0.42</v>
      </c>
      <c r="P73" s="3">
        <v>0.2</v>
      </c>
      <c r="Q73" s="3">
        <v>-1.11</v>
      </c>
      <c r="R73" s="3">
        <v>1.56</v>
      </c>
    </row>
    <row r="74" ht="13.5" customHeight="1">
      <c r="A74" s="10" t="s">
        <v>259</v>
      </c>
      <c r="B74" s="3">
        <v>12.0</v>
      </c>
      <c r="C74" s="3">
        <v>0.0</v>
      </c>
      <c r="D74" s="3">
        <v>1.5</v>
      </c>
      <c r="E74" s="3">
        <v>3.7</v>
      </c>
      <c r="F74" s="3">
        <v>6.4</v>
      </c>
      <c r="G74" s="3">
        <v>0.0</v>
      </c>
      <c r="H74" s="3">
        <v>0.0</v>
      </c>
      <c r="I74" s="3">
        <v>0.0</v>
      </c>
      <c r="J74" s="3">
        <v>5.1</v>
      </c>
      <c r="K74" s="3">
        <v>7.8</v>
      </c>
      <c r="L74" s="3">
        <v>25.3</v>
      </c>
      <c r="M74" s="3">
        <v>19.5</v>
      </c>
      <c r="N74" s="3">
        <v>29.8</v>
      </c>
      <c r="O74" s="3">
        <v>21.4</v>
      </c>
      <c r="P74" s="3">
        <v>19.2</v>
      </c>
      <c r="Q74" s="3">
        <v>16.2</v>
      </c>
      <c r="R74" s="3">
        <v>20.3</v>
      </c>
    </row>
    <row r="75" ht="13.5" customHeight="1">
      <c r="A75" s="10" t="s">
        <v>260</v>
      </c>
      <c r="B75" s="3">
        <v>3.7</v>
      </c>
      <c r="C75" s="3">
        <v>-1.3</v>
      </c>
      <c r="D75" s="3">
        <v>0.5</v>
      </c>
      <c r="E75" s="3">
        <v>1.5</v>
      </c>
      <c r="F75" s="3">
        <v>3.0</v>
      </c>
      <c r="G75" s="3">
        <v>-2.3</v>
      </c>
      <c r="H75" s="3">
        <v>-4.6</v>
      </c>
      <c r="I75" s="3">
        <v>-0.9</v>
      </c>
      <c r="J75" s="3">
        <v>1.9</v>
      </c>
      <c r="K75" s="3">
        <v>3.4</v>
      </c>
      <c r="L75" s="3">
        <v>9.5</v>
      </c>
      <c r="M75" s="3">
        <v>8.2</v>
      </c>
      <c r="N75" s="3">
        <v>13.5</v>
      </c>
      <c r="O75" s="3">
        <v>10.4</v>
      </c>
      <c r="P75" s="3">
        <v>7.9</v>
      </c>
      <c r="Q75" s="3">
        <v>5.6</v>
      </c>
      <c r="R75" s="3">
        <v>8.9</v>
      </c>
    </row>
    <row r="76" ht="13.5" customHeight="1">
      <c r="A76" s="10" t="s">
        <v>261</v>
      </c>
      <c r="B76" s="3">
        <v>3.1</v>
      </c>
      <c r="C76" s="3">
        <v>-1.1</v>
      </c>
      <c r="D76" s="3">
        <v>0.4</v>
      </c>
      <c r="E76" s="3">
        <v>1.2</v>
      </c>
      <c r="F76" s="3">
        <v>2.2</v>
      </c>
      <c r="G76" s="3">
        <v>-1.7</v>
      </c>
      <c r="H76" s="3">
        <v>-3.4</v>
      </c>
      <c r="I76" s="3">
        <v>-0.6</v>
      </c>
      <c r="J76" s="3">
        <v>1.2</v>
      </c>
      <c r="K76" s="3">
        <v>2.2</v>
      </c>
      <c r="L76" s="3">
        <v>6.1</v>
      </c>
      <c r="M76" s="3">
        <v>4.8</v>
      </c>
      <c r="N76" s="3">
        <v>8.0</v>
      </c>
      <c r="O76" s="3">
        <v>6.0</v>
      </c>
      <c r="P76" s="3">
        <v>5.2</v>
      </c>
      <c r="Q76" s="3">
        <v>3.8</v>
      </c>
      <c r="R76" s="3">
        <v>6.0</v>
      </c>
    </row>
    <row r="77" ht="13.5" customHeight="1">
      <c r="A77" s="10" t="s">
        <v>262</v>
      </c>
      <c r="B77" s="3">
        <v>4.0</v>
      </c>
      <c r="C77" s="3">
        <v>9.2</v>
      </c>
      <c r="D77" s="3">
        <v>12.6</v>
      </c>
      <c r="E77" s="3">
        <v>26.4</v>
      </c>
      <c r="F77" s="3">
        <v>22.7</v>
      </c>
      <c r="G77" s="3">
        <v>22.5</v>
      </c>
      <c r="H77" s="3">
        <v>14.2</v>
      </c>
      <c r="I77" s="3">
        <v>7.4</v>
      </c>
      <c r="J77" s="3">
        <v>7.4</v>
      </c>
      <c r="K77" s="3">
        <v>7.9</v>
      </c>
      <c r="L77" s="3">
        <v>7.4</v>
      </c>
      <c r="M77" s="3">
        <v>12.3</v>
      </c>
      <c r="N77" s="3">
        <v>8.3</v>
      </c>
      <c r="O77" s="3">
        <v>7.2</v>
      </c>
      <c r="P77" s="3">
        <v>7.8</v>
      </c>
      <c r="Q77" s="3">
        <v>8.7</v>
      </c>
      <c r="R77" s="3">
        <v>5.7</v>
      </c>
    </row>
    <row r="78" ht="13.5" customHeight="1">
      <c r="A78" s="10" t="s">
        <v>263</v>
      </c>
      <c r="B78" s="3">
        <v>-4.5</v>
      </c>
      <c r="C78" s="3">
        <v>-7.8</v>
      </c>
      <c r="D78" s="3">
        <v>-8.2</v>
      </c>
      <c r="E78" s="3">
        <v>-20.3</v>
      </c>
      <c r="F78" s="3">
        <v>-10.8</v>
      </c>
      <c r="G78" s="3">
        <v>-6.2</v>
      </c>
      <c r="H78" s="3">
        <v>-5.6</v>
      </c>
      <c r="I78" s="3">
        <v>61.2</v>
      </c>
      <c r="J78" s="3">
        <v>19.6</v>
      </c>
      <c r="K78" s="3">
        <v>26.6</v>
      </c>
      <c r="L78" s="3">
        <v>36.1</v>
      </c>
      <c r="M78" s="3">
        <v>38.3</v>
      </c>
      <c r="N78" s="3">
        <v>19.1</v>
      </c>
      <c r="O78" s="3">
        <v>44.7</v>
      </c>
      <c r="P78" s="3">
        <v>107.1</v>
      </c>
      <c r="Q78" s="3">
        <v>-20.2</v>
      </c>
      <c r="R78" s="3">
        <v>12.9</v>
      </c>
    </row>
    <row r="79" ht="13.5" customHeight="1">
      <c r="A79" s="10" t="s">
        <v>264</v>
      </c>
      <c r="B79" s="3">
        <v>352260.0</v>
      </c>
      <c r="C79" s="3">
        <v>323648.0</v>
      </c>
      <c r="D79" s="3">
        <v>291809.0</v>
      </c>
      <c r="E79" s="3">
        <v>303458.0</v>
      </c>
      <c r="F79" s="3">
        <v>404583.0</v>
      </c>
      <c r="G79" s="3">
        <v>654980.0</v>
      </c>
      <c r="H79" s="3">
        <v>337243.0</v>
      </c>
      <c r="I79" s="3">
        <v>370846.0</v>
      </c>
      <c r="J79" s="3">
        <v>319961.0</v>
      </c>
      <c r="K79" s="3">
        <v>298623.0</v>
      </c>
      <c r="L79" s="3">
        <v>299913.0</v>
      </c>
      <c r="M79" s="3">
        <v>308272.0</v>
      </c>
      <c r="N79" s="3">
        <v>344984.0</v>
      </c>
      <c r="O79" s="3">
        <v>339091.0</v>
      </c>
      <c r="P79" s="3">
        <v>285968.0</v>
      </c>
      <c r="Q79" s="3">
        <v>379272.0</v>
      </c>
      <c r="R79" s="3">
        <v>357000.0</v>
      </c>
    </row>
    <row r="80" ht="13.5" customHeight="1">
      <c r="A80" s="13" t="s">
        <v>265</v>
      </c>
      <c r="B80" s="5"/>
      <c r="C80" s="5"/>
      <c r="D80" s="5"/>
      <c r="E80" s="5"/>
      <c r="F80" s="6"/>
      <c r="G80" s="13"/>
      <c r="H80" s="5"/>
      <c r="I80" s="5"/>
      <c r="J80" s="5"/>
      <c r="K80" s="6"/>
      <c r="L80" s="13"/>
      <c r="M80" s="5"/>
      <c r="N80" s="5"/>
      <c r="O80" s="5"/>
      <c r="P80" s="6"/>
      <c r="Q80" s="13"/>
      <c r="R80" s="6"/>
    </row>
    <row r="81" ht="13.5" customHeight="1">
      <c r="A81" s="10" t="s">
        <v>266</v>
      </c>
      <c r="B81" s="3">
        <v>37.3</v>
      </c>
      <c r="C81" s="3">
        <v>24.5</v>
      </c>
      <c r="D81" s="3">
        <v>35.0</v>
      </c>
      <c r="E81" s="3">
        <v>13.5</v>
      </c>
      <c r="F81" s="3">
        <v>15.9</v>
      </c>
      <c r="G81" s="3">
        <v>138.6</v>
      </c>
      <c r="H81" s="3">
        <v>147.8</v>
      </c>
      <c r="I81" s="3">
        <v>179.9</v>
      </c>
      <c r="J81" s="3">
        <v>175.6</v>
      </c>
      <c r="K81" s="3">
        <v>178.2</v>
      </c>
      <c r="L81" s="3">
        <v>178.5</v>
      </c>
      <c r="M81" s="3">
        <v>147.1</v>
      </c>
      <c r="N81" s="3">
        <v>58.6</v>
      </c>
      <c r="O81" s="3">
        <v>57.8</v>
      </c>
      <c r="P81" s="3">
        <v>58.4</v>
      </c>
      <c r="Q81" s="3">
        <v>62.5</v>
      </c>
      <c r="R81" s="3">
        <v>64.7</v>
      </c>
    </row>
    <row r="82" ht="13.5" customHeight="1">
      <c r="A82" s="10" t="s">
        <v>267</v>
      </c>
      <c r="B82" s="3">
        <v>41.8</v>
      </c>
      <c r="C82" s="3">
        <v>-14.4</v>
      </c>
      <c r="D82" s="3">
        <v>4.8</v>
      </c>
      <c r="E82" s="3">
        <v>4.2</v>
      </c>
      <c r="F82" s="3">
        <v>23.6</v>
      </c>
      <c r="G82" s="3">
        <v>788.3</v>
      </c>
      <c r="H82" s="3">
        <v>281.8</v>
      </c>
      <c r="I82" s="3">
        <v>61.6</v>
      </c>
      <c r="J82" s="3">
        <v>-187.1</v>
      </c>
      <c r="K82" s="3">
        <v>-12352.7</v>
      </c>
      <c r="L82" s="3">
        <v>834.7</v>
      </c>
      <c r="M82" s="3">
        <v>234.0</v>
      </c>
      <c r="N82" s="3">
        <v>82.1</v>
      </c>
      <c r="O82" s="3">
        <v>271.7</v>
      </c>
      <c r="P82" s="3">
        <v>68.4</v>
      </c>
      <c r="Q82" s="3">
        <v>113.7</v>
      </c>
      <c r="R82" s="3">
        <v>63.1</v>
      </c>
    </row>
    <row r="83" ht="13.5" customHeight="1">
      <c r="A83" s="10" t="s">
        <v>268</v>
      </c>
      <c r="B83" s="3">
        <v>36.1</v>
      </c>
      <c r="C83" s="3">
        <v>11.1</v>
      </c>
      <c r="D83" s="3">
        <v>-1.4</v>
      </c>
      <c r="E83" s="3">
        <v>3.6</v>
      </c>
      <c r="F83" s="3">
        <v>35.2</v>
      </c>
      <c r="G83" s="3">
        <v>1416.7</v>
      </c>
      <c r="H83" s="3">
        <v>162.5</v>
      </c>
      <c r="I83" s="3">
        <v>32.8</v>
      </c>
      <c r="J83" s="3">
        <v>-15.7</v>
      </c>
      <c r="K83" s="3">
        <v>-1066.7</v>
      </c>
      <c r="L83" s="3">
        <v>243.0</v>
      </c>
      <c r="M83" s="3">
        <v>74.8</v>
      </c>
      <c r="N83" s="3">
        <v>59.3</v>
      </c>
      <c r="O83" s="3">
        <v>317.1</v>
      </c>
      <c r="P83" s="3">
        <v>102.0</v>
      </c>
      <c r="Q83" s="3">
        <v>176.2</v>
      </c>
      <c r="R83" s="3">
        <v>108.9</v>
      </c>
    </row>
    <row r="84" ht="13.5" customHeight="1">
      <c r="A84" s="10" t="s">
        <v>269</v>
      </c>
      <c r="B84" s="3">
        <v>22.5</v>
      </c>
      <c r="C84" s="3">
        <v>16.3</v>
      </c>
      <c r="D84" s="3">
        <v>32.0</v>
      </c>
      <c r="E84" s="3">
        <v>47.2</v>
      </c>
      <c r="F84" s="3">
        <v>50.0</v>
      </c>
      <c r="G84" s="3">
        <v>88.9</v>
      </c>
      <c r="H84" s="3">
        <v>183.0</v>
      </c>
      <c r="I84" s="3">
        <v>144.3</v>
      </c>
      <c r="J84" s="3">
        <v>114.7</v>
      </c>
      <c r="K84" s="3">
        <v>103.5</v>
      </c>
      <c r="L84" s="3">
        <v>59.9</v>
      </c>
      <c r="M84" s="3">
        <v>84.5</v>
      </c>
      <c r="N84" s="3">
        <v>121.2</v>
      </c>
      <c r="O84" s="3">
        <v>97.1</v>
      </c>
      <c r="P84" s="3">
        <v>107.0</v>
      </c>
      <c r="Q84" s="3">
        <v>107.1</v>
      </c>
      <c r="R84" s="3">
        <v>93.9</v>
      </c>
    </row>
    <row r="85" ht="13.5" customHeight="1">
      <c r="A85" s="10" t="s">
        <v>270</v>
      </c>
      <c r="B85" s="3">
        <v>79.5</v>
      </c>
      <c r="C85" s="3">
        <v>134.6</v>
      </c>
      <c r="D85" s="3">
        <v>0.0</v>
      </c>
      <c r="E85" s="3">
        <v>1305.6</v>
      </c>
      <c r="F85" s="3">
        <v>145.6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30.0</v>
      </c>
      <c r="M85" s="3">
        <v>99.0</v>
      </c>
      <c r="N85" s="3">
        <v>178.1</v>
      </c>
      <c r="O85" s="3">
        <v>30.5</v>
      </c>
      <c r="P85" s="3">
        <v>105.3</v>
      </c>
      <c r="Q85" s="3">
        <v>60.3</v>
      </c>
      <c r="R85" s="3">
        <v>86.3</v>
      </c>
    </row>
    <row r="86" ht="13.5" customHeight="1">
      <c r="A86" s="10" t="s">
        <v>271</v>
      </c>
      <c r="B86" s="3">
        <v>57.6</v>
      </c>
      <c r="C86" s="3">
        <v>48.3</v>
      </c>
      <c r="D86" s="3">
        <v>70.3</v>
      </c>
      <c r="E86" s="3">
        <v>97.5</v>
      </c>
      <c r="F86" s="3">
        <v>74.6</v>
      </c>
      <c r="G86" s="3">
        <v>88.9</v>
      </c>
      <c r="H86" s="3">
        <v>129.4</v>
      </c>
      <c r="I86" s="3">
        <v>156.6</v>
      </c>
      <c r="J86" s="3">
        <v>213.6</v>
      </c>
      <c r="K86" s="3">
        <v>177.5</v>
      </c>
      <c r="L86" s="3">
        <v>168.4</v>
      </c>
      <c r="M86" s="3">
        <v>358.8</v>
      </c>
      <c r="N86" s="3">
        <v>149.5</v>
      </c>
      <c r="O86" s="3">
        <v>128.2</v>
      </c>
      <c r="P86" s="3">
        <v>112.8</v>
      </c>
      <c r="Q86" s="3">
        <v>107.4</v>
      </c>
      <c r="R86" s="3">
        <v>87.2</v>
      </c>
    </row>
    <row r="87" ht="13.5" customHeight="1">
      <c r="A87" s="10" t="s">
        <v>272</v>
      </c>
      <c r="B87" s="3">
        <v>63.5</v>
      </c>
      <c r="C87" s="3">
        <v>52.1</v>
      </c>
      <c r="D87" s="3">
        <v>80.6</v>
      </c>
      <c r="E87" s="3">
        <v>211.7</v>
      </c>
      <c r="F87" s="3">
        <v>194.2</v>
      </c>
      <c r="G87" s="3">
        <v>102.0</v>
      </c>
      <c r="H87" s="3">
        <v>126.9</v>
      </c>
      <c r="I87" s="3">
        <v>143.6</v>
      </c>
      <c r="J87" s="3">
        <v>224.8</v>
      </c>
      <c r="K87" s="3">
        <v>212.8</v>
      </c>
      <c r="L87" s="3">
        <v>157.6</v>
      </c>
      <c r="M87" s="3">
        <v>210.5</v>
      </c>
      <c r="N87" s="3">
        <v>145.6</v>
      </c>
      <c r="O87" s="3">
        <v>145.1</v>
      </c>
      <c r="P87" s="3">
        <v>124.4</v>
      </c>
      <c r="Q87" s="3">
        <v>115.6</v>
      </c>
      <c r="R87" s="3">
        <v>94.7</v>
      </c>
    </row>
    <row r="88" ht="13.5" customHeight="1">
      <c r="A88" s="10" t="s">
        <v>273</v>
      </c>
      <c r="B88" s="3">
        <v>47.6</v>
      </c>
      <c r="C88" s="3">
        <v>63.0</v>
      </c>
      <c r="D88" s="3">
        <v>88.1</v>
      </c>
      <c r="E88" s="3">
        <v>302.1</v>
      </c>
      <c r="F88" s="3">
        <v>149.4</v>
      </c>
      <c r="G88" s="3">
        <v>109.9</v>
      </c>
      <c r="H88" s="3">
        <v>159.5</v>
      </c>
      <c r="I88" s="3">
        <v>77.5</v>
      </c>
      <c r="J88" s="3">
        <v>152.7</v>
      </c>
      <c r="K88" s="3">
        <v>141.0</v>
      </c>
      <c r="L88" s="3">
        <v>90.4</v>
      </c>
      <c r="M88" s="3">
        <v>197.1</v>
      </c>
      <c r="N88" s="3">
        <v>130.2</v>
      </c>
      <c r="O88" s="3">
        <v>99.3</v>
      </c>
      <c r="P88" s="3">
        <v>120.4</v>
      </c>
      <c r="Q88" s="3">
        <v>101.3</v>
      </c>
      <c r="R88" s="3">
        <v>100.5</v>
      </c>
    </row>
    <row r="89" ht="13.5" customHeight="1">
      <c r="A89" s="10" t="s">
        <v>274</v>
      </c>
      <c r="B89" s="3">
        <v>17.5</v>
      </c>
      <c r="C89" s="3">
        <v>9.1</v>
      </c>
      <c r="D89" s="3">
        <v>24.9</v>
      </c>
      <c r="E89" s="3">
        <v>127.8</v>
      </c>
      <c r="F89" s="3">
        <v>78.2</v>
      </c>
      <c r="G89" s="3">
        <v>70.4</v>
      </c>
      <c r="H89" s="3">
        <v>75.2</v>
      </c>
      <c r="I89" s="3">
        <v>358.4</v>
      </c>
      <c r="J89" s="3">
        <v>230.3</v>
      </c>
      <c r="K89" s="3">
        <v>288.0</v>
      </c>
      <c r="L89" s="3">
        <v>-1548.9</v>
      </c>
      <c r="M89" s="3">
        <v>-46.2</v>
      </c>
      <c r="N89" s="3">
        <v>57.5</v>
      </c>
      <c r="O89" s="3">
        <v>212.6</v>
      </c>
      <c r="P89" s="3">
        <v>208.7</v>
      </c>
      <c r="Q89" s="3">
        <v>76.2</v>
      </c>
      <c r="R89" s="3">
        <v>71.7</v>
      </c>
    </row>
    <row r="90" ht="13.5" customHeight="1">
      <c r="A90" s="10" t="s">
        <v>275</v>
      </c>
      <c r="B90" s="3">
        <v>189.6</v>
      </c>
      <c r="C90" s="3">
        <v>217.0</v>
      </c>
      <c r="D90" s="3">
        <v>176.3</v>
      </c>
      <c r="E90" s="3">
        <v>80.0</v>
      </c>
      <c r="F90" s="3">
        <v>55.1</v>
      </c>
      <c r="G90" s="3">
        <v>91.2</v>
      </c>
      <c r="H90" s="3">
        <v>113.6</v>
      </c>
      <c r="I90" s="3">
        <v>102.1</v>
      </c>
      <c r="J90" s="3">
        <v>82.4</v>
      </c>
      <c r="K90" s="3">
        <v>89.7</v>
      </c>
      <c r="L90" s="3">
        <v>74.8</v>
      </c>
      <c r="M90" s="3">
        <v>158.0</v>
      </c>
      <c r="N90" s="3">
        <v>113.2</v>
      </c>
      <c r="O90" s="3">
        <v>87.0</v>
      </c>
      <c r="P90" s="3">
        <v>105.1</v>
      </c>
      <c r="Q90" s="3">
        <v>108.4</v>
      </c>
      <c r="R90" s="3">
        <v>97.7</v>
      </c>
    </row>
    <row r="91" ht="13.5" customHeight="1">
      <c r="A91" s="10" t="s">
        <v>276</v>
      </c>
      <c r="B91" s="3">
        <v>27.3</v>
      </c>
      <c r="C91" s="3">
        <v>16.7</v>
      </c>
      <c r="D91" s="3">
        <v>40.0</v>
      </c>
      <c r="E91" s="3">
        <v>42.9</v>
      </c>
      <c r="F91" s="3">
        <v>25.0</v>
      </c>
      <c r="G91" s="3">
        <v>100.0</v>
      </c>
      <c r="H91" s="3">
        <v>300.0</v>
      </c>
      <c r="I91" s="3">
        <v>150.0</v>
      </c>
      <c r="J91" s="3">
        <v>50.0</v>
      </c>
      <c r="K91" s="3">
        <v>100.0</v>
      </c>
      <c r="L91" s="3">
        <v>100.0</v>
      </c>
      <c r="M91" s="3">
        <v>140.0</v>
      </c>
      <c r="N91" s="3">
        <v>166.7</v>
      </c>
      <c r="O91" s="3">
        <v>120.0</v>
      </c>
      <c r="P91" s="3">
        <v>120.0</v>
      </c>
      <c r="Q91" s="3">
        <v>137.5</v>
      </c>
      <c r="R91" s="3">
        <v>100.0</v>
      </c>
    </row>
    <row r="92" ht="13.5" customHeight="1">
      <c r="A92" s="10" t="s">
        <v>277</v>
      </c>
      <c r="B92" s="3">
        <v>120.9</v>
      </c>
      <c r="C92" s="3">
        <v>134.7</v>
      </c>
      <c r="D92" s="3">
        <v>122.0</v>
      </c>
      <c r="E92" s="3">
        <v>145.8</v>
      </c>
      <c r="F92" s="3">
        <v>143.4</v>
      </c>
      <c r="G92" s="3">
        <v>67.5</v>
      </c>
      <c r="H92" s="3">
        <v>77.0</v>
      </c>
      <c r="I92" s="3">
        <v>101.5</v>
      </c>
      <c r="J92" s="3">
        <v>121.6</v>
      </c>
      <c r="K92" s="3">
        <v>115.9</v>
      </c>
      <c r="L92" s="3">
        <v>115.9</v>
      </c>
      <c r="M92" s="3">
        <v>109.8</v>
      </c>
      <c r="N92" s="3">
        <v>115.8</v>
      </c>
      <c r="O92" s="3">
        <v>93.2</v>
      </c>
      <c r="P92" s="3">
        <v>158.9</v>
      </c>
      <c r="Q92" s="3">
        <v>99.5</v>
      </c>
      <c r="R92" s="3">
        <v>79.2</v>
      </c>
    </row>
    <row r="93" ht="13.5" customHeight="1">
      <c r="A93" s="10" t="s">
        <v>278</v>
      </c>
      <c r="B93" s="3">
        <v>127.2</v>
      </c>
      <c r="C93" s="3">
        <v>30.0</v>
      </c>
      <c r="D93" s="3">
        <v>49.5</v>
      </c>
      <c r="E93" s="3">
        <v>72.0</v>
      </c>
      <c r="F93" s="3">
        <v>165.5</v>
      </c>
      <c r="G93" s="3">
        <v>754.8</v>
      </c>
      <c r="H93" s="3">
        <v>358.2</v>
      </c>
      <c r="I93" s="3">
        <v>20.0</v>
      </c>
      <c r="J93" s="3">
        <v>1000.0</v>
      </c>
      <c r="K93" s="3">
        <v>479.2</v>
      </c>
      <c r="L93" s="3">
        <v>194.9</v>
      </c>
      <c r="M93" s="3">
        <v>190.1</v>
      </c>
      <c r="N93" s="3">
        <v>120.7</v>
      </c>
      <c r="O93" s="3">
        <v>382.1</v>
      </c>
      <c r="P93" s="3">
        <v>108.4</v>
      </c>
      <c r="Q93" s="3">
        <v>152.8</v>
      </c>
      <c r="R93" s="3">
        <v>102.6</v>
      </c>
    </row>
    <row r="94" ht="13.5" customHeight="1">
      <c r="A94" s="10" t="s">
        <v>279</v>
      </c>
      <c r="B94" s="3">
        <v>110.6</v>
      </c>
      <c r="C94" s="3">
        <v>0.0</v>
      </c>
      <c r="D94" s="3">
        <v>13.5</v>
      </c>
      <c r="E94" s="3">
        <v>31.0</v>
      </c>
      <c r="F94" s="3">
        <v>148.8</v>
      </c>
      <c r="G94" s="3">
        <v>1175.0</v>
      </c>
      <c r="H94" s="3">
        <v>191.3</v>
      </c>
      <c r="I94" s="3">
        <v>34.3</v>
      </c>
      <c r="J94" s="3">
        <v>-107.3</v>
      </c>
      <c r="K94" s="3">
        <v>-7300.0</v>
      </c>
      <c r="L94" s="3">
        <v>465.0</v>
      </c>
      <c r="M94" s="3">
        <v>159.1</v>
      </c>
      <c r="N94" s="3">
        <v>136.7</v>
      </c>
      <c r="O94" s="3">
        <v>464.7</v>
      </c>
      <c r="P94" s="3">
        <v>117.2</v>
      </c>
      <c r="Q94" s="3">
        <v>177.6</v>
      </c>
      <c r="R94" s="3">
        <v>107.0</v>
      </c>
    </row>
    <row r="95" ht="13.5" customHeight="1">
      <c r="A95" s="10" t="s">
        <v>280</v>
      </c>
      <c r="B95" s="3">
        <v>111.5</v>
      </c>
      <c r="C95" s="3">
        <v>-59.1</v>
      </c>
      <c r="D95" s="3">
        <v>13.5</v>
      </c>
      <c r="E95" s="3">
        <v>31.0</v>
      </c>
      <c r="F95" s="3">
        <v>148.8</v>
      </c>
      <c r="G95" s="3">
        <v>587.5</v>
      </c>
      <c r="H95" s="3">
        <v>191.3</v>
      </c>
      <c r="I95" s="3">
        <v>34.3</v>
      </c>
      <c r="J95" s="3">
        <v>-107.3</v>
      </c>
      <c r="K95" s="3">
        <v>-7300.0</v>
      </c>
      <c r="L95" s="3">
        <v>465.0</v>
      </c>
      <c r="M95" s="3">
        <v>159.1</v>
      </c>
      <c r="N95" s="3">
        <v>140.3</v>
      </c>
      <c r="O95" s="3">
        <v>464.7</v>
      </c>
      <c r="P95" s="3">
        <v>117.2</v>
      </c>
      <c r="Q95" s="3">
        <v>181.8</v>
      </c>
      <c r="R95" s="3">
        <v>97.4</v>
      </c>
    </row>
    <row r="96" ht="13.5" customHeight="1">
      <c r="A96" s="10" t="s">
        <v>281</v>
      </c>
      <c r="B96" s="3">
        <v>100.8</v>
      </c>
      <c r="C96" s="3">
        <v>0.0</v>
      </c>
      <c r="D96" s="3">
        <v>11.5</v>
      </c>
      <c r="E96" s="3">
        <v>14.2</v>
      </c>
      <c r="F96" s="3">
        <v>57.1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496.1</v>
      </c>
      <c r="M96" s="3">
        <v>270.8</v>
      </c>
      <c r="N96" s="3">
        <v>144.0</v>
      </c>
      <c r="O96" s="3">
        <v>411.5</v>
      </c>
      <c r="P96" s="3">
        <v>106.1</v>
      </c>
      <c r="Q96" s="3">
        <v>168.8</v>
      </c>
      <c r="R96" s="3">
        <v>89.8</v>
      </c>
    </row>
    <row r="97" ht="13.5" customHeight="1">
      <c r="A97" s="10" t="s">
        <v>282</v>
      </c>
      <c r="B97" s="3">
        <v>139.3</v>
      </c>
      <c r="C97" s="3">
        <v>155.6</v>
      </c>
      <c r="D97" s="3">
        <v>142.3</v>
      </c>
      <c r="E97" s="3">
        <v>96.8</v>
      </c>
      <c r="F97" s="3">
        <v>74.4</v>
      </c>
      <c r="G97" s="3">
        <v>117.6</v>
      </c>
      <c r="H97" s="3">
        <v>115.4</v>
      </c>
      <c r="I97" s="3">
        <v>119.4</v>
      </c>
      <c r="J97" s="3">
        <v>110.3</v>
      </c>
      <c r="K97" s="3">
        <v>94.7</v>
      </c>
      <c r="L97" s="3">
        <v>84.0</v>
      </c>
      <c r="M97" s="3">
        <v>170.8</v>
      </c>
      <c r="N97" s="3">
        <v>100.0</v>
      </c>
      <c r="O97" s="3">
        <v>97.3</v>
      </c>
      <c r="P97" s="3">
        <v>102.8</v>
      </c>
      <c r="Q97" s="3">
        <v>102.4</v>
      </c>
      <c r="R97" s="3">
        <v>97.1</v>
      </c>
    </row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9">
    <mergeCell ref="G2:K2"/>
    <mergeCell ref="L2:P2"/>
    <mergeCell ref="Q2:R2"/>
    <mergeCell ref="A3:F3"/>
    <mergeCell ref="G3:K3"/>
    <mergeCell ref="L3:P3"/>
    <mergeCell ref="Q3:R3"/>
    <mergeCell ref="A15:F15"/>
    <mergeCell ref="G15:K15"/>
    <mergeCell ref="L15:P15"/>
    <mergeCell ref="Q15:R15"/>
    <mergeCell ref="G24:K24"/>
    <mergeCell ref="L24:P24"/>
    <mergeCell ref="Q24:R24"/>
    <mergeCell ref="L37:P37"/>
    <mergeCell ref="Q37:R37"/>
    <mergeCell ref="A24:F24"/>
    <mergeCell ref="A30:F30"/>
    <mergeCell ref="G30:K30"/>
    <mergeCell ref="L30:P30"/>
    <mergeCell ref="Q30:R30"/>
    <mergeCell ref="A37:F37"/>
    <mergeCell ref="G37:K37"/>
    <mergeCell ref="A42:F42"/>
    <mergeCell ref="G42:K42"/>
    <mergeCell ref="L42:P42"/>
    <mergeCell ref="Q42:R42"/>
    <mergeCell ref="G54:K54"/>
    <mergeCell ref="L54:P54"/>
    <mergeCell ref="Q54:R54"/>
    <mergeCell ref="L80:P80"/>
    <mergeCell ref="Q80:R80"/>
    <mergeCell ref="A54:F54"/>
    <mergeCell ref="A70:F70"/>
    <mergeCell ref="G70:K70"/>
    <mergeCell ref="L70:P70"/>
    <mergeCell ref="Q70:R70"/>
    <mergeCell ref="A80:F80"/>
    <mergeCell ref="G80:K8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88"/>
    <col customWidth="1" min="4" max="4" width="7.38"/>
    <col customWidth="1" min="5" max="5" width="7.88"/>
    <col customWidth="1" min="6" max="6" width="9.75"/>
    <col customWidth="1" min="7" max="7" width="1.13"/>
    <col customWidth="1" min="8" max="8" width="10.88"/>
    <col customWidth="1" min="9" max="10" width="9.75"/>
    <col customWidth="1" min="11" max="11" width="4.38"/>
    <col customWidth="1" min="12" max="14" width="1.13"/>
    <col customWidth="1" min="15" max="15" width="23.0"/>
    <col customWidth="1" min="16" max="17" width="7.88"/>
    <col customWidth="1" min="18" max="20" width="1.13"/>
    <col customWidth="1" min="21" max="21" width="11.63"/>
    <col customWidth="1" min="22" max="22" width="14.25"/>
    <col customWidth="1" min="23" max="23" width="7.88"/>
    <col customWidth="1" min="24" max="24" width="8.88"/>
    <col customWidth="1" min="25" max="25" width="1.13"/>
    <col customWidth="1" min="26" max="31" width="7.88"/>
    <col customWidth="1" min="32" max="34" width="1.13"/>
    <col customWidth="1" min="35" max="35" width="11.0"/>
    <col customWidth="1" min="36" max="36" width="6.63"/>
    <col customWidth="1" min="37" max="37" width="10.75"/>
    <col customWidth="1" min="38" max="38" width="9.25"/>
    <col customWidth="1" min="39" max="39" width="13.88"/>
    <col customWidth="1" min="40" max="40" width="6.63"/>
    <col customWidth="1" min="41" max="41" width="15.5"/>
    <col customWidth="1" min="42" max="42" width="11.13"/>
    <col customWidth="1" min="43" max="45" width="6.63"/>
    <col customWidth="1" min="46" max="48" width="1.13"/>
    <col customWidth="1" min="49" max="51" width="7.88"/>
  </cols>
  <sheetData>
    <row r="1">
      <c r="A1" s="16" t="s">
        <v>283</v>
      </c>
      <c r="B1" s="5"/>
      <c r="C1" s="5"/>
      <c r="D1" s="5"/>
      <c r="E1" s="5"/>
      <c r="F1" s="5"/>
      <c r="G1" s="5"/>
      <c r="H1" s="5"/>
      <c r="I1" s="5"/>
      <c r="J1" s="5"/>
      <c r="K1" s="6"/>
      <c r="L1" s="17"/>
      <c r="M1" s="18"/>
      <c r="N1" s="17"/>
      <c r="O1" s="16" t="s">
        <v>284</v>
      </c>
      <c r="P1" s="5"/>
      <c r="Q1" s="6"/>
      <c r="R1" s="17"/>
      <c r="S1" s="18"/>
      <c r="T1" s="17"/>
      <c r="U1" s="16" t="s">
        <v>285</v>
      </c>
      <c r="V1" s="5"/>
      <c r="W1" s="5"/>
      <c r="X1" s="5"/>
      <c r="Y1" s="5"/>
      <c r="Z1" s="5"/>
      <c r="AA1" s="5"/>
      <c r="AB1" s="5"/>
      <c r="AC1" s="5"/>
      <c r="AD1" s="5"/>
      <c r="AE1" s="6"/>
      <c r="AF1" s="17"/>
      <c r="AG1" s="18"/>
      <c r="AH1" s="17"/>
      <c r="AI1" s="16" t="s">
        <v>286</v>
      </c>
      <c r="AJ1" s="5"/>
      <c r="AK1" s="5"/>
      <c r="AL1" s="5"/>
      <c r="AM1" s="5"/>
      <c r="AN1" s="5"/>
      <c r="AO1" s="5"/>
      <c r="AP1" s="5"/>
      <c r="AQ1" s="5"/>
      <c r="AR1" s="5"/>
      <c r="AS1" s="6"/>
      <c r="AT1" s="17"/>
      <c r="AU1" s="18"/>
      <c r="AV1" s="17"/>
      <c r="AW1" s="16" t="s">
        <v>287</v>
      </c>
      <c r="AX1" s="5"/>
      <c r="AY1" s="6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7"/>
      <c r="O2" s="17"/>
      <c r="P2" s="17"/>
      <c r="Q2" s="17"/>
      <c r="R2" s="17"/>
      <c r="S2" s="18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8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7"/>
      <c r="AW2" s="17"/>
      <c r="AX2" s="17"/>
      <c r="AY2" s="17"/>
    </row>
    <row r="3">
      <c r="A3" s="19" t="s">
        <v>288</v>
      </c>
      <c r="B3" s="20"/>
      <c r="C3" s="20"/>
      <c r="D3" s="20"/>
      <c r="E3" s="20"/>
      <c r="F3" s="21"/>
      <c r="G3" s="17"/>
      <c r="H3" s="19" t="s">
        <v>289</v>
      </c>
      <c r="I3" s="20"/>
      <c r="J3" s="20"/>
      <c r="K3" s="21"/>
      <c r="L3" s="17"/>
      <c r="M3" s="18"/>
      <c r="N3" s="17"/>
      <c r="O3" s="19" t="s">
        <v>290</v>
      </c>
      <c r="P3" s="20"/>
      <c r="Q3" s="21"/>
      <c r="R3" s="17"/>
      <c r="S3" s="18"/>
      <c r="T3" s="17"/>
      <c r="U3" s="19" t="s">
        <v>291</v>
      </c>
      <c r="V3" s="20"/>
      <c r="W3" s="20"/>
      <c r="X3" s="21"/>
      <c r="Y3" s="17"/>
      <c r="Z3" s="19" t="s">
        <v>292</v>
      </c>
      <c r="AA3" s="20"/>
      <c r="AB3" s="20"/>
      <c r="AC3" s="21"/>
      <c r="AD3" s="17"/>
      <c r="AE3" s="17"/>
      <c r="AF3" s="17"/>
      <c r="AG3" s="18"/>
      <c r="AH3" s="17"/>
      <c r="AI3" s="19" t="s">
        <v>293</v>
      </c>
      <c r="AJ3" s="20"/>
      <c r="AK3" s="20"/>
      <c r="AL3" s="20"/>
      <c r="AM3" s="20"/>
      <c r="AN3" s="20"/>
      <c r="AO3" s="20"/>
      <c r="AP3" s="20"/>
      <c r="AQ3" s="20"/>
      <c r="AR3" s="20"/>
      <c r="AS3" s="21"/>
      <c r="AT3" s="17"/>
      <c r="AU3" s="18"/>
      <c r="AV3" s="17"/>
      <c r="AW3" s="17" t="s">
        <v>294</v>
      </c>
      <c r="AX3" s="17"/>
      <c r="AY3" s="17"/>
    </row>
    <row r="4">
      <c r="A4" s="22" t="s">
        <v>295</v>
      </c>
      <c r="B4" s="17"/>
      <c r="C4" s="17"/>
      <c r="D4" s="17"/>
      <c r="E4" s="17"/>
      <c r="F4" s="23"/>
      <c r="G4" s="17"/>
      <c r="H4" s="22" t="s">
        <v>294</v>
      </c>
      <c r="I4" s="17"/>
      <c r="J4" s="17"/>
      <c r="K4" s="23"/>
      <c r="L4" s="17"/>
      <c r="M4" s="18"/>
      <c r="N4" s="17"/>
      <c r="O4" s="22" t="s">
        <v>296</v>
      </c>
      <c r="P4" s="17"/>
      <c r="Q4" s="23"/>
      <c r="R4" s="17"/>
      <c r="S4" s="18"/>
      <c r="T4" s="17"/>
      <c r="U4" s="22"/>
      <c r="V4" s="17"/>
      <c r="W4" s="17">
        <v>2012.0</v>
      </c>
      <c r="X4" s="23">
        <v>2011.0</v>
      </c>
      <c r="Y4" s="17"/>
      <c r="Z4" s="22"/>
      <c r="AA4" s="17"/>
      <c r="AB4" s="17"/>
      <c r="AC4" s="23"/>
      <c r="AD4" s="17"/>
      <c r="AE4" s="17"/>
      <c r="AF4" s="17"/>
      <c r="AG4" s="18"/>
      <c r="AH4" s="17"/>
      <c r="AI4" s="22"/>
      <c r="AJ4" s="17"/>
      <c r="AK4" s="17"/>
      <c r="AL4" s="17"/>
      <c r="AM4" s="17"/>
      <c r="AN4" s="17"/>
      <c r="AO4" s="17"/>
      <c r="AP4" s="17"/>
      <c r="AQ4" s="17"/>
      <c r="AR4" s="17"/>
      <c r="AS4" s="23"/>
      <c r="AT4" s="17"/>
      <c r="AU4" s="18"/>
      <c r="AV4" s="17"/>
      <c r="AX4" s="17"/>
      <c r="AY4" s="17"/>
    </row>
    <row r="5">
      <c r="A5" s="22"/>
      <c r="B5" s="17"/>
      <c r="C5" s="17"/>
      <c r="D5" s="17"/>
      <c r="E5" s="17"/>
      <c r="F5" s="23"/>
      <c r="G5" s="17"/>
      <c r="H5" s="24"/>
      <c r="I5" s="17"/>
      <c r="J5" s="17"/>
      <c r="K5" s="23"/>
      <c r="L5" s="17"/>
      <c r="M5" s="18"/>
      <c r="N5" s="17"/>
      <c r="O5" s="25"/>
      <c r="P5" s="17"/>
      <c r="Q5" s="23"/>
      <c r="R5" s="17"/>
      <c r="S5" s="18"/>
      <c r="T5" s="17"/>
      <c r="U5" s="22" t="s">
        <v>297</v>
      </c>
      <c r="V5" s="17"/>
      <c r="W5" s="26">
        <f>'Balance Sheet'!R4</f>
        <v>427</v>
      </c>
      <c r="X5" s="23">
        <f>'Balance Sheet'!Q4</f>
        <v>443.4</v>
      </c>
      <c r="Y5" s="17"/>
      <c r="Z5" s="22"/>
      <c r="AA5" s="17"/>
      <c r="AB5" s="17"/>
      <c r="AC5" s="23">
        <v>2012.0</v>
      </c>
      <c r="AD5" s="17"/>
      <c r="AE5" s="17"/>
      <c r="AF5" s="17"/>
      <c r="AG5" s="18"/>
      <c r="AH5" s="17"/>
      <c r="AI5" s="22"/>
      <c r="AJ5" s="17">
        <v>2003.0</v>
      </c>
      <c r="AK5" s="17">
        <v>2004.0</v>
      </c>
      <c r="AL5" s="17">
        <v>2005.0</v>
      </c>
      <c r="AM5" s="17">
        <v>2006.0</v>
      </c>
      <c r="AN5" s="17">
        <v>2007.0</v>
      </c>
      <c r="AO5" s="17">
        <v>2008.0</v>
      </c>
      <c r="AP5" s="17">
        <v>2009.0</v>
      </c>
      <c r="AQ5" s="17">
        <v>2010.0</v>
      </c>
      <c r="AR5" s="17">
        <v>2011.0</v>
      </c>
      <c r="AS5" s="23">
        <v>2012.0</v>
      </c>
      <c r="AT5" s="17"/>
      <c r="AU5" s="18"/>
      <c r="AV5" s="17"/>
      <c r="AW5" s="17"/>
      <c r="AX5" s="17"/>
      <c r="AY5" s="17"/>
    </row>
    <row r="6">
      <c r="A6" s="22" t="s">
        <v>298</v>
      </c>
      <c r="B6" s="27">
        <f>INTERCEPT(E12:E71,F12:F71)</f>
        <v>-0.006679629639</v>
      </c>
      <c r="C6" s="17"/>
      <c r="D6" s="17"/>
      <c r="E6" s="17"/>
      <c r="F6" s="23"/>
      <c r="G6" s="17"/>
      <c r="H6" s="22"/>
      <c r="I6" s="17"/>
      <c r="J6" s="17"/>
      <c r="K6" s="23"/>
      <c r="L6" s="17"/>
      <c r="M6" s="18"/>
      <c r="N6" s="17"/>
      <c r="O6" s="25"/>
      <c r="P6" s="17"/>
      <c r="Q6" s="23"/>
      <c r="R6" s="17"/>
      <c r="S6" s="18"/>
      <c r="T6" s="17"/>
      <c r="U6" s="22"/>
      <c r="V6" s="17"/>
      <c r="W6" s="17"/>
      <c r="X6" s="23"/>
      <c r="Y6" s="17"/>
      <c r="Z6" s="22" t="s">
        <v>299</v>
      </c>
      <c r="AA6" s="17"/>
      <c r="AB6" s="17"/>
      <c r="AC6" s="28" t="s">
        <v>300</v>
      </c>
      <c r="AD6" s="17"/>
      <c r="AE6" s="17"/>
      <c r="AF6" s="17"/>
      <c r="AG6" s="18"/>
      <c r="AH6" s="17"/>
      <c r="AI6" s="22" t="s">
        <v>301</v>
      </c>
      <c r="AJ6" s="29">
        <f>'Balance Sheet'!I55</f>
        <v>4309.2</v>
      </c>
      <c r="AK6" s="29">
        <f>'Balance Sheet'!J55</f>
        <v>4205.8</v>
      </c>
      <c r="AL6" s="29">
        <f>'Balance Sheet'!K55</f>
        <v>4799.7</v>
      </c>
      <c r="AM6" s="29">
        <f>'Balance Sheet'!L55</f>
        <v>5119.5</v>
      </c>
      <c r="AN6" s="29">
        <f>'Balance Sheet'!M55</f>
        <v>5307.8</v>
      </c>
      <c r="AO6" s="29">
        <f>'Balance Sheet'!N55</f>
        <v>5274</v>
      </c>
      <c r="AP6" s="29">
        <f>'Balance Sheet'!O55</f>
        <v>5063.1</v>
      </c>
      <c r="AQ6" s="29">
        <f>'Balance Sheet'!P55</f>
        <v>6364</v>
      </c>
      <c r="AR6" s="29">
        <f>'Balance Sheet'!Q55</f>
        <v>8177.7</v>
      </c>
      <c r="AS6" s="30">
        <f>'Balance Sheet'!R55</f>
        <v>7373</v>
      </c>
      <c r="AT6" s="17"/>
      <c r="AU6" s="18"/>
      <c r="AV6" s="17"/>
      <c r="AW6" s="17"/>
      <c r="AX6" s="17"/>
      <c r="AY6" s="17"/>
    </row>
    <row r="7">
      <c r="A7" s="22" t="s">
        <v>302</v>
      </c>
      <c r="B7" s="31">
        <f>SLOPE(E12:E71,F12:F71)</f>
        <v>0.6809778529</v>
      </c>
      <c r="C7" s="17"/>
      <c r="D7" s="17"/>
      <c r="E7" s="17"/>
      <c r="F7" s="23"/>
      <c r="G7" s="17"/>
      <c r="H7" s="22"/>
      <c r="I7" s="17"/>
      <c r="J7" s="17"/>
      <c r="K7" s="23"/>
      <c r="L7" s="17"/>
      <c r="M7" s="18"/>
      <c r="N7" s="17"/>
      <c r="O7" s="22"/>
      <c r="P7" s="17"/>
      <c r="Q7" s="23"/>
      <c r="R7" s="17"/>
      <c r="S7" s="18"/>
      <c r="T7" s="17"/>
      <c r="U7" s="22" t="s">
        <v>303</v>
      </c>
      <c r="V7" s="17"/>
      <c r="W7" s="17">
        <f>'Balance Sheet'!R41</f>
        <v>451</v>
      </c>
      <c r="X7" s="23">
        <f>'Balance Sheet'!Q41</f>
        <v>0.6</v>
      </c>
      <c r="Y7" s="17"/>
      <c r="Z7" s="22" t="s">
        <v>304</v>
      </c>
      <c r="AA7" s="17"/>
      <c r="AB7" s="17"/>
      <c r="AC7" s="32">
        <v>0.034</v>
      </c>
      <c r="AD7" s="17"/>
      <c r="AE7" s="17"/>
      <c r="AF7" s="17"/>
      <c r="AG7" s="18"/>
      <c r="AH7" s="17"/>
      <c r="AI7" s="22" t="s">
        <v>173</v>
      </c>
      <c r="AJ7" s="29">
        <f>'Balance Sheet'!I66</f>
        <v>2495.1</v>
      </c>
      <c r="AK7" s="29">
        <f>'Balance Sheet'!J66</f>
        <v>2492</v>
      </c>
      <c r="AL7" s="29">
        <f>'Balance Sheet'!K66</f>
        <v>2053.1</v>
      </c>
      <c r="AM7" s="29">
        <f>'Balance Sheet'!L66</f>
        <v>1809.7</v>
      </c>
      <c r="AN7" s="29">
        <f>'Balance Sheet'!M66</f>
        <v>1994</v>
      </c>
      <c r="AO7" s="29">
        <f>'Balance Sheet'!N66</f>
        <v>2255.2</v>
      </c>
      <c r="AP7" s="29">
        <f>'Balance Sheet'!O66</f>
        <v>2498</v>
      </c>
      <c r="AQ7" s="29">
        <f>'Balance Sheet'!P66</f>
        <v>2770.5</v>
      </c>
      <c r="AR7" s="29">
        <f>'Balance Sheet'!Q66</f>
        <v>3216.9</v>
      </c>
      <c r="AS7" s="30">
        <f>'Balance Sheet'!R66</f>
        <v>3754</v>
      </c>
      <c r="AT7" s="17"/>
      <c r="AU7" s="18"/>
      <c r="AV7" s="17"/>
      <c r="AW7" s="17" t="s">
        <v>305</v>
      </c>
      <c r="AX7" s="17"/>
      <c r="AY7" s="33">
        <v>0.0677</v>
      </c>
    </row>
    <row r="8">
      <c r="A8" s="22" t="s">
        <v>306</v>
      </c>
      <c r="B8" s="34">
        <f>RSQ(E12:E71,F12:F71)</f>
        <v>0.4027422291</v>
      </c>
      <c r="C8" s="17"/>
      <c r="D8" s="17"/>
      <c r="E8" s="17"/>
      <c r="F8" s="23"/>
      <c r="G8" s="17"/>
      <c r="H8" s="22"/>
      <c r="I8" s="17"/>
      <c r="J8" s="17"/>
      <c r="K8" s="23"/>
      <c r="L8" s="17"/>
      <c r="M8" s="18"/>
      <c r="N8" s="17"/>
      <c r="O8" s="22" t="s">
        <v>307</v>
      </c>
      <c r="P8" s="17"/>
      <c r="Q8" s="23"/>
      <c r="R8" s="17"/>
      <c r="S8" s="18"/>
      <c r="T8" s="17"/>
      <c r="U8" s="22" t="s">
        <v>308</v>
      </c>
      <c r="V8" s="17"/>
      <c r="W8" s="17">
        <f>'Balance Sheet'!R44</f>
        <v>157</v>
      </c>
      <c r="X8" s="23">
        <f>'Balance Sheet'!Q44</f>
        <v>154.6</v>
      </c>
      <c r="Y8" s="17"/>
      <c r="Z8" s="22" t="s">
        <v>309</v>
      </c>
      <c r="AA8" s="17"/>
      <c r="AB8" s="17"/>
      <c r="AC8" s="32">
        <v>0.0384</v>
      </c>
      <c r="AD8" s="17"/>
      <c r="AE8" s="17"/>
      <c r="AF8" s="17"/>
      <c r="AG8" s="18"/>
      <c r="AH8" s="17"/>
      <c r="AI8" s="22" t="s">
        <v>310</v>
      </c>
      <c r="AJ8" s="31">
        <f t="shared" ref="AJ8:AS8" si="1">AJ6/AJ7</f>
        <v>1.727065047</v>
      </c>
      <c r="AK8" s="31">
        <f t="shared" si="1"/>
        <v>1.687720706</v>
      </c>
      <c r="AL8" s="31">
        <f t="shared" si="1"/>
        <v>2.337781891</v>
      </c>
      <c r="AM8" s="31">
        <f t="shared" si="1"/>
        <v>2.828921921</v>
      </c>
      <c r="AN8" s="31">
        <f t="shared" si="1"/>
        <v>2.661885657</v>
      </c>
      <c r="AO8" s="31">
        <f t="shared" si="1"/>
        <v>2.338595247</v>
      </c>
      <c r="AP8" s="31">
        <f t="shared" si="1"/>
        <v>2.026861489</v>
      </c>
      <c r="AQ8" s="31">
        <f t="shared" si="1"/>
        <v>2.297058293</v>
      </c>
      <c r="AR8" s="31">
        <f t="shared" si="1"/>
        <v>2.542105754</v>
      </c>
      <c r="AS8" s="35">
        <f t="shared" si="1"/>
        <v>1.964038359</v>
      </c>
      <c r="AT8" s="31"/>
      <c r="AU8" s="18"/>
      <c r="AV8" s="17"/>
      <c r="AW8" s="17" t="s">
        <v>311</v>
      </c>
      <c r="AX8" s="17"/>
      <c r="AY8" s="33">
        <v>0.0534</v>
      </c>
    </row>
    <row r="9">
      <c r="A9" s="22"/>
      <c r="B9" s="17"/>
      <c r="C9" s="17"/>
      <c r="D9" s="17"/>
      <c r="E9" s="17"/>
      <c r="F9" s="23"/>
      <c r="G9" s="17"/>
      <c r="H9" s="22" t="s">
        <v>312</v>
      </c>
      <c r="I9" s="31">
        <f>Q72/(1+(1-Q79)*1.96)</f>
        <v>0.2820172528</v>
      </c>
      <c r="J9" s="17"/>
      <c r="K9" s="23"/>
      <c r="L9" s="17"/>
      <c r="M9" s="18"/>
      <c r="N9" s="17"/>
      <c r="O9" s="22" t="s">
        <v>313</v>
      </c>
      <c r="P9" s="17"/>
      <c r="Q9" s="23">
        <v>24.45</v>
      </c>
      <c r="R9" s="17"/>
      <c r="S9" s="18"/>
      <c r="T9" s="17"/>
      <c r="U9" s="22" t="s">
        <v>314</v>
      </c>
      <c r="V9" s="17"/>
      <c r="W9" s="29">
        <f>'Balance Sheet'!R48</f>
        <v>4812</v>
      </c>
      <c r="X9" s="30">
        <f>'Balance Sheet'!Q48</f>
        <v>5256</v>
      </c>
      <c r="Y9" s="17"/>
      <c r="Z9" s="22"/>
      <c r="AA9" s="17"/>
      <c r="AB9" s="17"/>
      <c r="AC9" s="23"/>
      <c r="AD9" s="17"/>
      <c r="AE9" s="17"/>
      <c r="AF9" s="17"/>
      <c r="AG9" s="18"/>
      <c r="AH9" s="17"/>
      <c r="AI9" s="22"/>
      <c r="AJ9" s="17"/>
      <c r="AK9" s="17"/>
      <c r="AL9" s="17"/>
      <c r="AM9" s="17"/>
      <c r="AN9" s="17"/>
      <c r="AO9" s="17"/>
      <c r="AP9" s="17"/>
      <c r="AQ9" s="17"/>
      <c r="AR9" s="17"/>
      <c r="AS9" s="23"/>
      <c r="AT9" s="17"/>
      <c r="AU9" s="18"/>
      <c r="AV9" s="17"/>
      <c r="AW9" s="17" t="s">
        <v>315</v>
      </c>
      <c r="AX9" s="17"/>
      <c r="AY9" s="33">
        <v>0.0832</v>
      </c>
    </row>
    <row r="10">
      <c r="A10" s="22"/>
      <c r="B10" s="36" t="s">
        <v>316</v>
      </c>
      <c r="C10" s="36"/>
      <c r="D10" s="17"/>
      <c r="E10" s="36" t="s">
        <v>317</v>
      </c>
      <c r="F10" s="37"/>
      <c r="G10" s="36"/>
      <c r="H10" s="22"/>
      <c r="I10" s="17"/>
      <c r="J10" s="17"/>
      <c r="K10" s="23"/>
      <c r="L10" s="17"/>
      <c r="M10" s="18"/>
      <c r="N10" s="17"/>
      <c r="O10" s="22" t="s">
        <v>318</v>
      </c>
      <c r="P10" s="17"/>
      <c r="Q10" s="23">
        <v>1.7</v>
      </c>
      <c r="R10" s="17"/>
      <c r="S10" s="18"/>
      <c r="T10" s="17"/>
      <c r="U10" s="22"/>
      <c r="V10" s="17"/>
      <c r="W10" s="17"/>
      <c r="X10" s="23"/>
      <c r="Y10" s="17"/>
      <c r="Z10" s="38" t="s">
        <v>319</v>
      </c>
      <c r="AA10" s="39"/>
      <c r="AB10" s="39"/>
      <c r="AC10" s="40">
        <f>AC7+AC8</f>
        <v>0.0724</v>
      </c>
      <c r="AD10" s="17"/>
      <c r="AE10" s="17"/>
      <c r="AF10" s="17"/>
      <c r="AG10" s="18"/>
      <c r="AH10" s="17"/>
      <c r="AI10" s="22" t="s">
        <v>320</v>
      </c>
      <c r="AJ10" s="17">
        <v>2.0</v>
      </c>
      <c r="AK10" s="17"/>
      <c r="AL10" s="17"/>
      <c r="AM10" s="17"/>
      <c r="AN10" s="17"/>
      <c r="AO10" s="17"/>
      <c r="AP10" s="17"/>
      <c r="AQ10" s="17"/>
      <c r="AR10" s="17"/>
      <c r="AS10" s="23"/>
      <c r="AT10" s="17"/>
      <c r="AU10" s="18"/>
      <c r="AV10" s="17"/>
      <c r="AW10" s="17"/>
      <c r="AX10" s="17"/>
      <c r="AY10" s="17"/>
    </row>
    <row r="11">
      <c r="A11" s="41" t="s">
        <v>321</v>
      </c>
      <c r="B11" s="36" t="s">
        <v>322</v>
      </c>
      <c r="C11" s="36" t="s">
        <v>323</v>
      </c>
      <c r="D11" s="17"/>
      <c r="E11" s="36" t="s">
        <v>322</v>
      </c>
      <c r="F11" s="37" t="s">
        <v>323</v>
      </c>
      <c r="G11" s="36"/>
      <c r="H11" s="22" t="s">
        <v>324</v>
      </c>
      <c r="I11" s="17"/>
      <c r="J11" s="17"/>
      <c r="K11" s="23"/>
      <c r="L11" s="17"/>
      <c r="M11" s="18"/>
      <c r="N11" s="17"/>
      <c r="O11" s="22" t="s">
        <v>325</v>
      </c>
      <c r="P11" s="17"/>
      <c r="Q11" s="42">
        <v>0.02</v>
      </c>
      <c r="R11" s="17"/>
      <c r="S11" s="18"/>
      <c r="T11" s="17"/>
      <c r="U11" s="22" t="s">
        <v>326</v>
      </c>
      <c r="V11" s="17"/>
      <c r="W11" s="17">
        <f>'Income Statement'!R28</f>
        <v>330</v>
      </c>
      <c r="X11" s="23">
        <f>'Income Statement'!Q28</f>
        <v>335.1</v>
      </c>
      <c r="Y11" s="17"/>
      <c r="Z11" s="17"/>
      <c r="AA11" s="17"/>
      <c r="AB11" s="17"/>
      <c r="AC11" s="17"/>
      <c r="AD11" s="17"/>
      <c r="AE11" s="17"/>
      <c r="AF11" s="17"/>
      <c r="AG11" s="18"/>
      <c r="AH11" s="17"/>
      <c r="AI11" s="43" t="s">
        <v>327</v>
      </c>
      <c r="AJ11" s="44">
        <f>STDEV(AJ8:AS8)</f>
        <v>0.384173781</v>
      </c>
      <c r="AK11" s="45"/>
      <c r="AL11" s="45"/>
      <c r="AM11" s="45"/>
      <c r="AN11" s="45"/>
      <c r="AO11" s="45"/>
      <c r="AP11" s="45"/>
      <c r="AQ11" s="45"/>
      <c r="AR11" s="45"/>
      <c r="AS11" s="46"/>
      <c r="AT11" s="17"/>
      <c r="AU11" s="18"/>
      <c r="AV11" s="17"/>
      <c r="AW11" s="17"/>
      <c r="AX11" s="17"/>
      <c r="AY11" s="17"/>
    </row>
    <row r="12">
      <c r="A12" s="47">
        <v>41246.0</v>
      </c>
      <c r="B12" s="17">
        <v>22.74</v>
      </c>
      <c r="C12" s="17">
        <v>12433.53</v>
      </c>
      <c r="D12" s="17"/>
      <c r="E12" s="33">
        <v>-0.013</v>
      </c>
      <c r="F12" s="32">
        <v>-0.011</v>
      </c>
      <c r="G12" s="33"/>
      <c r="H12" s="22" t="s">
        <v>328</v>
      </c>
      <c r="I12" s="36" t="s">
        <v>310</v>
      </c>
      <c r="J12" s="36" t="s">
        <v>302</v>
      </c>
      <c r="K12" s="23"/>
      <c r="L12" s="17"/>
      <c r="M12" s="18"/>
      <c r="N12" s="17"/>
      <c r="O12" s="43" t="s">
        <v>329</v>
      </c>
      <c r="P12" s="45"/>
      <c r="Q12" s="48">
        <f>Q10*(1+Q11)/Q9+Q11</f>
        <v>0.0909202454</v>
      </c>
      <c r="R12" s="17"/>
      <c r="S12" s="18"/>
      <c r="T12" s="17"/>
      <c r="U12" s="22"/>
      <c r="V12" s="17"/>
      <c r="W12" s="17"/>
      <c r="X12" s="23"/>
      <c r="Y12" s="17"/>
      <c r="Z12" s="17"/>
      <c r="AA12" s="17"/>
      <c r="AB12" s="17"/>
      <c r="AC12" s="17"/>
      <c r="AD12" s="17"/>
      <c r="AE12" s="17"/>
      <c r="AF12" s="17"/>
      <c r="AG12" s="18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7"/>
      <c r="AW12" s="17"/>
      <c r="AX12" s="17"/>
      <c r="AY12" s="17"/>
    </row>
    <row r="13">
      <c r="A13" s="47">
        <v>41214.0</v>
      </c>
      <c r="B13" s="17">
        <v>21.67</v>
      </c>
      <c r="C13" s="17">
        <v>12239.36</v>
      </c>
      <c r="D13" s="17"/>
      <c r="E13" s="33">
        <f t="shared" ref="E13:E71" si="3">LN(B13/B12)</f>
        <v>-0.04819667277</v>
      </c>
      <c r="F13" s="32">
        <v>-0.023</v>
      </c>
      <c r="G13" s="33"/>
      <c r="H13" s="49">
        <v>0.0</v>
      </c>
      <c r="I13" s="50">
        <v>0.0</v>
      </c>
      <c r="J13" s="31">
        <f>I9</f>
        <v>0.2820172528</v>
      </c>
      <c r="K13" s="23"/>
      <c r="L13" s="17"/>
      <c r="M13" s="18"/>
      <c r="N13" s="17"/>
      <c r="O13" s="17"/>
      <c r="P13" s="17"/>
      <c r="Q13" s="17"/>
      <c r="R13" s="17"/>
      <c r="S13" s="18"/>
      <c r="T13" s="17"/>
      <c r="U13" s="22" t="s">
        <v>330</v>
      </c>
      <c r="V13" s="17"/>
      <c r="W13" s="51">
        <f t="shared" ref="W13:X13" si="2">SUM(W7:W9)-W5</f>
        <v>4993</v>
      </c>
      <c r="X13" s="52">
        <f t="shared" si="2"/>
        <v>4967.8</v>
      </c>
      <c r="Y13" s="17"/>
      <c r="Z13" s="17"/>
      <c r="AA13" s="17"/>
      <c r="AB13" s="17"/>
      <c r="AC13" s="17"/>
      <c r="AD13" s="17"/>
      <c r="AE13" s="17"/>
      <c r="AF13" s="17"/>
      <c r="AG13" s="18"/>
      <c r="AH13" s="17"/>
      <c r="AI13" s="19" t="s">
        <v>331</v>
      </c>
      <c r="AJ13" s="20"/>
      <c r="AK13" s="20"/>
      <c r="AL13" s="20"/>
      <c r="AM13" s="20"/>
      <c r="AN13" s="20"/>
      <c r="AO13" s="20"/>
      <c r="AP13" s="20"/>
      <c r="AQ13" s="20"/>
      <c r="AR13" s="21"/>
      <c r="AS13" s="17"/>
      <c r="AT13" s="17"/>
      <c r="AU13" s="18"/>
      <c r="AV13" s="17"/>
      <c r="AW13" s="17"/>
      <c r="AX13" s="17"/>
      <c r="AY13" s="17"/>
    </row>
    <row r="14">
      <c r="A14" s="47">
        <v>41183.0</v>
      </c>
      <c r="B14" s="17">
        <v>21.45</v>
      </c>
      <c r="C14" s="17">
        <v>12422.91</v>
      </c>
      <c r="D14" s="17"/>
      <c r="E14" s="33">
        <f t="shared" si="3"/>
        <v>-0.01020417017</v>
      </c>
      <c r="F14" s="32">
        <f t="shared" ref="F14:F71" si="4">LN(C13/C12)</f>
        <v>-0.01573986742</v>
      </c>
      <c r="G14" s="33"/>
      <c r="H14" s="49">
        <v>0.1</v>
      </c>
      <c r="I14" s="33">
        <f t="shared" ref="I14:I77" si="5">H14/(1-H14)</f>
        <v>0.1111111111</v>
      </c>
      <c r="J14" s="31">
        <f t="shared" ref="J14:J77" si="6">$J$13*(1+(1-$Q$79)*(I14))</f>
        <v>0.304578633</v>
      </c>
      <c r="K14" s="23"/>
      <c r="L14" s="17"/>
      <c r="M14" s="18"/>
      <c r="N14" s="17"/>
      <c r="O14" s="19" t="s">
        <v>332</v>
      </c>
      <c r="P14" s="20"/>
      <c r="Q14" s="21"/>
      <c r="R14" s="17"/>
      <c r="S14" s="18"/>
      <c r="T14" s="17"/>
      <c r="U14" s="38" t="s">
        <v>319</v>
      </c>
      <c r="V14" s="39"/>
      <c r="W14" s="53">
        <f>W11/AVERAGE(W13:X13)</f>
        <v>0.06625973817</v>
      </c>
      <c r="X14" s="46"/>
      <c r="Y14" s="17"/>
      <c r="Z14" s="17"/>
      <c r="AA14" s="17"/>
      <c r="AB14" s="17"/>
      <c r="AC14" s="17"/>
      <c r="AD14" s="17"/>
      <c r="AE14" s="17"/>
      <c r="AF14" s="17"/>
      <c r="AG14" s="18"/>
      <c r="AH14" s="17"/>
      <c r="AI14" s="22"/>
      <c r="AJ14" s="17"/>
      <c r="AK14" s="17"/>
      <c r="AL14" s="17"/>
      <c r="AM14" s="17"/>
      <c r="AN14" s="17"/>
      <c r="AO14" s="17"/>
      <c r="AP14" s="17"/>
      <c r="AQ14" s="17"/>
      <c r="AR14" s="23"/>
      <c r="AS14" s="17"/>
      <c r="AT14" s="17"/>
      <c r="AU14" s="18"/>
      <c r="AV14" s="17"/>
      <c r="AW14" s="17"/>
      <c r="AX14" s="17"/>
      <c r="AY14" s="17"/>
    </row>
    <row r="15">
      <c r="A15" s="47">
        <v>41156.0</v>
      </c>
      <c r="B15" s="17">
        <v>20.06</v>
      </c>
      <c r="C15" s="17">
        <v>12317.46</v>
      </c>
      <c r="D15" s="17"/>
      <c r="E15" s="33">
        <f t="shared" si="3"/>
        <v>-0.06699686284</v>
      </c>
      <c r="F15" s="32">
        <f t="shared" si="4"/>
        <v>0.01488536044</v>
      </c>
      <c r="G15" s="33"/>
      <c r="H15" s="49">
        <v>0.2</v>
      </c>
      <c r="I15" s="33">
        <f t="shared" si="5"/>
        <v>0.25</v>
      </c>
      <c r="J15" s="31">
        <f t="shared" si="6"/>
        <v>0.3327803583</v>
      </c>
      <c r="K15" s="23"/>
      <c r="L15" s="17"/>
      <c r="M15" s="18"/>
      <c r="N15" s="17"/>
      <c r="O15" s="22"/>
      <c r="P15" s="17"/>
      <c r="Q15" s="23"/>
      <c r="R15" s="17"/>
      <c r="S15" s="18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7"/>
      <c r="AI15" s="22" t="s">
        <v>294</v>
      </c>
      <c r="AJ15" s="17"/>
      <c r="AK15" s="17"/>
      <c r="AL15" s="17"/>
      <c r="AM15" s="17"/>
      <c r="AN15" s="17"/>
      <c r="AO15" s="17"/>
      <c r="AP15" s="17"/>
      <c r="AQ15" s="17"/>
      <c r="AR15" s="23"/>
      <c r="AS15" s="17"/>
      <c r="AT15" s="17"/>
      <c r="AU15" s="18"/>
      <c r="AV15" s="17"/>
      <c r="AW15" s="17"/>
      <c r="AX15" s="17"/>
      <c r="AY15" s="17"/>
    </row>
    <row r="16" ht="15.0" hidden="1" customHeight="1">
      <c r="A16" s="47">
        <v>41122.0</v>
      </c>
      <c r="B16" s="17">
        <v>19.94</v>
      </c>
      <c r="C16" s="17">
        <v>11949.26</v>
      </c>
      <c r="D16" s="17"/>
      <c r="E16" s="33">
        <f t="shared" si="3"/>
        <v>-0.006000018</v>
      </c>
      <c r="F16" s="32">
        <f t="shared" si="4"/>
        <v>-0.00852458056</v>
      </c>
      <c r="G16" s="33"/>
      <c r="H16" s="49">
        <v>0.2</v>
      </c>
      <c r="I16" s="33">
        <f t="shared" si="5"/>
        <v>0.25</v>
      </c>
      <c r="J16" s="31">
        <f t="shared" si="6"/>
        <v>0.3327803583</v>
      </c>
      <c r="K16" s="23"/>
      <c r="L16" s="17"/>
      <c r="M16" s="18"/>
      <c r="N16" s="17"/>
      <c r="O16" s="22"/>
      <c r="P16" s="17"/>
      <c r="Q16" s="23"/>
      <c r="R16" s="17"/>
      <c r="S16" s="18"/>
      <c r="T16" s="17"/>
      <c r="U16" s="22" t="s">
        <v>333</v>
      </c>
      <c r="V16" s="17"/>
      <c r="W16" s="17">
        <v>4328.0</v>
      </c>
      <c r="X16" s="23">
        <v>4424.0</v>
      </c>
      <c r="Y16" s="17"/>
      <c r="Z16" s="17"/>
      <c r="AA16" s="17"/>
      <c r="AB16" s="17"/>
      <c r="AC16" s="17"/>
      <c r="AD16" s="17"/>
      <c r="AE16" s="17"/>
      <c r="AF16" s="17"/>
      <c r="AG16" s="18"/>
      <c r="AH16" s="17"/>
      <c r="AI16" s="22"/>
      <c r="AJ16" s="17"/>
      <c r="AK16" s="17"/>
      <c r="AL16" s="17"/>
      <c r="AM16" s="17"/>
      <c r="AN16" s="17"/>
      <c r="AO16" s="17"/>
      <c r="AP16" s="17"/>
      <c r="AQ16" s="17"/>
      <c r="AR16" s="23"/>
      <c r="AS16" s="17"/>
      <c r="AT16" s="17"/>
      <c r="AU16" s="18"/>
      <c r="AV16" s="17"/>
      <c r="AW16" s="17"/>
      <c r="AX16" s="17"/>
      <c r="AY16" s="17"/>
    </row>
    <row r="17" ht="15.0" hidden="1" customHeight="1">
      <c r="A17" s="47">
        <v>41092.0</v>
      </c>
      <c r="B17" s="17">
        <v>18.95</v>
      </c>
      <c r="C17" s="17">
        <v>11664.71</v>
      </c>
      <c r="D17" s="17"/>
      <c r="E17" s="33">
        <f t="shared" si="3"/>
        <v>-0.05092383301</v>
      </c>
      <c r="F17" s="32">
        <f t="shared" si="4"/>
        <v>-0.03034841624</v>
      </c>
      <c r="G17" s="33"/>
      <c r="H17" s="49">
        <v>0.2</v>
      </c>
      <c r="I17" s="33">
        <f t="shared" si="5"/>
        <v>0.25</v>
      </c>
      <c r="J17" s="31">
        <f t="shared" si="6"/>
        <v>0.3327803583</v>
      </c>
      <c r="K17" s="23"/>
      <c r="L17" s="17"/>
      <c r="M17" s="18"/>
      <c r="N17" s="17"/>
      <c r="O17" s="22"/>
      <c r="P17" s="17"/>
      <c r="Q17" s="23"/>
      <c r="R17" s="17"/>
      <c r="S17" s="18"/>
      <c r="T17" s="17"/>
      <c r="U17" s="22" t="s">
        <v>334</v>
      </c>
      <c r="V17" s="17"/>
      <c r="W17" s="17"/>
      <c r="X17" s="23"/>
      <c r="Y17" s="17"/>
      <c r="Z17" s="17"/>
      <c r="AA17" s="17"/>
      <c r="AB17" s="17"/>
      <c r="AC17" s="17"/>
      <c r="AD17" s="17"/>
      <c r="AE17" s="17"/>
      <c r="AF17" s="17"/>
      <c r="AG17" s="18"/>
      <c r="AH17" s="17"/>
      <c r="AI17" s="22"/>
      <c r="AJ17" s="17"/>
      <c r="AK17" s="17"/>
      <c r="AL17" s="17"/>
      <c r="AM17" s="17"/>
      <c r="AN17" s="17"/>
      <c r="AO17" s="17"/>
      <c r="AP17" s="17"/>
      <c r="AQ17" s="17"/>
      <c r="AR17" s="23"/>
      <c r="AS17" s="17"/>
      <c r="AT17" s="17"/>
      <c r="AU17" s="18"/>
      <c r="AV17" s="17"/>
      <c r="AW17" s="17"/>
      <c r="AX17" s="17"/>
      <c r="AY17" s="17"/>
    </row>
    <row r="18" ht="15.0" hidden="1" customHeight="1">
      <c r="A18" s="47">
        <v>41061.0</v>
      </c>
      <c r="B18" s="17">
        <v>18.28</v>
      </c>
      <c r="C18" s="17">
        <v>11513.21</v>
      </c>
      <c r="D18" s="17"/>
      <c r="E18" s="33">
        <f t="shared" si="3"/>
        <v>-0.0359963655</v>
      </c>
      <c r="F18" s="32">
        <f t="shared" si="4"/>
        <v>-0.0241013073</v>
      </c>
      <c r="G18" s="33"/>
      <c r="H18" s="49">
        <v>0.2</v>
      </c>
      <c r="I18" s="33">
        <f t="shared" si="5"/>
        <v>0.25</v>
      </c>
      <c r="J18" s="31">
        <f t="shared" si="6"/>
        <v>0.3327803583</v>
      </c>
      <c r="K18" s="23"/>
      <c r="L18" s="17"/>
      <c r="M18" s="18"/>
      <c r="N18" s="17"/>
      <c r="O18" s="22"/>
      <c r="P18" s="17"/>
      <c r="Q18" s="23"/>
      <c r="R18" s="17"/>
      <c r="S18" s="18"/>
      <c r="T18" s="17"/>
      <c r="U18" s="22" t="s">
        <v>335</v>
      </c>
      <c r="V18" s="17"/>
      <c r="W18" s="17">
        <v>362.0</v>
      </c>
      <c r="X18" s="23"/>
      <c r="Y18" s="17"/>
      <c r="Z18" s="17"/>
      <c r="AA18" s="17"/>
      <c r="AB18" s="17"/>
      <c r="AC18" s="17"/>
      <c r="AD18" s="17"/>
      <c r="AE18" s="17"/>
      <c r="AF18" s="17"/>
      <c r="AG18" s="18"/>
      <c r="AH18" s="17"/>
      <c r="AI18" s="22"/>
      <c r="AJ18" s="17"/>
      <c r="AK18" s="17"/>
      <c r="AL18" s="17"/>
      <c r="AM18" s="17"/>
      <c r="AN18" s="17"/>
      <c r="AO18" s="17"/>
      <c r="AP18" s="17"/>
      <c r="AQ18" s="17"/>
      <c r="AR18" s="23"/>
      <c r="AS18" s="17"/>
      <c r="AT18" s="17"/>
      <c r="AU18" s="18"/>
      <c r="AV18" s="17"/>
      <c r="AW18" s="17"/>
      <c r="AX18" s="17"/>
      <c r="AY18" s="17"/>
    </row>
    <row r="19" ht="15.0" hidden="1" customHeight="1">
      <c r="A19" s="47">
        <v>41030.0</v>
      </c>
      <c r="B19" s="17">
        <v>18.36</v>
      </c>
      <c r="C19" s="17">
        <v>12292.69</v>
      </c>
      <c r="D19" s="17"/>
      <c r="E19" s="33">
        <f t="shared" si="3"/>
        <v>0.004366819166</v>
      </c>
      <c r="F19" s="32">
        <f t="shared" si="4"/>
        <v>-0.01307297269</v>
      </c>
      <c r="G19" s="33"/>
      <c r="H19" s="49">
        <v>0.2</v>
      </c>
      <c r="I19" s="33">
        <f t="shared" si="5"/>
        <v>0.25</v>
      </c>
      <c r="J19" s="31">
        <f t="shared" si="6"/>
        <v>0.3327803583</v>
      </c>
      <c r="K19" s="23"/>
      <c r="L19" s="17"/>
      <c r="M19" s="18"/>
      <c r="N19" s="17"/>
      <c r="O19" s="22"/>
      <c r="P19" s="17"/>
      <c r="Q19" s="23"/>
      <c r="R19" s="17"/>
      <c r="S19" s="18"/>
      <c r="T19" s="17"/>
      <c r="U19" s="22"/>
      <c r="V19" s="17"/>
      <c r="W19" s="17"/>
      <c r="X19" s="23"/>
      <c r="Y19" s="17"/>
      <c r="Z19" s="17"/>
      <c r="AA19" s="17"/>
      <c r="AB19" s="17"/>
      <c r="AC19" s="17"/>
      <c r="AD19" s="17"/>
      <c r="AE19" s="17"/>
      <c r="AF19" s="17"/>
      <c r="AG19" s="18"/>
      <c r="AH19" s="17"/>
      <c r="AI19" s="22"/>
      <c r="AJ19" s="17"/>
      <c r="AK19" s="17"/>
      <c r="AL19" s="17"/>
      <c r="AM19" s="17"/>
      <c r="AN19" s="17"/>
      <c r="AO19" s="17"/>
      <c r="AP19" s="17"/>
      <c r="AQ19" s="17"/>
      <c r="AR19" s="23"/>
      <c r="AS19" s="17"/>
      <c r="AT19" s="17"/>
      <c r="AU19" s="18"/>
      <c r="AV19" s="17"/>
      <c r="AW19" s="17"/>
      <c r="AX19" s="17"/>
      <c r="AY19" s="17"/>
    </row>
    <row r="20" ht="15.0" hidden="1" customHeight="1">
      <c r="A20" s="47">
        <v>41001.0</v>
      </c>
      <c r="B20" s="17">
        <v>19.76</v>
      </c>
      <c r="C20" s="17">
        <v>12392.18</v>
      </c>
      <c r="D20" s="17"/>
      <c r="E20" s="33">
        <f t="shared" si="3"/>
        <v>0.07348530713</v>
      </c>
      <c r="F20" s="32">
        <f t="shared" si="4"/>
        <v>0.06550970499</v>
      </c>
      <c r="G20" s="33"/>
      <c r="H20" s="49">
        <v>0.2</v>
      </c>
      <c r="I20" s="33">
        <f t="shared" si="5"/>
        <v>0.25</v>
      </c>
      <c r="J20" s="31">
        <f t="shared" si="6"/>
        <v>0.3327803583</v>
      </c>
      <c r="K20" s="23"/>
      <c r="L20" s="17"/>
      <c r="M20" s="18"/>
      <c r="N20" s="17"/>
      <c r="O20" s="22"/>
      <c r="P20" s="17"/>
      <c r="Q20" s="23"/>
      <c r="R20" s="17"/>
      <c r="S20" s="18"/>
      <c r="T20" s="17"/>
      <c r="U20" s="38" t="s">
        <v>336</v>
      </c>
      <c r="V20" s="39"/>
      <c r="W20" s="53">
        <f>W18/AVERAGE(W16:X16)</f>
        <v>0.08272394881</v>
      </c>
      <c r="X20" s="46"/>
      <c r="Y20" s="17"/>
      <c r="Z20" s="17"/>
      <c r="AA20" s="17"/>
      <c r="AB20" s="17"/>
      <c r="AC20" s="17"/>
      <c r="AD20" s="17"/>
      <c r="AE20" s="17"/>
      <c r="AF20" s="17"/>
      <c r="AG20" s="18"/>
      <c r="AH20" s="17"/>
      <c r="AI20" s="22"/>
      <c r="AJ20" s="17"/>
      <c r="AK20" s="17"/>
      <c r="AL20" s="17"/>
      <c r="AM20" s="17"/>
      <c r="AN20" s="17"/>
      <c r="AO20" s="17"/>
      <c r="AP20" s="17"/>
      <c r="AQ20" s="17"/>
      <c r="AR20" s="23"/>
      <c r="AS20" s="17"/>
      <c r="AT20" s="17"/>
      <c r="AU20" s="18"/>
      <c r="AV20" s="17"/>
      <c r="AW20" s="17"/>
      <c r="AX20" s="17"/>
      <c r="AY20" s="17"/>
    </row>
    <row r="21" ht="15.0" hidden="1" customHeight="1">
      <c r="A21" s="47">
        <v>40969.0</v>
      </c>
      <c r="B21" s="17">
        <v>20.19</v>
      </c>
      <c r="C21" s="17">
        <v>12644.01</v>
      </c>
      <c r="D21" s="17"/>
      <c r="E21" s="33">
        <f t="shared" si="3"/>
        <v>0.02152774001</v>
      </c>
      <c r="F21" s="32">
        <f t="shared" si="4"/>
        <v>0.008060851746</v>
      </c>
      <c r="G21" s="33"/>
      <c r="H21" s="49">
        <v>0.2</v>
      </c>
      <c r="I21" s="33">
        <f t="shared" si="5"/>
        <v>0.25</v>
      </c>
      <c r="J21" s="31">
        <f t="shared" si="6"/>
        <v>0.3327803583</v>
      </c>
      <c r="K21" s="23"/>
      <c r="L21" s="17"/>
      <c r="M21" s="18"/>
      <c r="N21" s="17"/>
      <c r="O21" s="22"/>
      <c r="P21" s="17"/>
      <c r="Q21" s="23"/>
      <c r="R21" s="17"/>
      <c r="S21" s="18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  <c r="AH21" s="17"/>
      <c r="AI21" s="22"/>
      <c r="AJ21" s="17"/>
      <c r="AK21" s="17"/>
      <c r="AL21" s="17"/>
      <c r="AM21" s="17"/>
      <c r="AN21" s="17"/>
      <c r="AO21" s="17"/>
      <c r="AP21" s="17"/>
      <c r="AQ21" s="17"/>
      <c r="AR21" s="23"/>
      <c r="AS21" s="17"/>
      <c r="AT21" s="17"/>
      <c r="AU21" s="18"/>
      <c r="AV21" s="17"/>
      <c r="AW21" s="17"/>
      <c r="AX21" s="17"/>
      <c r="AY21" s="17"/>
    </row>
    <row r="22" ht="15.0" hidden="1" customHeight="1">
      <c r="A22" s="47">
        <v>40940.0</v>
      </c>
      <c r="B22" s="17">
        <v>19.48</v>
      </c>
      <c r="C22" s="17">
        <v>12452.15</v>
      </c>
      <c r="D22" s="17"/>
      <c r="E22" s="33">
        <f t="shared" si="3"/>
        <v>-0.03579913411</v>
      </c>
      <c r="F22" s="32">
        <f t="shared" si="4"/>
        <v>0.02011795673</v>
      </c>
      <c r="G22" s="33"/>
      <c r="H22" s="49">
        <v>0.2</v>
      </c>
      <c r="I22" s="33">
        <f t="shared" si="5"/>
        <v>0.25</v>
      </c>
      <c r="J22" s="31">
        <f t="shared" si="6"/>
        <v>0.3327803583</v>
      </c>
      <c r="K22" s="46"/>
      <c r="L22" s="17"/>
      <c r="M22" s="18"/>
      <c r="N22" s="17"/>
      <c r="O22" s="22"/>
      <c r="P22" s="17"/>
      <c r="Q22" s="23"/>
      <c r="R22" s="17"/>
      <c r="S22" s="18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  <c r="AH22" s="17"/>
      <c r="AI22" s="22"/>
      <c r="AJ22" s="17"/>
      <c r="AK22" s="17"/>
      <c r="AL22" s="17"/>
      <c r="AM22" s="17"/>
      <c r="AN22" s="17"/>
      <c r="AO22" s="17"/>
      <c r="AP22" s="17"/>
      <c r="AQ22" s="17"/>
      <c r="AR22" s="23"/>
      <c r="AS22" s="17"/>
      <c r="AT22" s="17"/>
      <c r="AU22" s="18"/>
      <c r="AV22" s="17"/>
      <c r="AW22" s="17"/>
      <c r="AX22" s="17"/>
      <c r="AY22" s="17"/>
    </row>
    <row r="23" ht="15.0" hidden="1" customHeight="1">
      <c r="A23" s="47">
        <v>40911.0</v>
      </c>
      <c r="B23" s="17">
        <v>18.78</v>
      </c>
      <c r="C23" s="17">
        <v>11955.09</v>
      </c>
      <c r="D23" s="17"/>
      <c r="E23" s="33">
        <f t="shared" si="3"/>
        <v>-0.03659582443</v>
      </c>
      <c r="F23" s="32">
        <f t="shared" si="4"/>
        <v>-0.01529028648</v>
      </c>
      <c r="G23" s="33"/>
      <c r="H23" s="49">
        <v>0.2</v>
      </c>
      <c r="I23" s="33">
        <f t="shared" si="5"/>
        <v>0.25</v>
      </c>
      <c r="J23" s="31">
        <f t="shared" si="6"/>
        <v>0.3327803583</v>
      </c>
      <c r="K23" s="32"/>
      <c r="L23" s="17"/>
      <c r="M23" s="18"/>
      <c r="N23" s="17"/>
      <c r="O23" s="22"/>
      <c r="P23" s="17"/>
      <c r="Q23" s="23"/>
      <c r="R23" s="17"/>
      <c r="S23" s="18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8"/>
      <c r="AH23" s="17"/>
      <c r="AI23" s="22"/>
      <c r="AJ23" s="17"/>
      <c r="AK23" s="17"/>
      <c r="AL23" s="17"/>
      <c r="AM23" s="17"/>
      <c r="AN23" s="17"/>
      <c r="AO23" s="17"/>
      <c r="AP23" s="17"/>
      <c r="AQ23" s="17"/>
      <c r="AR23" s="23"/>
      <c r="AS23" s="17"/>
      <c r="AT23" s="17"/>
      <c r="AU23" s="18"/>
      <c r="AV23" s="17"/>
      <c r="AW23" s="17"/>
      <c r="AX23" s="17"/>
      <c r="AY23" s="17"/>
    </row>
    <row r="24" ht="15.0" hidden="1" customHeight="1">
      <c r="A24" s="47">
        <v>40878.0</v>
      </c>
      <c r="B24" s="17">
        <v>18.75</v>
      </c>
      <c r="C24" s="17">
        <v>11732.5</v>
      </c>
      <c r="D24" s="17"/>
      <c r="E24" s="33">
        <f t="shared" si="3"/>
        <v>-0.001598721364</v>
      </c>
      <c r="F24" s="32">
        <f t="shared" si="4"/>
        <v>-0.04073616965</v>
      </c>
      <c r="G24" s="33"/>
      <c r="H24" s="49">
        <v>0.2</v>
      </c>
      <c r="I24" s="33">
        <f t="shared" si="5"/>
        <v>0.25</v>
      </c>
      <c r="J24" s="31">
        <f t="shared" si="6"/>
        <v>0.3327803583</v>
      </c>
      <c r="K24" s="32"/>
      <c r="L24" s="17"/>
      <c r="M24" s="18"/>
      <c r="N24" s="17"/>
      <c r="O24" s="22"/>
      <c r="P24" s="17"/>
      <c r="Q24" s="23"/>
      <c r="R24" s="17"/>
      <c r="S24" s="18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  <c r="AH24" s="17"/>
      <c r="AI24" s="22"/>
      <c r="AJ24" s="17"/>
      <c r="AK24" s="17"/>
      <c r="AL24" s="17"/>
      <c r="AM24" s="17"/>
      <c r="AN24" s="17"/>
      <c r="AO24" s="17"/>
      <c r="AP24" s="17"/>
      <c r="AQ24" s="17"/>
      <c r="AR24" s="23"/>
      <c r="AS24" s="17"/>
      <c r="AT24" s="17"/>
      <c r="AU24" s="18"/>
      <c r="AV24" s="17"/>
      <c r="AW24" s="17"/>
      <c r="AX24" s="17"/>
      <c r="AY24" s="17"/>
    </row>
    <row r="25" ht="15.0" hidden="1" customHeight="1">
      <c r="A25" s="47">
        <v>40848.0</v>
      </c>
      <c r="B25" s="17">
        <v>19.39</v>
      </c>
      <c r="C25" s="17">
        <v>12252.06</v>
      </c>
      <c r="D25" s="17"/>
      <c r="E25" s="33">
        <f t="shared" si="3"/>
        <v>0.03356371684</v>
      </c>
      <c r="F25" s="32">
        <f t="shared" si="4"/>
        <v>-0.01879436043</v>
      </c>
      <c r="G25" s="33"/>
      <c r="H25" s="49">
        <v>0.2</v>
      </c>
      <c r="I25" s="33">
        <f t="shared" si="5"/>
        <v>0.25</v>
      </c>
      <c r="J25" s="31">
        <f t="shared" si="6"/>
        <v>0.3327803583</v>
      </c>
      <c r="K25" s="32"/>
      <c r="L25" s="17"/>
      <c r="M25" s="18"/>
      <c r="N25" s="17"/>
      <c r="O25" s="22"/>
      <c r="P25" s="17"/>
      <c r="Q25" s="23"/>
      <c r="R25" s="17"/>
      <c r="S25" s="18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  <c r="AH25" s="17"/>
      <c r="AI25" s="22"/>
      <c r="AJ25" s="17"/>
      <c r="AK25" s="17"/>
      <c r="AL25" s="17"/>
      <c r="AM25" s="17"/>
      <c r="AN25" s="17"/>
      <c r="AO25" s="17"/>
      <c r="AP25" s="17"/>
      <c r="AQ25" s="17"/>
      <c r="AR25" s="23"/>
      <c r="AS25" s="17"/>
      <c r="AT25" s="17"/>
      <c r="AU25" s="18"/>
      <c r="AV25" s="17"/>
      <c r="AW25" s="17"/>
      <c r="AX25" s="17"/>
      <c r="AY25" s="17"/>
    </row>
    <row r="26" ht="15.0" hidden="1" customHeight="1">
      <c r="A26" s="47">
        <v>40819.0</v>
      </c>
      <c r="B26" s="17">
        <v>18.98</v>
      </c>
      <c r="C26" s="17">
        <v>11623.84</v>
      </c>
      <c r="D26" s="17"/>
      <c r="E26" s="33">
        <f t="shared" si="3"/>
        <v>-0.02137167607</v>
      </c>
      <c r="F26" s="32">
        <f t="shared" si="4"/>
        <v>0.04333131743</v>
      </c>
      <c r="G26" s="33"/>
      <c r="H26" s="49">
        <v>0.2</v>
      </c>
      <c r="I26" s="33">
        <f t="shared" si="5"/>
        <v>0.25</v>
      </c>
      <c r="J26" s="31">
        <f t="shared" si="6"/>
        <v>0.3327803583</v>
      </c>
      <c r="K26" s="32"/>
      <c r="L26" s="17"/>
      <c r="M26" s="18"/>
      <c r="N26" s="17"/>
      <c r="O26" s="22"/>
      <c r="P26" s="17"/>
      <c r="Q26" s="23"/>
      <c r="R26" s="17"/>
      <c r="S26" s="18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  <c r="AH26" s="17"/>
      <c r="AI26" s="22"/>
      <c r="AJ26" s="17"/>
      <c r="AK26" s="17"/>
      <c r="AL26" s="17"/>
      <c r="AM26" s="17"/>
      <c r="AN26" s="17"/>
      <c r="AO26" s="17"/>
      <c r="AP26" s="17"/>
      <c r="AQ26" s="17"/>
      <c r="AR26" s="23"/>
      <c r="AS26" s="17"/>
      <c r="AT26" s="17"/>
      <c r="AU26" s="18"/>
      <c r="AV26" s="17"/>
      <c r="AW26" s="17"/>
      <c r="AX26" s="17"/>
      <c r="AY26" s="17"/>
    </row>
    <row r="27" ht="15.0" hidden="1" customHeight="1">
      <c r="A27" s="47">
        <v>40787.0</v>
      </c>
      <c r="B27" s="17">
        <v>18.85</v>
      </c>
      <c r="C27" s="17">
        <v>12768.7</v>
      </c>
      <c r="D27" s="17"/>
      <c r="E27" s="33">
        <f t="shared" si="3"/>
        <v>-0.006872879288</v>
      </c>
      <c r="F27" s="32">
        <f t="shared" si="4"/>
        <v>-0.05263592457</v>
      </c>
      <c r="G27" s="33"/>
      <c r="H27" s="49">
        <v>0.2</v>
      </c>
      <c r="I27" s="33">
        <f t="shared" si="5"/>
        <v>0.25</v>
      </c>
      <c r="J27" s="31">
        <f t="shared" si="6"/>
        <v>0.3327803583</v>
      </c>
      <c r="K27" s="32"/>
      <c r="L27" s="17"/>
      <c r="M27" s="18"/>
      <c r="N27" s="17"/>
      <c r="O27" s="22"/>
      <c r="P27" s="17"/>
      <c r="Q27" s="23"/>
      <c r="R27" s="17"/>
      <c r="S27" s="18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  <c r="AH27" s="17"/>
      <c r="AI27" s="22"/>
      <c r="AJ27" s="17"/>
      <c r="AK27" s="17"/>
      <c r="AL27" s="17"/>
      <c r="AM27" s="17"/>
      <c r="AN27" s="17"/>
      <c r="AO27" s="17"/>
      <c r="AP27" s="17"/>
      <c r="AQ27" s="17"/>
      <c r="AR27" s="23"/>
      <c r="AS27" s="17"/>
      <c r="AT27" s="17"/>
      <c r="AU27" s="18"/>
      <c r="AV27" s="17"/>
      <c r="AW27" s="17"/>
      <c r="AX27" s="17"/>
      <c r="AY27" s="17"/>
    </row>
    <row r="28" ht="15.0" hidden="1" customHeight="1">
      <c r="A28" s="47">
        <v>40756.0</v>
      </c>
      <c r="B28" s="17">
        <v>21.22</v>
      </c>
      <c r="C28" s="17">
        <v>12945.63</v>
      </c>
      <c r="D28" s="17"/>
      <c r="E28" s="33">
        <f t="shared" si="3"/>
        <v>0.1184312193</v>
      </c>
      <c r="F28" s="32">
        <f t="shared" si="4"/>
        <v>0.09393870222</v>
      </c>
      <c r="G28" s="33"/>
      <c r="H28" s="49">
        <v>0.2</v>
      </c>
      <c r="I28" s="33">
        <f t="shared" si="5"/>
        <v>0.25</v>
      </c>
      <c r="J28" s="31">
        <f t="shared" si="6"/>
        <v>0.3327803583</v>
      </c>
      <c r="K28" s="32"/>
      <c r="L28" s="17"/>
      <c r="M28" s="18"/>
      <c r="N28" s="17"/>
      <c r="O28" s="22"/>
      <c r="P28" s="17"/>
      <c r="Q28" s="23"/>
      <c r="R28" s="17"/>
      <c r="S28" s="18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  <c r="AH28" s="17"/>
      <c r="AI28" s="22"/>
      <c r="AJ28" s="17"/>
      <c r="AK28" s="17"/>
      <c r="AL28" s="17"/>
      <c r="AM28" s="17"/>
      <c r="AN28" s="17"/>
      <c r="AO28" s="17"/>
      <c r="AP28" s="17"/>
      <c r="AQ28" s="17"/>
      <c r="AR28" s="23"/>
      <c r="AS28" s="17"/>
      <c r="AT28" s="17"/>
      <c r="AU28" s="18"/>
      <c r="AV28" s="17"/>
      <c r="AW28" s="17"/>
      <c r="AX28" s="17"/>
      <c r="AY28" s="17"/>
    </row>
    <row r="29" ht="15.0" hidden="1" customHeight="1">
      <c r="A29" s="47">
        <v>40725.0</v>
      </c>
      <c r="B29" s="17">
        <v>20.88</v>
      </c>
      <c r="C29" s="17">
        <v>13300.87</v>
      </c>
      <c r="D29" s="17"/>
      <c r="E29" s="33">
        <f t="shared" si="3"/>
        <v>-0.01615237017</v>
      </c>
      <c r="F29" s="32">
        <f t="shared" si="4"/>
        <v>0.01376141569</v>
      </c>
      <c r="G29" s="33"/>
      <c r="H29" s="49">
        <v>0.2</v>
      </c>
      <c r="I29" s="33">
        <f t="shared" si="5"/>
        <v>0.25</v>
      </c>
      <c r="J29" s="31">
        <f t="shared" si="6"/>
        <v>0.3327803583</v>
      </c>
      <c r="K29" s="32"/>
      <c r="L29" s="17"/>
      <c r="M29" s="18"/>
      <c r="N29" s="17"/>
      <c r="O29" s="22"/>
      <c r="P29" s="17"/>
      <c r="Q29" s="23"/>
      <c r="R29" s="17"/>
      <c r="S29" s="18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8"/>
      <c r="AH29" s="17"/>
      <c r="AI29" s="22"/>
      <c r="AJ29" s="17"/>
      <c r="AK29" s="17"/>
      <c r="AL29" s="17"/>
      <c r="AM29" s="17"/>
      <c r="AN29" s="17"/>
      <c r="AO29" s="17"/>
      <c r="AP29" s="17"/>
      <c r="AQ29" s="17"/>
      <c r="AR29" s="23"/>
      <c r="AS29" s="17"/>
      <c r="AT29" s="17"/>
      <c r="AU29" s="18"/>
      <c r="AV29" s="17"/>
      <c r="AW29" s="17"/>
      <c r="AX29" s="17"/>
      <c r="AY29" s="17"/>
    </row>
    <row r="30" ht="15.0" hidden="1" customHeight="1">
      <c r="A30" s="47">
        <v>40695.0</v>
      </c>
      <c r="B30" s="17">
        <v>21.07</v>
      </c>
      <c r="C30" s="17">
        <v>13802.88</v>
      </c>
      <c r="D30" s="17"/>
      <c r="E30" s="33">
        <f t="shared" si="3"/>
        <v>0.009058464802</v>
      </c>
      <c r="F30" s="32">
        <f t="shared" si="4"/>
        <v>0.02707116716</v>
      </c>
      <c r="G30" s="33"/>
      <c r="H30" s="49">
        <v>0.2</v>
      </c>
      <c r="I30" s="33">
        <f t="shared" si="5"/>
        <v>0.25</v>
      </c>
      <c r="J30" s="31">
        <f t="shared" si="6"/>
        <v>0.3327803583</v>
      </c>
      <c r="K30" s="32"/>
      <c r="L30" s="17"/>
      <c r="M30" s="18"/>
      <c r="N30" s="17"/>
      <c r="O30" s="22"/>
      <c r="P30" s="17"/>
      <c r="Q30" s="23"/>
      <c r="R30" s="17"/>
      <c r="S30" s="18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  <c r="AH30" s="17"/>
      <c r="AI30" s="22"/>
      <c r="AJ30" s="17"/>
      <c r="AK30" s="17"/>
      <c r="AL30" s="17"/>
      <c r="AM30" s="17"/>
      <c r="AN30" s="17"/>
      <c r="AO30" s="17"/>
      <c r="AP30" s="17"/>
      <c r="AQ30" s="17"/>
      <c r="AR30" s="23"/>
      <c r="AS30" s="17"/>
      <c r="AT30" s="17"/>
      <c r="AU30" s="18"/>
      <c r="AV30" s="17"/>
      <c r="AW30" s="17"/>
      <c r="AX30" s="17"/>
      <c r="AY30" s="17"/>
    </row>
    <row r="31" ht="15.0" hidden="1" customHeight="1">
      <c r="A31" s="47">
        <v>40665.0</v>
      </c>
      <c r="B31" s="17">
        <v>19.7</v>
      </c>
      <c r="C31" s="17">
        <v>13944.79</v>
      </c>
      <c r="D31" s="17"/>
      <c r="E31" s="33">
        <f t="shared" si="3"/>
        <v>-0.06723159207</v>
      </c>
      <c r="F31" s="32">
        <f t="shared" si="4"/>
        <v>0.03704781942</v>
      </c>
      <c r="G31" s="33"/>
      <c r="H31" s="49">
        <v>0.2</v>
      </c>
      <c r="I31" s="33">
        <f t="shared" si="5"/>
        <v>0.25</v>
      </c>
      <c r="J31" s="31">
        <f t="shared" si="6"/>
        <v>0.3327803583</v>
      </c>
      <c r="K31" s="32"/>
      <c r="L31" s="17"/>
      <c r="M31" s="18"/>
      <c r="N31" s="17"/>
      <c r="O31" s="22"/>
      <c r="P31" s="17"/>
      <c r="Q31" s="23"/>
      <c r="R31" s="17"/>
      <c r="S31" s="18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  <c r="AH31" s="17"/>
      <c r="AI31" s="22"/>
      <c r="AJ31" s="17"/>
      <c r="AK31" s="17"/>
      <c r="AL31" s="17"/>
      <c r="AM31" s="17"/>
      <c r="AN31" s="17"/>
      <c r="AO31" s="17"/>
      <c r="AP31" s="17"/>
      <c r="AQ31" s="17"/>
      <c r="AR31" s="23"/>
      <c r="AS31" s="17"/>
      <c r="AT31" s="17"/>
      <c r="AU31" s="18"/>
      <c r="AV31" s="17"/>
      <c r="AW31" s="17"/>
      <c r="AX31" s="17"/>
      <c r="AY31" s="17"/>
    </row>
    <row r="32" ht="15.0" hidden="1" customHeight="1">
      <c r="A32" s="47">
        <v>40634.0</v>
      </c>
      <c r="B32" s="17">
        <v>19.38</v>
      </c>
      <c r="C32" s="17">
        <v>14116.1</v>
      </c>
      <c r="D32" s="17"/>
      <c r="E32" s="33">
        <f t="shared" si="3"/>
        <v>-0.01637702928</v>
      </c>
      <c r="F32" s="32">
        <f t="shared" si="4"/>
        <v>0.01022869576</v>
      </c>
      <c r="G32" s="33"/>
      <c r="H32" s="49">
        <v>0.2</v>
      </c>
      <c r="I32" s="33">
        <f t="shared" si="5"/>
        <v>0.25</v>
      </c>
      <c r="J32" s="31">
        <f t="shared" si="6"/>
        <v>0.3327803583</v>
      </c>
      <c r="K32" s="32"/>
      <c r="L32" s="17"/>
      <c r="M32" s="18"/>
      <c r="N32" s="17"/>
      <c r="O32" s="22"/>
      <c r="P32" s="17"/>
      <c r="Q32" s="23"/>
      <c r="R32" s="17"/>
      <c r="S32" s="18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8"/>
      <c r="AH32" s="17"/>
      <c r="AI32" s="22"/>
      <c r="AJ32" s="17"/>
      <c r="AK32" s="17"/>
      <c r="AL32" s="17"/>
      <c r="AM32" s="17"/>
      <c r="AN32" s="17"/>
      <c r="AO32" s="17"/>
      <c r="AP32" s="17"/>
      <c r="AQ32" s="17"/>
      <c r="AR32" s="23"/>
      <c r="AS32" s="17"/>
      <c r="AT32" s="17"/>
      <c r="AU32" s="18"/>
      <c r="AV32" s="17"/>
      <c r="AW32" s="17"/>
      <c r="AX32" s="17"/>
      <c r="AY32" s="17"/>
    </row>
    <row r="33" ht="15.0" hidden="1" customHeight="1">
      <c r="A33" s="47">
        <v>40603.0</v>
      </c>
      <c r="B33" s="17">
        <v>19.23</v>
      </c>
      <c r="C33" s="17">
        <v>14136.5</v>
      </c>
      <c r="D33" s="17"/>
      <c r="E33" s="33">
        <f t="shared" si="3"/>
        <v>-0.007770046862</v>
      </c>
      <c r="F33" s="32">
        <f t="shared" si="4"/>
        <v>0.01221002814</v>
      </c>
      <c r="G33" s="33"/>
      <c r="H33" s="49">
        <v>0.2</v>
      </c>
      <c r="I33" s="33">
        <f t="shared" si="5"/>
        <v>0.25</v>
      </c>
      <c r="J33" s="31">
        <f t="shared" si="6"/>
        <v>0.3327803583</v>
      </c>
      <c r="K33" s="32"/>
      <c r="L33" s="17"/>
      <c r="M33" s="18"/>
      <c r="N33" s="17"/>
      <c r="O33" s="22"/>
      <c r="P33" s="17"/>
      <c r="Q33" s="23"/>
      <c r="R33" s="17"/>
      <c r="S33" s="18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8"/>
      <c r="AH33" s="17"/>
      <c r="AI33" s="22"/>
      <c r="AJ33" s="17"/>
      <c r="AK33" s="17"/>
      <c r="AL33" s="17"/>
      <c r="AM33" s="17"/>
      <c r="AN33" s="17"/>
      <c r="AO33" s="17"/>
      <c r="AP33" s="17"/>
      <c r="AQ33" s="17"/>
      <c r="AR33" s="23"/>
      <c r="AS33" s="17"/>
      <c r="AT33" s="17"/>
      <c r="AU33" s="18"/>
      <c r="AV33" s="17"/>
      <c r="AW33" s="17"/>
      <c r="AX33" s="17"/>
      <c r="AY33" s="17"/>
    </row>
    <row r="34" ht="15.0" hidden="1" customHeight="1">
      <c r="A34" s="47">
        <v>40575.0</v>
      </c>
      <c r="B34" s="17">
        <v>19.4</v>
      </c>
      <c r="C34" s="17">
        <v>13551.99</v>
      </c>
      <c r="D34" s="17"/>
      <c r="E34" s="33">
        <f t="shared" si="3"/>
        <v>0.008801506469</v>
      </c>
      <c r="F34" s="32">
        <f t="shared" si="4"/>
        <v>0.001444115129</v>
      </c>
      <c r="G34" s="33"/>
      <c r="H34" s="49">
        <v>0.2</v>
      </c>
      <c r="I34" s="33">
        <f t="shared" si="5"/>
        <v>0.25</v>
      </c>
      <c r="J34" s="31">
        <f t="shared" si="6"/>
        <v>0.3327803583</v>
      </c>
      <c r="K34" s="32"/>
      <c r="L34" s="17"/>
      <c r="M34" s="18"/>
      <c r="N34" s="17"/>
      <c r="O34" s="22"/>
      <c r="P34" s="17"/>
      <c r="Q34" s="23"/>
      <c r="R34" s="17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  <c r="AH34" s="17"/>
      <c r="AI34" s="22"/>
      <c r="AJ34" s="17"/>
      <c r="AK34" s="17"/>
      <c r="AL34" s="17"/>
      <c r="AM34" s="17"/>
      <c r="AN34" s="17"/>
      <c r="AO34" s="17"/>
      <c r="AP34" s="17"/>
      <c r="AQ34" s="17"/>
      <c r="AR34" s="23"/>
      <c r="AS34" s="17"/>
      <c r="AT34" s="17"/>
      <c r="AU34" s="18"/>
      <c r="AV34" s="17"/>
      <c r="AW34" s="17"/>
      <c r="AX34" s="17"/>
      <c r="AY34" s="17"/>
    </row>
    <row r="35" ht="15.0" hidden="1" customHeight="1">
      <c r="A35" s="47">
        <v>40546.0</v>
      </c>
      <c r="B35" s="17">
        <v>19.13</v>
      </c>
      <c r="C35" s="17">
        <v>13443.22</v>
      </c>
      <c r="D35" s="17"/>
      <c r="E35" s="33">
        <f t="shared" si="3"/>
        <v>-0.01401528262</v>
      </c>
      <c r="F35" s="32">
        <f t="shared" si="4"/>
        <v>-0.04222670507</v>
      </c>
      <c r="G35" s="33"/>
      <c r="H35" s="49">
        <v>0.2</v>
      </c>
      <c r="I35" s="33">
        <f t="shared" si="5"/>
        <v>0.25</v>
      </c>
      <c r="J35" s="31">
        <f t="shared" si="6"/>
        <v>0.3327803583</v>
      </c>
      <c r="K35" s="32"/>
      <c r="L35" s="17"/>
      <c r="M35" s="18"/>
      <c r="N35" s="17"/>
      <c r="O35" s="22"/>
      <c r="P35" s="17"/>
      <c r="Q35" s="23"/>
      <c r="R35" s="17"/>
      <c r="S35" s="1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8"/>
      <c r="AH35" s="17"/>
      <c r="AI35" s="22"/>
      <c r="AJ35" s="17"/>
      <c r="AK35" s="17"/>
      <c r="AL35" s="17"/>
      <c r="AM35" s="17"/>
      <c r="AN35" s="17"/>
      <c r="AO35" s="17"/>
      <c r="AP35" s="17"/>
      <c r="AQ35" s="17"/>
      <c r="AR35" s="23"/>
      <c r="AS35" s="17"/>
      <c r="AT35" s="17"/>
      <c r="AU35" s="18"/>
      <c r="AV35" s="17"/>
      <c r="AW35" s="17"/>
      <c r="AX35" s="17"/>
      <c r="AY35" s="17"/>
    </row>
    <row r="36" ht="15.0" hidden="1" customHeight="1">
      <c r="A36" s="47">
        <v>40513.0</v>
      </c>
      <c r="B36" s="17">
        <v>19.3</v>
      </c>
      <c r="C36" s="17">
        <v>12952.88</v>
      </c>
      <c r="D36" s="17"/>
      <c r="E36" s="33">
        <f t="shared" si="3"/>
        <v>0.008847312459</v>
      </c>
      <c r="F36" s="32">
        <f t="shared" si="4"/>
        <v>-0.008058510278</v>
      </c>
      <c r="G36" s="33"/>
      <c r="H36" s="49">
        <v>0.2</v>
      </c>
      <c r="I36" s="33">
        <f t="shared" si="5"/>
        <v>0.25</v>
      </c>
      <c r="J36" s="31">
        <f t="shared" si="6"/>
        <v>0.3327803583</v>
      </c>
      <c r="K36" s="32"/>
      <c r="L36" s="17"/>
      <c r="M36" s="18"/>
      <c r="N36" s="17"/>
      <c r="O36" s="22"/>
      <c r="P36" s="17"/>
      <c r="Q36" s="23"/>
      <c r="R36" s="17"/>
      <c r="S36" s="18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  <c r="AH36" s="17"/>
      <c r="AI36" s="22"/>
      <c r="AJ36" s="17"/>
      <c r="AK36" s="17"/>
      <c r="AL36" s="17"/>
      <c r="AM36" s="17"/>
      <c r="AN36" s="17"/>
      <c r="AO36" s="17"/>
      <c r="AP36" s="17"/>
      <c r="AQ36" s="17"/>
      <c r="AR36" s="23"/>
      <c r="AS36" s="17"/>
      <c r="AT36" s="17"/>
      <c r="AU36" s="18"/>
      <c r="AV36" s="17"/>
      <c r="AW36" s="17"/>
      <c r="AX36" s="17"/>
      <c r="AY36" s="17"/>
    </row>
    <row r="37" ht="15.0" hidden="1" customHeight="1">
      <c r="A37" s="47">
        <v>40483.0</v>
      </c>
      <c r="B37" s="17">
        <v>18.04</v>
      </c>
      <c r="C37" s="17">
        <v>12676.24</v>
      </c>
      <c r="D37" s="17"/>
      <c r="E37" s="33">
        <f t="shared" si="3"/>
        <v>-0.06751358128</v>
      </c>
      <c r="F37" s="32">
        <f t="shared" si="4"/>
        <v>-0.03715673249</v>
      </c>
      <c r="G37" s="33"/>
      <c r="H37" s="49">
        <v>0.2</v>
      </c>
      <c r="I37" s="33">
        <f t="shared" si="5"/>
        <v>0.25</v>
      </c>
      <c r="J37" s="31">
        <f t="shared" si="6"/>
        <v>0.3327803583</v>
      </c>
      <c r="K37" s="32"/>
      <c r="L37" s="17"/>
      <c r="M37" s="18"/>
      <c r="N37" s="17"/>
      <c r="O37" s="22"/>
      <c r="P37" s="17"/>
      <c r="Q37" s="23"/>
      <c r="R37" s="17"/>
      <c r="S37" s="18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8"/>
      <c r="AH37" s="17"/>
      <c r="AI37" s="22"/>
      <c r="AJ37" s="17"/>
      <c r="AK37" s="17"/>
      <c r="AL37" s="17"/>
      <c r="AM37" s="17"/>
      <c r="AN37" s="17"/>
      <c r="AO37" s="17"/>
      <c r="AP37" s="17"/>
      <c r="AQ37" s="17"/>
      <c r="AR37" s="23"/>
      <c r="AS37" s="17"/>
      <c r="AT37" s="17"/>
      <c r="AU37" s="18"/>
      <c r="AV37" s="17"/>
      <c r="AW37" s="17"/>
      <c r="AX37" s="17"/>
      <c r="AY37" s="17"/>
    </row>
    <row r="38" ht="15.0" hidden="1" customHeight="1">
      <c r="A38" s="47">
        <v>40452.0</v>
      </c>
      <c r="B38" s="17">
        <v>19.17</v>
      </c>
      <c r="C38" s="17">
        <v>12368.65</v>
      </c>
      <c r="D38" s="17"/>
      <c r="E38" s="33">
        <f t="shared" si="3"/>
        <v>0.06075504242</v>
      </c>
      <c r="F38" s="32">
        <f t="shared" si="4"/>
        <v>-0.02158878218</v>
      </c>
      <c r="G38" s="33"/>
      <c r="H38" s="49">
        <v>0.2</v>
      </c>
      <c r="I38" s="33">
        <f t="shared" si="5"/>
        <v>0.25</v>
      </c>
      <c r="J38" s="31">
        <f t="shared" si="6"/>
        <v>0.3327803583</v>
      </c>
      <c r="K38" s="32"/>
      <c r="L38" s="17"/>
      <c r="M38" s="18"/>
      <c r="N38" s="17"/>
      <c r="O38" s="22"/>
      <c r="P38" s="17"/>
      <c r="Q38" s="23"/>
      <c r="R38" s="17"/>
      <c r="S38" s="18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8"/>
      <c r="AH38" s="17"/>
      <c r="AI38" s="22"/>
      <c r="AJ38" s="17"/>
      <c r="AK38" s="17"/>
      <c r="AL38" s="17"/>
      <c r="AM38" s="17"/>
      <c r="AN38" s="17"/>
      <c r="AO38" s="17"/>
      <c r="AP38" s="17"/>
      <c r="AQ38" s="17"/>
      <c r="AR38" s="23"/>
      <c r="AS38" s="17"/>
      <c r="AT38" s="17"/>
      <c r="AU38" s="18"/>
      <c r="AV38" s="17"/>
      <c r="AW38" s="17"/>
      <c r="AX38" s="17"/>
      <c r="AY38" s="17"/>
    </row>
    <row r="39" ht="15.0" hidden="1" customHeight="1">
      <c r="A39" s="47">
        <v>40422.0</v>
      </c>
      <c r="B39" s="17">
        <v>19.67</v>
      </c>
      <c r="C39" s="17">
        <v>11913.86</v>
      </c>
      <c r="D39" s="17"/>
      <c r="E39" s="33">
        <f t="shared" si="3"/>
        <v>0.02574807534</v>
      </c>
      <c r="F39" s="32">
        <f t="shared" si="4"/>
        <v>-0.02456432962</v>
      </c>
      <c r="G39" s="33"/>
      <c r="H39" s="49">
        <v>0.2</v>
      </c>
      <c r="I39" s="33">
        <f t="shared" si="5"/>
        <v>0.25</v>
      </c>
      <c r="J39" s="31">
        <f t="shared" si="6"/>
        <v>0.3327803583</v>
      </c>
      <c r="K39" s="32"/>
      <c r="L39" s="17"/>
      <c r="M39" s="18"/>
      <c r="N39" s="17"/>
      <c r="O39" s="22"/>
      <c r="P39" s="17"/>
      <c r="Q39" s="23"/>
      <c r="R39" s="17"/>
      <c r="S39" s="18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8"/>
      <c r="AH39" s="17"/>
      <c r="AI39" s="22"/>
      <c r="AJ39" s="17"/>
      <c r="AK39" s="17"/>
      <c r="AL39" s="17"/>
      <c r="AM39" s="17"/>
      <c r="AN39" s="17"/>
      <c r="AO39" s="17"/>
      <c r="AP39" s="17"/>
      <c r="AQ39" s="17"/>
      <c r="AR39" s="23"/>
      <c r="AS39" s="17"/>
      <c r="AT39" s="17"/>
      <c r="AU39" s="18"/>
      <c r="AV39" s="17"/>
      <c r="AW39" s="17"/>
      <c r="AX39" s="17"/>
      <c r="AY39" s="17"/>
    </row>
    <row r="40" ht="15.0" hidden="1" customHeight="1">
      <c r="A40" s="47">
        <v>40392.0</v>
      </c>
      <c r="B40" s="17">
        <v>18.3</v>
      </c>
      <c r="C40" s="17">
        <v>11713.43</v>
      </c>
      <c r="D40" s="17"/>
      <c r="E40" s="33">
        <f t="shared" si="3"/>
        <v>-0.07219357255</v>
      </c>
      <c r="F40" s="32">
        <f t="shared" si="4"/>
        <v>-0.03746261719</v>
      </c>
      <c r="G40" s="33"/>
      <c r="H40" s="49">
        <v>0.2</v>
      </c>
      <c r="I40" s="33">
        <f t="shared" si="5"/>
        <v>0.25</v>
      </c>
      <c r="J40" s="31">
        <f t="shared" si="6"/>
        <v>0.3327803583</v>
      </c>
      <c r="K40" s="32"/>
      <c r="L40" s="17"/>
      <c r="M40" s="18"/>
      <c r="N40" s="17"/>
      <c r="O40" s="22"/>
      <c r="P40" s="17"/>
      <c r="Q40" s="23"/>
      <c r="R40" s="17"/>
      <c r="S40" s="18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  <c r="AH40" s="17"/>
      <c r="AI40" s="22"/>
      <c r="AJ40" s="17"/>
      <c r="AK40" s="17"/>
      <c r="AL40" s="17"/>
      <c r="AM40" s="17"/>
      <c r="AN40" s="17"/>
      <c r="AO40" s="17"/>
      <c r="AP40" s="17"/>
      <c r="AQ40" s="17"/>
      <c r="AR40" s="23"/>
      <c r="AS40" s="17"/>
      <c r="AT40" s="17"/>
      <c r="AU40" s="18"/>
      <c r="AV40" s="17"/>
      <c r="AW40" s="17"/>
      <c r="AX40" s="17"/>
      <c r="AY40" s="17"/>
    </row>
    <row r="41" ht="15.0" hidden="1" customHeight="1">
      <c r="A41" s="47">
        <v>40360.0</v>
      </c>
      <c r="B41" s="17">
        <v>17.39</v>
      </c>
      <c r="C41" s="17">
        <v>11294.42</v>
      </c>
      <c r="D41" s="17"/>
      <c r="E41" s="33">
        <f t="shared" si="3"/>
        <v>-0.05100573148</v>
      </c>
      <c r="F41" s="32">
        <f t="shared" si="4"/>
        <v>-0.0169663815</v>
      </c>
      <c r="G41" s="33"/>
      <c r="H41" s="49">
        <v>0.2</v>
      </c>
      <c r="I41" s="33">
        <f t="shared" si="5"/>
        <v>0.25</v>
      </c>
      <c r="J41" s="31">
        <f t="shared" si="6"/>
        <v>0.3327803583</v>
      </c>
      <c r="K41" s="32"/>
      <c r="L41" s="17"/>
      <c r="M41" s="18"/>
      <c r="N41" s="17"/>
      <c r="O41" s="22"/>
      <c r="P41" s="17"/>
      <c r="Q41" s="23"/>
      <c r="R41" s="17"/>
      <c r="S41" s="18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8"/>
      <c r="AH41" s="17"/>
      <c r="AI41" s="22"/>
      <c r="AJ41" s="17"/>
      <c r="AK41" s="17"/>
      <c r="AL41" s="17"/>
      <c r="AM41" s="17"/>
      <c r="AN41" s="17"/>
      <c r="AO41" s="17"/>
      <c r="AP41" s="17"/>
      <c r="AQ41" s="17"/>
      <c r="AR41" s="23"/>
      <c r="AS41" s="17"/>
      <c r="AT41" s="17"/>
      <c r="AU41" s="18"/>
      <c r="AV41" s="17"/>
      <c r="AW41" s="17"/>
      <c r="AX41" s="17"/>
      <c r="AY41" s="17"/>
    </row>
    <row r="42" ht="15.0" hidden="1" customHeight="1">
      <c r="A42" s="47">
        <v>40330.0</v>
      </c>
      <c r="B42" s="17">
        <v>15.94</v>
      </c>
      <c r="C42" s="17">
        <v>11762.99</v>
      </c>
      <c r="D42" s="17"/>
      <c r="E42" s="33">
        <f t="shared" si="3"/>
        <v>-0.087063655</v>
      </c>
      <c r="F42" s="32">
        <f t="shared" si="4"/>
        <v>-0.03642724831</v>
      </c>
      <c r="G42" s="33"/>
      <c r="H42" s="49">
        <v>0.2</v>
      </c>
      <c r="I42" s="33">
        <f t="shared" si="5"/>
        <v>0.25</v>
      </c>
      <c r="J42" s="31">
        <f t="shared" si="6"/>
        <v>0.3327803583</v>
      </c>
      <c r="K42" s="32"/>
      <c r="L42" s="17"/>
      <c r="M42" s="18"/>
      <c r="N42" s="17"/>
      <c r="O42" s="22"/>
      <c r="P42" s="17"/>
      <c r="Q42" s="23"/>
      <c r="R42" s="17"/>
      <c r="S42" s="18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  <c r="AH42" s="17"/>
      <c r="AI42" s="22"/>
      <c r="AJ42" s="17"/>
      <c r="AK42" s="17"/>
      <c r="AL42" s="17"/>
      <c r="AM42" s="17"/>
      <c r="AN42" s="17"/>
      <c r="AO42" s="17"/>
      <c r="AP42" s="17"/>
      <c r="AQ42" s="17"/>
      <c r="AR42" s="23"/>
      <c r="AS42" s="17"/>
      <c r="AT42" s="17"/>
      <c r="AU42" s="18"/>
      <c r="AV42" s="17"/>
      <c r="AW42" s="17"/>
      <c r="AX42" s="17"/>
      <c r="AY42" s="17"/>
    </row>
    <row r="43" ht="15.0" hidden="1" customHeight="1">
      <c r="A43" s="47">
        <v>40301.0</v>
      </c>
      <c r="B43" s="17">
        <v>16.09</v>
      </c>
      <c r="C43" s="17">
        <v>12210.7</v>
      </c>
      <c r="D43" s="17"/>
      <c r="E43" s="33">
        <f t="shared" si="3"/>
        <v>0.009366287642</v>
      </c>
      <c r="F43" s="32">
        <f t="shared" si="4"/>
        <v>0.04064936341</v>
      </c>
      <c r="G43" s="33"/>
      <c r="H43" s="49">
        <v>0.2</v>
      </c>
      <c r="I43" s="33">
        <f t="shared" si="5"/>
        <v>0.25</v>
      </c>
      <c r="J43" s="31">
        <f t="shared" si="6"/>
        <v>0.3327803583</v>
      </c>
      <c r="K43" s="32"/>
      <c r="L43" s="17"/>
      <c r="M43" s="18"/>
      <c r="N43" s="17"/>
      <c r="O43" s="22"/>
      <c r="P43" s="17"/>
      <c r="Q43" s="23"/>
      <c r="R43" s="17"/>
      <c r="S43" s="18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  <c r="AH43" s="17"/>
      <c r="AI43" s="22"/>
      <c r="AJ43" s="17"/>
      <c r="AK43" s="17"/>
      <c r="AL43" s="17"/>
      <c r="AM43" s="17"/>
      <c r="AN43" s="17"/>
      <c r="AO43" s="17"/>
      <c r="AP43" s="17"/>
      <c r="AQ43" s="17"/>
      <c r="AR43" s="23"/>
      <c r="AS43" s="17"/>
      <c r="AT43" s="17"/>
      <c r="AU43" s="18"/>
      <c r="AV43" s="17"/>
      <c r="AW43" s="17"/>
      <c r="AX43" s="17"/>
      <c r="AY43" s="17"/>
    </row>
    <row r="44" ht="15.0" hidden="1" customHeight="1">
      <c r="A44" s="47">
        <v>40269.0</v>
      </c>
      <c r="B44" s="17">
        <v>16.51</v>
      </c>
      <c r="C44" s="17">
        <v>12037.73</v>
      </c>
      <c r="D44" s="17"/>
      <c r="E44" s="33">
        <f t="shared" si="3"/>
        <v>0.02576829693</v>
      </c>
      <c r="F44" s="32">
        <f t="shared" si="4"/>
        <v>0.03735445468</v>
      </c>
      <c r="G44" s="33"/>
      <c r="H44" s="49">
        <v>0.2</v>
      </c>
      <c r="I44" s="33">
        <f t="shared" si="5"/>
        <v>0.25</v>
      </c>
      <c r="J44" s="31">
        <f t="shared" si="6"/>
        <v>0.3327803583</v>
      </c>
      <c r="K44" s="32"/>
      <c r="L44" s="17"/>
      <c r="M44" s="18"/>
      <c r="N44" s="17"/>
      <c r="O44" s="22"/>
      <c r="P44" s="17"/>
      <c r="Q44" s="23"/>
      <c r="R44" s="17"/>
      <c r="S44" s="18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8"/>
      <c r="AH44" s="17"/>
      <c r="AI44" s="22"/>
      <c r="AJ44" s="17"/>
      <c r="AK44" s="17"/>
      <c r="AL44" s="17"/>
      <c r="AM44" s="17"/>
      <c r="AN44" s="17"/>
      <c r="AO44" s="17"/>
      <c r="AP44" s="17"/>
      <c r="AQ44" s="17"/>
      <c r="AR44" s="23"/>
      <c r="AS44" s="17"/>
      <c r="AT44" s="17"/>
      <c r="AU44" s="18"/>
      <c r="AV44" s="17"/>
      <c r="AW44" s="17"/>
      <c r="AX44" s="17"/>
      <c r="AY44" s="17"/>
    </row>
    <row r="45" ht="15.0" hidden="1" customHeight="1">
      <c r="A45" s="47">
        <v>40238.0</v>
      </c>
      <c r="B45" s="17">
        <v>17.37</v>
      </c>
      <c r="C45" s="17">
        <v>11629.63</v>
      </c>
      <c r="D45" s="17"/>
      <c r="E45" s="33">
        <f t="shared" si="3"/>
        <v>0.05077832232</v>
      </c>
      <c r="F45" s="32">
        <f t="shared" si="4"/>
        <v>-0.01426673264</v>
      </c>
      <c r="G45" s="33"/>
      <c r="H45" s="49">
        <v>0.2</v>
      </c>
      <c r="I45" s="33">
        <f t="shared" si="5"/>
        <v>0.25</v>
      </c>
      <c r="J45" s="31">
        <f t="shared" si="6"/>
        <v>0.3327803583</v>
      </c>
      <c r="K45" s="32"/>
      <c r="L45" s="17"/>
      <c r="M45" s="18"/>
      <c r="N45" s="17"/>
      <c r="O45" s="22"/>
      <c r="P45" s="17"/>
      <c r="Q45" s="23"/>
      <c r="R45" s="17"/>
      <c r="S45" s="18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22"/>
      <c r="AJ45" s="17"/>
      <c r="AK45" s="17"/>
      <c r="AL45" s="17"/>
      <c r="AM45" s="17"/>
      <c r="AN45" s="17"/>
      <c r="AO45" s="17"/>
      <c r="AP45" s="17"/>
      <c r="AQ45" s="17"/>
      <c r="AR45" s="23"/>
      <c r="AS45" s="17"/>
      <c r="AT45" s="17"/>
      <c r="AU45" s="18"/>
      <c r="AV45" s="17"/>
      <c r="AW45" s="17"/>
      <c r="AX45" s="17"/>
      <c r="AY45" s="17"/>
    </row>
    <row r="46" ht="15.0" hidden="1" customHeight="1">
      <c r="A46" s="47">
        <v>40210.0</v>
      </c>
      <c r="B46" s="17">
        <v>16.47</v>
      </c>
      <c r="C46" s="17">
        <v>11094.31</v>
      </c>
      <c r="D46" s="17"/>
      <c r="E46" s="33">
        <f t="shared" si="3"/>
        <v>-0.05320403606</v>
      </c>
      <c r="F46" s="32">
        <f t="shared" si="4"/>
        <v>-0.03448973215</v>
      </c>
      <c r="G46" s="33"/>
      <c r="H46" s="49">
        <v>0.2</v>
      </c>
      <c r="I46" s="33">
        <f t="shared" si="5"/>
        <v>0.25</v>
      </c>
      <c r="J46" s="31">
        <f t="shared" si="6"/>
        <v>0.3327803583</v>
      </c>
      <c r="K46" s="32"/>
      <c r="L46" s="17"/>
      <c r="M46" s="18"/>
      <c r="N46" s="17"/>
      <c r="O46" s="22"/>
      <c r="P46" s="17"/>
      <c r="Q46" s="23"/>
      <c r="R46" s="17"/>
      <c r="S46" s="18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  <c r="AH46" s="17"/>
      <c r="AI46" s="22"/>
      <c r="AJ46" s="17"/>
      <c r="AK46" s="17"/>
      <c r="AL46" s="17"/>
      <c r="AM46" s="17"/>
      <c r="AN46" s="17"/>
      <c r="AO46" s="17"/>
      <c r="AP46" s="17"/>
      <c r="AQ46" s="17"/>
      <c r="AR46" s="23"/>
      <c r="AS46" s="17"/>
      <c r="AT46" s="17"/>
      <c r="AU46" s="18"/>
      <c r="AV46" s="17"/>
      <c r="AW46" s="17"/>
      <c r="AX46" s="17"/>
      <c r="AY46" s="17"/>
    </row>
    <row r="47" ht="15.0" hidden="1" customHeight="1">
      <c r="A47" s="47">
        <v>40182.0</v>
      </c>
      <c r="B47" s="17">
        <v>16.17</v>
      </c>
      <c r="C47" s="17">
        <v>11746.11</v>
      </c>
      <c r="D47" s="17"/>
      <c r="E47" s="33">
        <f t="shared" si="3"/>
        <v>-0.0183828706</v>
      </c>
      <c r="F47" s="32">
        <f t="shared" si="4"/>
        <v>-0.04712378748</v>
      </c>
      <c r="G47" s="33"/>
      <c r="H47" s="49">
        <v>0.2</v>
      </c>
      <c r="I47" s="33">
        <f t="shared" si="5"/>
        <v>0.25</v>
      </c>
      <c r="J47" s="31">
        <f t="shared" si="6"/>
        <v>0.3327803583</v>
      </c>
      <c r="K47" s="32"/>
      <c r="L47" s="17"/>
      <c r="M47" s="18"/>
      <c r="N47" s="17"/>
      <c r="O47" s="22"/>
      <c r="P47" s="17"/>
      <c r="Q47" s="23"/>
      <c r="R47" s="17"/>
      <c r="S47" s="18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8"/>
      <c r="AH47" s="17"/>
      <c r="AI47" s="22"/>
      <c r="AJ47" s="17"/>
      <c r="AK47" s="17"/>
      <c r="AL47" s="17"/>
      <c r="AM47" s="17"/>
      <c r="AN47" s="17"/>
      <c r="AO47" s="17"/>
      <c r="AP47" s="17"/>
      <c r="AQ47" s="17"/>
      <c r="AR47" s="23"/>
      <c r="AS47" s="17"/>
      <c r="AT47" s="17"/>
      <c r="AU47" s="18"/>
      <c r="AV47" s="17"/>
      <c r="AW47" s="17"/>
      <c r="AX47" s="17"/>
      <c r="AY47" s="17"/>
    </row>
    <row r="48" ht="15.0" hidden="1" customHeight="1">
      <c r="A48" s="47">
        <v>40148.0</v>
      </c>
      <c r="B48" s="17">
        <v>17.8</v>
      </c>
      <c r="C48" s="17">
        <v>11447.2</v>
      </c>
      <c r="D48" s="17"/>
      <c r="E48" s="33">
        <f t="shared" si="3"/>
        <v>0.09604078371</v>
      </c>
      <c r="F48" s="32">
        <f t="shared" si="4"/>
        <v>0.05708975767</v>
      </c>
      <c r="G48" s="33"/>
      <c r="H48" s="49">
        <v>0.2</v>
      </c>
      <c r="I48" s="33">
        <f t="shared" si="5"/>
        <v>0.25</v>
      </c>
      <c r="J48" s="31">
        <f t="shared" si="6"/>
        <v>0.3327803583</v>
      </c>
      <c r="K48" s="32"/>
      <c r="L48" s="17"/>
      <c r="M48" s="18"/>
      <c r="N48" s="17"/>
      <c r="O48" s="22"/>
      <c r="P48" s="17"/>
      <c r="Q48" s="23"/>
      <c r="R48" s="17"/>
      <c r="S48" s="18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  <c r="AH48" s="17"/>
      <c r="AI48" s="22"/>
      <c r="AJ48" s="17"/>
      <c r="AK48" s="17"/>
      <c r="AL48" s="17"/>
      <c r="AM48" s="17"/>
      <c r="AN48" s="17"/>
      <c r="AO48" s="17"/>
      <c r="AP48" s="17"/>
      <c r="AQ48" s="17"/>
      <c r="AR48" s="23"/>
      <c r="AS48" s="17"/>
      <c r="AT48" s="17"/>
      <c r="AU48" s="18"/>
      <c r="AV48" s="17"/>
      <c r="AW48" s="17"/>
      <c r="AX48" s="17"/>
      <c r="AY48" s="17"/>
    </row>
    <row r="49" ht="15.0" hidden="1" customHeight="1">
      <c r="A49" s="47">
        <v>40119.0</v>
      </c>
      <c r="B49" s="17">
        <v>16.66</v>
      </c>
      <c r="C49" s="17">
        <v>10910.75</v>
      </c>
      <c r="D49" s="17"/>
      <c r="E49" s="33">
        <f t="shared" si="3"/>
        <v>-0.06618782056</v>
      </c>
      <c r="F49" s="32">
        <f t="shared" si="4"/>
        <v>-0.02577696334</v>
      </c>
      <c r="G49" s="33"/>
      <c r="H49" s="49">
        <v>0.2</v>
      </c>
      <c r="I49" s="33">
        <f t="shared" si="5"/>
        <v>0.25</v>
      </c>
      <c r="J49" s="31">
        <f t="shared" si="6"/>
        <v>0.3327803583</v>
      </c>
      <c r="K49" s="32"/>
      <c r="L49" s="17"/>
      <c r="M49" s="18"/>
      <c r="N49" s="17"/>
      <c r="O49" s="22"/>
      <c r="P49" s="17"/>
      <c r="Q49" s="23"/>
      <c r="R49" s="17"/>
      <c r="S49" s="18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8"/>
      <c r="AH49" s="17"/>
      <c r="AI49" s="22"/>
      <c r="AJ49" s="17"/>
      <c r="AK49" s="17"/>
      <c r="AL49" s="17"/>
      <c r="AM49" s="17"/>
      <c r="AN49" s="17"/>
      <c r="AO49" s="17"/>
      <c r="AP49" s="17"/>
      <c r="AQ49" s="17"/>
      <c r="AR49" s="23"/>
      <c r="AS49" s="17"/>
      <c r="AT49" s="17"/>
      <c r="AU49" s="18"/>
      <c r="AV49" s="17"/>
      <c r="AW49" s="17"/>
      <c r="AX49" s="17"/>
      <c r="AY49" s="17"/>
    </row>
    <row r="50" ht="15.0" hidden="1" customHeight="1">
      <c r="A50" s="47">
        <v>40087.0</v>
      </c>
      <c r="B50" s="17">
        <v>15.26</v>
      </c>
      <c r="C50" s="17">
        <v>11394.96</v>
      </c>
      <c r="D50" s="17"/>
      <c r="E50" s="33">
        <f t="shared" si="3"/>
        <v>-0.08777561088</v>
      </c>
      <c r="F50" s="32">
        <f t="shared" si="4"/>
        <v>-0.04799661686</v>
      </c>
      <c r="G50" s="33"/>
      <c r="H50" s="49">
        <v>0.2</v>
      </c>
      <c r="I50" s="33">
        <f t="shared" si="5"/>
        <v>0.25</v>
      </c>
      <c r="J50" s="31">
        <f t="shared" si="6"/>
        <v>0.3327803583</v>
      </c>
      <c r="K50" s="32"/>
      <c r="L50" s="17"/>
      <c r="M50" s="18"/>
      <c r="N50" s="17"/>
      <c r="O50" s="22"/>
      <c r="P50" s="17"/>
      <c r="Q50" s="23"/>
      <c r="R50" s="17"/>
      <c r="S50" s="18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8"/>
      <c r="AH50" s="17"/>
      <c r="AI50" s="22"/>
      <c r="AJ50" s="17"/>
      <c r="AK50" s="17"/>
      <c r="AL50" s="17"/>
      <c r="AM50" s="17"/>
      <c r="AN50" s="17"/>
      <c r="AO50" s="17"/>
      <c r="AP50" s="17"/>
      <c r="AQ50" s="17"/>
      <c r="AR50" s="23"/>
      <c r="AS50" s="17"/>
      <c r="AT50" s="17"/>
      <c r="AU50" s="18"/>
      <c r="AV50" s="17"/>
      <c r="AW50" s="17"/>
      <c r="AX50" s="17"/>
      <c r="AY50" s="17"/>
    </row>
    <row r="51" ht="15.0" hidden="1" customHeight="1">
      <c r="A51" s="47">
        <v>40057.0</v>
      </c>
      <c r="B51" s="17">
        <v>15.43</v>
      </c>
      <c r="C51" s="17">
        <v>10868.21</v>
      </c>
      <c r="D51" s="17"/>
      <c r="E51" s="33">
        <f t="shared" si="3"/>
        <v>0.01107864052</v>
      </c>
      <c r="F51" s="32">
        <f t="shared" si="4"/>
        <v>0.04342261063</v>
      </c>
      <c r="G51" s="33"/>
      <c r="H51" s="49">
        <v>0.2</v>
      </c>
      <c r="I51" s="33">
        <f t="shared" si="5"/>
        <v>0.25</v>
      </c>
      <c r="J51" s="31">
        <f t="shared" si="6"/>
        <v>0.3327803583</v>
      </c>
      <c r="K51" s="32"/>
      <c r="L51" s="17"/>
      <c r="M51" s="18"/>
      <c r="N51" s="17"/>
      <c r="O51" s="22"/>
      <c r="P51" s="17"/>
      <c r="Q51" s="23"/>
      <c r="R51" s="17"/>
      <c r="S51" s="18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8"/>
      <c r="AH51" s="17"/>
      <c r="AI51" s="22"/>
      <c r="AJ51" s="17"/>
      <c r="AK51" s="17"/>
      <c r="AL51" s="17"/>
      <c r="AM51" s="17"/>
      <c r="AN51" s="17"/>
      <c r="AO51" s="17"/>
      <c r="AP51" s="17"/>
      <c r="AQ51" s="17"/>
      <c r="AR51" s="23"/>
      <c r="AS51" s="17"/>
      <c r="AT51" s="17"/>
      <c r="AU51" s="18"/>
      <c r="AV51" s="17"/>
      <c r="AW51" s="17"/>
      <c r="AX51" s="17"/>
      <c r="AY51" s="17"/>
    </row>
    <row r="52" ht="15.0" hidden="1" customHeight="1">
      <c r="A52" s="47">
        <v>40028.0</v>
      </c>
      <c r="B52" s="17">
        <v>14.63</v>
      </c>
      <c r="C52" s="17">
        <v>10787.15</v>
      </c>
      <c r="D52" s="17"/>
      <c r="E52" s="33">
        <f t="shared" si="3"/>
        <v>-0.05323945134</v>
      </c>
      <c r="F52" s="32">
        <f t="shared" si="4"/>
        <v>-0.04732913822</v>
      </c>
      <c r="G52" s="33"/>
      <c r="H52" s="49">
        <v>0.2</v>
      </c>
      <c r="I52" s="33">
        <f t="shared" si="5"/>
        <v>0.25</v>
      </c>
      <c r="J52" s="31">
        <f t="shared" si="6"/>
        <v>0.3327803583</v>
      </c>
      <c r="K52" s="32"/>
      <c r="L52" s="17"/>
      <c r="M52" s="18"/>
      <c r="N52" s="17"/>
      <c r="O52" s="22"/>
      <c r="P52" s="17"/>
      <c r="Q52" s="23"/>
      <c r="R52" s="17"/>
      <c r="S52" s="18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  <c r="AH52" s="17"/>
      <c r="AI52" s="22"/>
      <c r="AJ52" s="17"/>
      <c r="AK52" s="17"/>
      <c r="AL52" s="17"/>
      <c r="AM52" s="17"/>
      <c r="AN52" s="17"/>
      <c r="AO52" s="17"/>
      <c r="AP52" s="17"/>
      <c r="AQ52" s="17"/>
      <c r="AR52" s="23"/>
      <c r="AS52" s="17"/>
      <c r="AT52" s="17"/>
      <c r="AU52" s="18"/>
      <c r="AV52" s="17"/>
      <c r="AW52" s="17"/>
      <c r="AX52" s="17"/>
      <c r="AY52" s="17"/>
    </row>
    <row r="53" ht="15.0" hidden="1" customHeight="1">
      <c r="A53" s="47">
        <v>39995.0</v>
      </c>
      <c r="B53" s="17">
        <v>14.9</v>
      </c>
      <c r="C53" s="17">
        <v>10374.91</v>
      </c>
      <c r="D53" s="17"/>
      <c r="E53" s="33">
        <f t="shared" si="3"/>
        <v>0.01828699792</v>
      </c>
      <c r="F53" s="32">
        <f t="shared" si="4"/>
        <v>-0.007486403236</v>
      </c>
      <c r="G53" s="33"/>
      <c r="H53" s="49">
        <v>0.2</v>
      </c>
      <c r="I53" s="33">
        <f t="shared" si="5"/>
        <v>0.25</v>
      </c>
      <c r="J53" s="31">
        <f t="shared" si="6"/>
        <v>0.3327803583</v>
      </c>
      <c r="K53" s="32"/>
      <c r="L53" s="17"/>
      <c r="M53" s="18"/>
      <c r="N53" s="17"/>
      <c r="O53" s="22"/>
      <c r="P53" s="17"/>
      <c r="Q53" s="23"/>
      <c r="R53" s="17"/>
      <c r="S53" s="18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  <c r="AH53" s="17"/>
      <c r="AI53" s="22"/>
      <c r="AJ53" s="17"/>
      <c r="AK53" s="17"/>
      <c r="AL53" s="17"/>
      <c r="AM53" s="17"/>
      <c r="AN53" s="17"/>
      <c r="AO53" s="17"/>
      <c r="AP53" s="17"/>
      <c r="AQ53" s="17"/>
      <c r="AR53" s="23"/>
      <c r="AS53" s="17"/>
      <c r="AT53" s="17"/>
      <c r="AU53" s="18"/>
      <c r="AV53" s="17"/>
      <c r="AW53" s="17"/>
      <c r="AX53" s="17"/>
      <c r="AY53" s="17"/>
    </row>
    <row r="54" ht="15.0" hidden="1" customHeight="1">
      <c r="A54" s="47">
        <v>39965.0</v>
      </c>
      <c r="B54" s="17">
        <v>14.28</v>
      </c>
      <c r="C54" s="17">
        <v>10370.07</v>
      </c>
      <c r="D54" s="17"/>
      <c r="E54" s="33">
        <f t="shared" si="3"/>
        <v>-0.04250125604</v>
      </c>
      <c r="F54" s="32">
        <f t="shared" si="4"/>
        <v>-0.03896521954</v>
      </c>
      <c r="G54" s="33"/>
      <c r="H54" s="49">
        <v>0.2</v>
      </c>
      <c r="I54" s="33">
        <f t="shared" si="5"/>
        <v>0.25</v>
      </c>
      <c r="J54" s="31">
        <f t="shared" si="6"/>
        <v>0.3327803583</v>
      </c>
      <c r="K54" s="32"/>
      <c r="L54" s="17"/>
      <c r="M54" s="18"/>
      <c r="N54" s="17"/>
      <c r="O54" s="22"/>
      <c r="P54" s="17"/>
      <c r="Q54" s="23"/>
      <c r="R54" s="17"/>
      <c r="S54" s="18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  <c r="AH54" s="17"/>
      <c r="AI54" s="22"/>
      <c r="AJ54" s="17"/>
      <c r="AK54" s="17"/>
      <c r="AL54" s="17"/>
      <c r="AM54" s="17"/>
      <c r="AN54" s="17"/>
      <c r="AO54" s="17"/>
      <c r="AP54" s="17"/>
      <c r="AQ54" s="17"/>
      <c r="AR54" s="23"/>
      <c r="AS54" s="17"/>
      <c r="AT54" s="17"/>
      <c r="AU54" s="18"/>
      <c r="AV54" s="17"/>
      <c r="AW54" s="17"/>
      <c r="AX54" s="17"/>
      <c r="AY54" s="17"/>
    </row>
    <row r="55" ht="15.0" hidden="1" customHeight="1">
      <c r="A55" s="47">
        <v>39934.0</v>
      </c>
      <c r="B55" s="17">
        <v>14.67</v>
      </c>
      <c r="C55" s="17">
        <v>9324.83</v>
      </c>
      <c r="D55" s="17"/>
      <c r="E55" s="33">
        <f t="shared" si="3"/>
        <v>0.02694463524</v>
      </c>
      <c r="F55" s="32">
        <f t="shared" si="4"/>
        <v>-0.0004666189206</v>
      </c>
      <c r="G55" s="33"/>
      <c r="H55" s="49">
        <v>0.2</v>
      </c>
      <c r="I55" s="33">
        <f t="shared" si="5"/>
        <v>0.25</v>
      </c>
      <c r="J55" s="31">
        <f t="shared" si="6"/>
        <v>0.3327803583</v>
      </c>
      <c r="K55" s="32"/>
      <c r="L55" s="17"/>
      <c r="M55" s="18"/>
      <c r="N55" s="17"/>
      <c r="O55" s="22"/>
      <c r="P55" s="17"/>
      <c r="Q55" s="23"/>
      <c r="R55" s="17"/>
      <c r="S55" s="18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8"/>
      <c r="AH55" s="17"/>
      <c r="AI55" s="22"/>
      <c r="AJ55" s="17"/>
      <c r="AK55" s="17"/>
      <c r="AL55" s="17"/>
      <c r="AM55" s="17"/>
      <c r="AN55" s="17"/>
      <c r="AO55" s="17"/>
      <c r="AP55" s="17"/>
      <c r="AQ55" s="17"/>
      <c r="AR55" s="23"/>
      <c r="AS55" s="17"/>
      <c r="AT55" s="17"/>
      <c r="AU55" s="18"/>
      <c r="AV55" s="17"/>
      <c r="AW55" s="17"/>
      <c r="AX55" s="17"/>
      <c r="AY55" s="17"/>
    </row>
    <row r="56" ht="15.0" hidden="1" customHeight="1">
      <c r="A56" s="47">
        <v>39904.0</v>
      </c>
      <c r="B56" s="17">
        <v>12.96</v>
      </c>
      <c r="C56" s="17">
        <v>8720.39</v>
      </c>
      <c r="D56" s="17"/>
      <c r="E56" s="33">
        <f t="shared" si="3"/>
        <v>-0.1239369012</v>
      </c>
      <c r="F56" s="32">
        <f t="shared" si="4"/>
        <v>-0.1062430377</v>
      </c>
      <c r="G56" s="33"/>
      <c r="H56" s="49">
        <v>0.2</v>
      </c>
      <c r="I56" s="33">
        <f t="shared" si="5"/>
        <v>0.25</v>
      </c>
      <c r="J56" s="31">
        <f t="shared" si="6"/>
        <v>0.3327803583</v>
      </c>
      <c r="K56" s="32"/>
      <c r="L56" s="17"/>
      <c r="M56" s="18"/>
      <c r="N56" s="17"/>
      <c r="O56" s="22"/>
      <c r="P56" s="17"/>
      <c r="Q56" s="23"/>
      <c r="R56" s="17"/>
      <c r="S56" s="18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8"/>
      <c r="AH56" s="17"/>
      <c r="AI56" s="22"/>
      <c r="AJ56" s="17"/>
      <c r="AK56" s="17"/>
      <c r="AL56" s="17"/>
      <c r="AM56" s="17"/>
      <c r="AN56" s="17"/>
      <c r="AO56" s="17"/>
      <c r="AP56" s="17"/>
      <c r="AQ56" s="17"/>
      <c r="AR56" s="23"/>
      <c r="AS56" s="17"/>
      <c r="AT56" s="17"/>
      <c r="AU56" s="18"/>
      <c r="AV56" s="17"/>
      <c r="AW56" s="17"/>
      <c r="AX56" s="17"/>
      <c r="AY56" s="17"/>
    </row>
    <row r="57" ht="15.0" hidden="1" customHeight="1">
      <c r="A57" s="47">
        <v>39874.0</v>
      </c>
      <c r="B57" s="17">
        <v>12.69</v>
      </c>
      <c r="C57" s="17">
        <v>8123.02</v>
      </c>
      <c r="D57" s="17"/>
      <c r="E57" s="33">
        <f t="shared" si="3"/>
        <v>-0.0210534092</v>
      </c>
      <c r="F57" s="32">
        <f t="shared" si="4"/>
        <v>-0.06701677311</v>
      </c>
      <c r="G57" s="33"/>
      <c r="H57" s="49">
        <v>0.2</v>
      </c>
      <c r="I57" s="33">
        <f t="shared" si="5"/>
        <v>0.25</v>
      </c>
      <c r="J57" s="31">
        <f t="shared" si="6"/>
        <v>0.3327803583</v>
      </c>
      <c r="K57" s="32"/>
      <c r="L57" s="17"/>
      <c r="M57" s="18"/>
      <c r="N57" s="17"/>
      <c r="O57" s="22"/>
      <c r="P57" s="17"/>
      <c r="Q57" s="23"/>
      <c r="R57" s="17"/>
      <c r="S57" s="18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8"/>
      <c r="AH57" s="17"/>
      <c r="AI57" s="22"/>
      <c r="AJ57" s="17"/>
      <c r="AK57" s="17"/>
      <c r="AL57" s="17"/>
      <c r="AM57" s="17"/>
      <c r="AN57" s="17"/>
      <c r="AO57" s="17"/>
      <c r="AP57" s="17"/>
      <c r="AQ57" s="17"/>
      <c r="AR57" s="23"/>
      <c r="AS57" s="17"/>
      <c r="AT57" s="17"/>
      <c r="AU57" s="18"/>
      <c r="AV57" s="17"/>
      <c r="AW57" s="17"/>
      <c r="AX57" s="17"/>
      <c r="AY57" s="17"/>
    </row>
    <row r="58" ht="15.0" hidden="1" customHeight="1">
      <c r="A58" s="47">
        <v>39846.0</v>
      </c>
      <c r="B58" s="17">
        <v>12.28</v>
      </c>
      <c r="C58" s="17">
        <v>8624.83</v>
      </c>
      <c r="D58" s="17"/>
      <c r="E58" s="33">
        <f t="shared" si="3"/>
        <v>-0.03284235901</v>
      </c>
      <c r="F58" s="32">
        <f t="shared" si="4"/>
        <v>-0.07096195548</v>
      </c>
      <c r="G58" s="33"/>
      <c r="H58" s="49">
        <v>0.2</v>
      </c>
      <c r="I58" s="33">
        <f t="shared" si="5"/>
        <v>0.25</v>
      </c>
      <c r="J58" s="31">
        <f t="shared" si="6"/>
        <v>0.3327803583</v>
      </c>
      <c r="K58" s="32"/>
      <c r="L58" s="17"/>
      <c r="M58" s="18"/>
      <c r="N58" s="17"/>
      <c r="O58" s="22"/>
      <c r="P58" s="17"/>
      <c r="Q58" s="23"/>
      <c r="R58" s="17"/>
      <c r="S58" s="18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8"/>
      <c r="AH58" s="17"/>
      <c r="AI58" s="22"/>
      <c r="AJ58" s="17"/>
      <c r="AK58" s="17"/>
      <c r="AL58" s="17"/>
      <c r="AM58" s="17"/>
      <c r="AN58" s="17"/>
      <c r="AO58" s="17"/>
      <c r="AP58" s="17"/>
      <c r="AQ58" s="17"/>
      <c r="AR58" s="23"/>
      <c r="AS58" s="17"/>
      <c r="AT58" s="17"/>
      <c r="AU58" s="18"/>
      <c r="AV58" s="17"/>
      <c r="AW58" s="17"/>
      <c r="AX58" s="17"/>
      <c r="AY58" s="17"/>
    </row>
    <row r="59" ht="15.0" hidden="1" customHeight="1">
      <c r="A59" s="47">
        <v>39815.0</v>
      </c>
      <c r="B59" s="17">
        <v>13.43</v>
      </c>
      <c r="C59" s="17">
        <v>8700.04</v>
      </c>
      <c r="D59" s="17"/>
      <c r="E59" s="33">
        <f t="shared" si="3"/>
        <v>0.08951908782</v>
      </c>
      <c r="F59" s="32">
        <f t="shared" si="4"/>
        <v>0.05994324637</v>
      </c>
      <c r="G59" s="33"/>
      <c r="H59" s="49">
        <v>0.2</v>
      </c>
      <c r="I59" s="33">
        <f t="shared" si="5"/>
        <v>0.25</v>
      </c>
      <c r="J59" s="31">
        <f t="shared" si="6"/>
        <v>0.3327803583</v>
      </c>
      <c r="K59" s="32"/>
      <c r="L59" s="17"/>
      <c r="M59" s="18"/>
      <c r="N59" s="17"/>
      <c r="O59" s="22"/>
      <c r="P59" s="17"/>
      <c r="Q59" s="23"/>
      <c r="R59" s="17"/>
      <c r="S59" s="18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8"/>
      <c r="AH59" s="17"/>
      <c r="AI59" s="22"/>
      <c r="AJ59" s="17"/>
      <c r="AK59" s="17"/>
      <c r="AL59" s="17"/>
      <c r="AM59" s="17"/>
      <c r="AN59" s="17"/>
      <c r="AO59" s="17"/>
      <c r="AP59" s="17"/>
      <c r="AQ59" s="17"/>
      <c r="AR59" s="23"/>
      <c r="AS59" s="17"/>
      <c r="AT59" s="17"/>
      <c r="AU59" s="18"/>
      <c r="AV59" s="17"/>
      <c r="AW59" s="17"/>
      <c r="AX59" s="17"/>
      <c r="AY59" s="17"/>
    </row>
    <row r="60" ht="15.0" hidden="1" customHeight="1">
      <c r="A60" s="47">
        <v>39783.0</v>
      </c>
      <c r="B60" s="17">
        <v>14.65</v>
      </c>
      <c r="C60" s="17">
        <v>8406.21</v>
      </c>
      <c r="D60" s="17"/>
      <c r="E60" s="33">
        <f t="shared" si="3"/>
        <v>0.08694932493</v>
      </c>
      <c r="F60" s="32">
        <f t="shared" si="4"/>
        <v>0.008682370773</v>
      </c>
      <c r="G60" s="33"/>
      <c r="H60" s="49">
        <v>0.2</v>
      </c>
      <c r="I60" s="33">
        <f t="shared" si="5"/>
        <v>0.25</v>
      </c>
      <c r="J60" s="31">
        <f t="shared" si="6"/>
        <v>0.3327803583</v>
      </c>
      <c r="K60" s="32"/>
      <c r="L60" s="17"/>
      <c r="M60" s="18"/>
      <c r="N60" s="17"/>
      <c r="O60" s="22"/>
      <c r="P60" s="17"/>
      <c r="Q60" s="23"/>
      <c r="R60" s="17"/>
      <c r="S60" s="18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8"/>
      <c r="AH60" s="17"/>
      <c r="AI60" s="22"/>
      <c r="AJ60" s="17"/>
      <c r="AK60" s="17"/>
      <c r="AL60" s="17"/>
      <c r="AM60" s="17"/>
      <c r="AN60" s="17"/>
      <c r="AO60" s="17"/>
      <c r="AP60" s="17"/>
      <c r="AQ60" s="17"/>
      <c r="AR60" s="23"/>
      <c r="AS60" s="17"/>
      <c r="AT60" s="17"/>
      <c r="AU60" s="18"/>
      <c r="AV60" s="17"/>
      <c r="AW60" s="17"/>
      <c r="AX60" s="17"/>
      <c r="AY60" s="17"/>
    </row>
    <row r="61" ht="15.0" hidden="1" customHeight="1">
      <c r="A61" s="47">
        <v>39755.0</v>
      </c>
      <c r="B61" s="17">
        <v>14.12</v>
      </c>
      <c r="C61" s="17">
        <v>9721.26</v>
      </c>
      <c r="D61" s="17"/>
      <c r="E61" s="33">
        <f t="shared" si="3"/>
        <v>-0.0368481034</v>
      </c>
      <c r="F61" s="32">
        <f t="shared" si="4"/>
        <v>-0.03435690492</v>
      </c>
      <c r="G61" s="33"/>
      <c r="H61" s="49">
        <v>0.2</v>
      </c>
      <c r="I61" s="33">
        <f t="shared" si="5"/>
        <v>0.25</v>
      </c>
      <c r="J61" s="31">
        <f t="shared" si="6"/>
        <v>0.3327803583</v>
      </c>
      <c r="K61" s="32"/>
      <c r="L61" s="17"/>
      <c r="M61" s="18"/>
      <c r="N61" s="17"/>
      <c r="O61" s="22"/>
      <c r="P61" s="17"/>
      <c r="Q61" s="23"/>
      <c r="R61" s="17"/>
      <c r="S61" s="18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8"/>
      <c r="AH61" s="17"/>
      <c r="AI61" s="22"/>
      <c r="AJ61" s="17"/>
      <c r="AK61" s="17"/>
      <c r="AL61" s="17"/>
      <c r="AM61" s="17"/>
      <c r="AN61" s="17"/>
      <c r="AO61" s="17"/>
      <c r="AP61" s="17"/>
      <c r="AQ61" s="17"/>
      <c r="AR61" s="23"/>
      <c r="AS61" s="17"/>
      <c r="AT61" s="17"/>
      <c r="AU61" s="18"/>
      <c r="AV61" s="17"/>
      <c r="AW61" s="17"/>
      <c r="AX61" s="17"/>
      <c r="AY61" s="17"/>
    </row>
    <row r="62" ht="15.0" hidden="1" customHeight="1">
      <c r="A62" s="47">
        <v>39722.0</v>
      </c>
      <c r="B62" s="17">
        <v>14.65</v>
      </c>
      <c r="C62" s="17">
        <v>11714.51</v>
      </c>
      <c r="D62" s="17"/>
      <c r="E62" s="33">
        <f t="shared" si="3"/>
        <v>0.0368481034</v>
      </c>
      <c r="F62" s="32">
        <f t="shared" si="4"/>
        <v>0.1453445213</v>
      </c>
      <c r="G62" s="33"/>
      <c r="H62" s="49">
        <v>0.2</v>
      </c>
      <c r="I62" s="33">
        <f t="shared" si="5"/>
        <v>0.25</v>
      </c>
      <c r="J62" s="31">
        <f t="shared" si="6"/>
        <v>0.3327803583</v>
      </c>
      <c r="K62" s="32"/>
      <c r="L62" s="17"/>
      <c r="M62" s="18"/>
      <c r="N62" s="17"/>
      <c r="O62" s="22"/>
      <c r="P62" s="17"/>
      <c r="Q62" s="23"/>
      <c r="R62" s="17"/>
      <c r="S62" s="18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8"/>
      <c r="AH62" s="17"/>
      <c r="AI62" s="22"/>
      <c r="AJ62" s="17"/>
      <c r="AK62" s="17"/>
      <c r="AL62" s="17"/>
      <c r="AM62" s="17"/>
      <c r="AN62" s="17"/>
      <c r="AO62" s="17"/>
      <c r="AP62" s="17"/>
      <c r="AQ62" s="17"/>
      <c r="AR62" s="23"/>
      <c r="AS62" s="17"/>
      <c r="AT62" s="17"/>
      <c r="AU62" s="18"/>
      <c r="AV62" s="17"/>
      <c r="AW62" s="17"/>
      <c r="AX62" s="17"/>
      <c r="AY62" s="17"/>
    </row>
    <row r="63" ht="15.0" hidden="1" customHeight="1">
      <c r="A63" s="47">
        <v>39693.0</v>
      </c>
      <c r="B63" s="17">
        <v>16.68</v>
      </c>
      <c r="C63" s="17">
        <v>13299.54</v>
      </c>
      <c r="D63" s="17"/>
      <c r="E63" s="33">
        <f t="shared" si="3"/>
        <v>0.1297700615</v>
      </c>
      <c r="F63" s="32">
        <f t="shared" si="4"/>
        <v>0.1865130047</v>
      </c>
      <c r="G63" s="33"/>
      <c r="H63" s="49">
        <v>0.2</v>
      </c>
      <c r="I63" s="33">
        <f t="shared" si="5"/>
        <v>0.25</v>
      </c>
      <c r="J63" s="31">
        <f t="shared" si="6"/>
        <v>0.3327803583</v>
      </c>
      <c r="K63" s="32"/>
      <c r="L63" s="17"/>
      <c r="M63" s="18"/>
      <c r="N63" s="17"/>
      <c r="O63" s="22"/>
      <c r="P63" s="17"/>
      <c r="Q63" s="23"/>
      <c r="R63" s="17"/>
      <c r="S63" s="18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8"/>
      <c r="AH63" s="17"/>
      <c r="AI63" s="22"/>
      <c r="AJ63" s="17"/>
      <c r="AK63" s="17"/>
      <c r="AL63" s="17"/>
      <c r="AM63" s="17"/>
      <c r="AN63" s="17"/>
      <c r="AO63" s="17"/>
      <c r="AP63" s="17"/>
      <c r="AQ63" s="17"/>
      <c r="AR63" s="23"/>
      <c r="AS63" s="17"/>
      <c r="AT63" s="17"/>
      <c r="AU63" s="18"/>
      <c r="AV63" s="17"/>
      <c r="AW63" s="17"/>
      <c r="AX63" s="17"/>
      <c r="AY63" s="17"/>
    </row>
    <row r="64" ht="15.0" hidden="1" customHeight="1">
      <c r="A64" s="47">
        <v>39661.0</v>
      </c>
      <c r="B64" s="17">
        <v>17.6</v>
      </c>
      <c r="C64" s="17">
        <v>13496.53</v>
      </c>
      <c r="D64" s="17"/>
      <c r="E64" s="33">
        <f t="shared" si="3"/>
        <v>0.05368850511</v>
      </c>
      <c r="F64" s="32">
        <f t="shared" si="4"/>
        <v>0.1269012038</v>
      </c>
      <c r="G64" s="33"/>
      <c r="H64" s="49">
        <v>0.2</v>
      </c>
      <c r="I64" s="33">
        <f t="shared" si="5"/>
        <v>0.25</v>
      </c>
      <c r="J64" s="31">
        <f t="shared" si="6"/>
        <v>0.3327803583</v>
      </c>
      <c r="K64" s="32"/>
      <c r="L64" s="17"/>
      <c r="M64" s="18"/>
      <c r="N64" s="17"/>
      <c r="O64" s="22"/>
      <c r="P64" s="17"/>
      <c r="Q64" s="23"/>
      <c r="R64" s="17"/>
      <c r="S64" s="18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8"/>
      <c r="AH64" s="17"/>
      <c r="AI64" s="22"/>
      <c r="AJ64" s="17"/>
      <c r="AK64" s="17"/>
      <c r="AL64" s="17"/>
      <c r="AM64" s="17"/>
      <c r="AN64" s="17"/>
      <c r="AO64" s="17"/>
      <c r="AP64" s="17"/>
      <c r="AQ64" s="17"/>
      <c r="AR64" s="23"/>
      <c r="AS64" s="17"/>
      <c r="AT64" s="17"/>
      <c r="AU64" s="18"/>
      <c r="AV64" s="17"/>
      <c r="AW64" s="17"/>
      <c r="AX64" s="17"/>
      <c r="AY64" s="17"/>
    </row>
    <row r="65" ht="15.0" hidden="1" customHeight="1">
      <c r="A65" s="47">
        <v>39630.0</v>
      </c>
      <c r="B65" s="17">
        <v>17.11</v>
      </c>
      <c r="C65" s="17">
        <v>14034.11</v>
      </c>
      <c r="D65" s="17"/>
      <c r="E65" s="33">
        <f t="shared" si="3"/>
        <v>-0.02823581414</v>
      </c>
      <c r="F65" s="32">
        <f t="shared" si="4"/>
        <v>0.0147031672</v>
      </c>
      <c r="G65" s="33"/>
      <c r="H65" s="49">
        <v>0.2</v>
      </c>
      <c r="I65" s="33">
        <f t="shared" si="5"/>
        <v>0.25</v>
      </c>
      <c r="J65" s="31">
        <f t="shared" si="6"/>
        <v>0.3327803583</v>
      </c>
      <c r="K65" s="32"/>
      <c r="L65" s="17"/>
      <c r="M65" s="18"/>
      <c r="N65" s="17"/>
      <c r="O65" s="22"/>
      <c r="P65" s="17"/>
      <c r="Q65" s="23"/>
      <c r="R65" s="17"/>
      <c r="S65" s="18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8"/>
      <c r="AH65" s="17"/>
      <c r="AI65" s="22"/>
      <c r="AJ65" s="17"/>
      <c r="AK65" s="17"/>
      <c r="AL65" s="17"/>
      <c r="AM65" s="17"/>
      <c r="AN65" s="17"/>
      <c r="AO65" s="17"/>
      <c r="AP65" s="17"/>
      <c r="AQ65" s="17"/>
      <c r="AR65" s="23"/>
      <c r="AS65" s="17"/>
      <c r="AT65" s="17"/>
      <c r="AU65" s="18"/>
      <c r="AV65" s="17"/>
      <c r="AW65" s="17"/>
      <c r="AX65" s="17"/>
      <c r="AY65" s="17"/>
    </row>
    <row r="66" ht="15.0" hidden="1" customHeight="1">
      <c r="A66" s="47">
        <v>39601.0</v>
      </c>
      <c r="B66" s="17">
        <v>16.56</v>
      </c>
      <c r="C66" s="17">
        <v>14814.18</v>
      </c>
      <c r="D66" s="17"/>
      <c r="E66" s="33">
        <f t="shared" si="3"/>
        <v>-0.03267293895</v>
      </c>
      <c r="F66" s="32">
        <f t="shared" si="4"/>
        <v>0.03905817954</v>
      </c>
      <c r="G66" s="33"/>
      <c r="H66" s="49">
        <v>0.2</v>
      </c>
      <c r="I66" s="33">
        <f t="shared" si="5"/>
        <v>0.25</v>
      </c>
      <c r="J66" s="31">
        <f t="shared" si="6"/>
        <v>0.3327803583</v>
      </c>
      <c r="K66" s="32"/>
      <c r="L66" s="17"/>
      <c r="M66" s="18"/>
      <c r="N66" s="17"/>
      <c r="O66" s="22"/>
      <c r="P66" s="17"/>
      <c r="Q66" s="23"/>
      <c r="R66" s="17"/>
      <c r="S66" s="18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8"/>
      <c r="AH66" s="17"/>
      <c r="AI66" s="22"/>
      <c r="AJ66" s="17"/>
      <c r="AK66" s="17"/>
      <c r="AL66" s="17"/>
      <c r="AM66" s="17"/>
      <c r="AN66" s="17"/>
      <c r="AO66" s="17"/>
      <c r="AP66" s="17"/>
      <c r="AQ66" s="17"/>
      <c r="AR66" s="23"/>
      <c r="AS66" s="17"/>
      <c r="AT66" s="17"/>
      <c r="AU66" s="18"/>
      <c r="AV66" s="17"/>
      <c r="AW66" s="17"/>
      <c r="AX66" s="17"/>
      <c r="AY66" s="17"/>
    </row>
    <row r="67" ht="15.0" hidden="1" customHeight="1">
      <c r="A67" s="47">
        <v>39569.0</v>
      </c>
      <c r="B67" s="17">
        <v>16.81</v>
      </c>
      <c r="C67" s="17">
        <v>14065.81</v>
      </c>
      <c r="D67" s="17"/>
      <c r="E67" s="33">
        <f t="shared" si="3"/>
        <v>0.01498379846</v>
      </c>
      <c r="F67" s="32">
        <f t="shared" si="4"/>
        <v>0.05409403528</v>
      </c>
      <c r="G67" s="33"/>
      <c r="H67" s="49">
        <v>0.2</v>
      </c>
      <c r="I67" s="33">
        <f t="shared" si="5"/>
        <v>0.25</v>
      </c>
      <c r="J67" s="31">
        <f t="shared" si="6"/>
        <v>0.3327803583</v>
      </c>
      <c r="K67" s="32"/>
      <c r="L67" s="17"/>
      <c r="M67" s="18"/>
      <c r="N67" s="17"/>
      <c r="O67" s="22"/>
      <c r="P67" s="17"/>
      <c r="Q67" s="23"/>
      <c r="R67" s="17"/>
      <c r="S67" s="18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8"/>
      <c r="AH67" s="17"/>
      <c r="AI67" s="22"/>
      <c r="AJ67" s="17"/>
      <c r="AK67" s="17"/>
      <c r="AL67" s="17"/>
      <c r="AM67" s="17"/>
      <c r="AN67" s="17"/>
      <c r="AO67" s="17"/>
      <c r="AP67" s="17"/>
      <c r="AQ67" s="17"/>
      <c r="AR67" s="23"/>
      <c r="AS67" s="17"/>
      <c r="AT67" s="17"/>
      <c r="AU67" s="18"/>
      <c r="AV67" s="17"/>
      <c r="AW67" s="17"/>
      <c r="AX67" s="17"/>
      <c r="AY67" s="17"/>
    </row>
    <row r="68" ht="15.0" hidden="1" customHeight="1">
      <c r="A68" s="47">
        <v>39539.0</v>
      </c>
      <c r="B68" s="17">
        <v>17.18</v>
      </c>
      <c r="C68" s="17">
        <v>13440.72</v>
      </c>
      <c r="D68" s="17"/>
      <c r="E68" s="33">
        <f t="shared" si="3"/>
        <v>0.02177196914</v>
      </c>
      <c r="F68" s="32">
        <f t="shared" si="4"/>
        <v>-0.05183780014</v>
      </c>
      <c r="G68" s="33"/>
      <c r="H68" s="49">
        <v>0.2</v>
      </c>
      <c r="I68" s="33">
        <f t="shared" si="5"/>
        <v>0.25</v>
      </c>
      <c r="J68" s="31">
        <f t="shared" si="6"/>
        <v>0.3327803583</v>
      </c>
      <c r="K68" s="32"/>
      <c r="L68" s="17"/>
      <c r="M68" s="18"/>
      <c r="N68" s="17"/>
      <c r="O68" s="22"/>
      <c r="P68" s="17"/>
      <c r="Q68" s="23"/>
      <c r="R68" s="17"/>
      <c r="S68" s="18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8"/>
      <c r="AH68" s="17"/>
      <c r="AI68" s="22"/>
      <c r="AJ68" s="17"/>
      <c r="AK68" s="17"/>
      <c r="AL68" s="17"/>
      <c r="AM68" s="17"/>
      <c r="AN68" s="17"/>
      <c r="AO68" s="17"/>
      <c r="AP68" s="17"/>
      <c r="AQ68" s="17"/>
      <c r="AR68" s="23"/>
      <c r="AS68" s="17"/>
      <c r="AT68" s="17"/>
      <c r="AU68" s="18"/>
      <c r="AV68" s="17"/>
      <c r="AW68" s="17"/>
      <c r="AX68" s="17"/>
      <c r="AY68" s="17"/>
    </row>
    <row r="69" ht="15.0" hidden="1" customHeight="1">
      <c r="A69" s="47">
        <v>39510.0</v>
      </c>
      <c r="B69" s="17">
        <v>14.66</v>
      </c>
      <c r="C69" s="17">
        <v>13544.38</v>
      </c>
      <c r="D69" s="17"/>
      <c r="E69" s="33">
        <f t="shared" si="3"/>
        <v>-0.1586232201</v>
      </c>
      <c r="F69" s="32">
        <f t="shared" si="4"/>
        <v>-0.04545812496</v>
      </c>
      <c r="G69" s="33"/>
      <c r="H69" s="49">
        <v>0.2</v>
      </c>
      <c r="I69" s="33">
        <f t="shared" si="5"/>
        <v>0.25</v>
      </c>
      <c r="J69" s="31">
        <f t="shared" si="6"/>
        <v>0.3327803583</v>
      </c>
      <c r="K69" s="32"/>
      <c r="L69" s="17"/>
      <c r="M69" s="18"/>
      <c r="N69" s="17"/>
      <c r="O69" s="22"/>
      <c r="P69" s="17"/>
      <c r="Q69" s="23"/>
      <c r="R69" s="17"/>
      <c r="S69" s="18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8"/>
      <c r="AH69" s="17"/>
      <c r="AI69" s="22"/>
      <c r="AJ69" s="17"/>
      <c r="AK69" s="17"/>
      <c r="AL69" s="17"/>
      <c r="AM69" s="17"/>
      <c r="AN69" s="17"/>
      <c r="AO69" s="17"/>
      <c r="AP69" s="17"/>
      <c r="AQ69" s="17"/>
      <c r="AR69" s="23"/>
      <c r="AS69" s="17"/>
      <c r="AT69" s="17"/>
      <c r="AU69" s="18"/>
      <c r="AV69" s="17"/>
      <c r="AW69" s="17"/>
      <c r="AX69" s="17"/>
      <c r="AY69" s="17"/>
    </row>
    <row r="70" ht="15.0" hidden="1" customHeight="1">
      <c r="A70" s="47">
        <v>39479.0</v>
      </c>
      <c r="B70" s="17">
        <v>15.66</v>
      </c>
      <c r="C70" s="17">
        <v>13318.37</v>
      </c>
      <c r="D70" s="17"/>
      <c r="E70" s="33">
        <f t="shared" si="3"/>
        <v>0.0659869941</v>
      </c>
      <c r="F70" s="32">
        <f t="shared" si="4"/>
        <v>0.007682796053</v>
      </c>
      <c r="G70" s="33"/>
      <c r="H70" s="49">
        <v>0.2</v>
      </c>
      <c r="I70" s="33">
        <f t="shared" si="5"/>
        <v>0.25</v>
      </c>
      <c r="J70" s="31">
        <f t="shared" si="6"/>
        <v>0.3327803583</v>
      </c>
      <c r="K70" s="32"/>
      <c r="L70" s="17"/>
      <c r="M70" s="18"/>
      <c r="N70" s="17"/>
      <c r="O70" s="22"/>
      <c r="P70" s="17"/>
      <c r="Q70" s="23"/>
      <c r="R70" s="17"/>
      <c r="S70" s="18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8"/>
      <c r="AH70" s="17"/>
      <c r="AI70" s="22"/>
      <c r="AJ70" s="17"/>
      <c r="AK70" s="17"/>
      <c r="AL70" s="17"/>
      <c r="AM70" s="17"/>
      <c r="AN70" s="17"/>
      <c r="AO70" s="17"/>
      <c r="AP70" s="17"/>
      <c r="AQ70" s="17"/>
      <c r="AR70" s="23"/>
      <c r="AS70" s="17"/>
      <c r="AT70" s="17"/>
      <c r="AU70" s="18"/>
      <c r="AV70" s="17"/>
      <c r="AW70" s="17"/>
      <c r="AX70" s="17"/>
      <c r="AY70" s="17"/>
    </row>
    <row r="71" ht="15.75" customHeight="1">
      <c r="A71" s="47">
        <v>39449.0</v>
      </c>
      <c r="B71" s="17">
        <v>15.8</v>
      </c>
      <c r="C71" s="17">
        <v>13926.76</v>
      </c>
      <c r="D71" s="17"/>
      <c r="E71" s="33">
        <f t="shared" si="3"/>
        <v>0.00890024947</v>
      </c>
      <c r="F71" s="32">
        <f t="shared" si="4"/>
        <v>-0.01682741589</v>
      </c>
      <c r="G71" s="33"/>
      <c r="H71" s="49">
        <v>0.3</v>
      </c>
      <c r="I71" s="33">
        <f t="shared" si="5"/>
        <v>0.4285714286</v>
      </c>
      <c r="J71" s="31">
        <f t="shared" si="6"/>
        <v>0.3690397194</v>
      </c>
      <c r="K71" s="32"/>
      <c r="L71" s="17"/>
      <c r="M71" s="18"/>
      <c r="N71" s="17"/>
      <c r="O71" s="22" t="s">
        <v>337</v>
      </c>
      <c r="P71" s="17"/>
      <c r="Q71" s="23"/>
      <c r="R71" s="17"/>
      <c r="S71" s="18"/>
      <c r="T71" s="17"/>
      <c r="U71" s="54" t="s">
        <v>338</v>
      </c>
      <c r="V71" s="55"/>
      <c r="W71" s="55"/>
      <c r="X71" s="55"/>
      <c r="Y71" s="55"/>
      <c r="Z71" s="55"/>
      <c r="AA71" s="55"/>
      <c r="AB71" s="55"/>
      <c r="AC71" s="55"/>
      <c r="AD71" s="55"/>
      <c r="AE71" s="56"/>
      <c r="AF71" s="17"/>
      <c r="AG71" s="18"/>
      <c r="AH71" s="17"/>
      <c r="AI71" s="22"/>
      <c r="AJ71" s="17"/>
      <c r="AK71" s="17"/>
      <c r="AL71" s="17"/>
      <c r="AM71" s="17"/>
      <c r="AN71" s="17"/>
      <c r="AO71" s="17"/>
      <c r="AP71" s="17"/>
      <c r="AQ71" s="17"/>
      <c r="AR71" s="23"/>
      <c r="AS71" s="17"/>
      <c r="AT71" s="17"/>
      <c r="AU71" s="18"/>
      <c r="AV71" s="17"/>
      <c r="AW71" s="17"/>
      <c r="AX71" s="17"/>
      <c r="AY71" s="17"/>
    </row>
    <row r="72" ht="15.75" customHeight="1">
      <c r="A72" s="57"/>
      <c r="B72" s="58"/>
      <c r="C72" s="58"/>
      <c r="D72" s="58"/>
      <c r="E72" s="58"/>
      <c r="F72" s="59"/>
      <c r="G72" s="33"/>
      <c r="H72" s="49">
        <v>0.4</v>
      </c>
      <c r="I72" s="33">
        <f t="shared" si="5"/>
        <v>0.6666666667</v>
      </c>
      <c r="J72" s="31">
        <f t="shared" si="6"/>
        <v>0.4173855342</v>
      </c>
      <c r="K72" s="32"/>
      <c r="L72" s="17"/>
      <c r="M72" s="18"/>
      <c r="N72" s="17"/>
      <c r="O72" s="22" t="s">
        <v>339</v>
      </c>
      <c r="P72" s="17"/>
      <c r="Q72" s="23">
        <v>0.68</v>
      </c>
      <c r="R72" s="17"/>
      <c r="S72" s="18"/>
      <c r="T72" s="17"/>
      <c r="U72" s="60" t="s">
        <v>340</v>
      </c>
      <c r="V72" s="56"/>
      <c r="W72" s="61"/>
      <c r="X72" s="60" t="s">
        <v>341</v>
      </c>
      <c r="Y72" s="55"/>
      <c r="Z72" s="55"/>
      <c r="AA72" s="55"/>
      <c r="AB72" s="55"/>
      <c r="AC72" s="55"/>
      <c r="AD72" s="55"/>
      <c r="AE72" s="56"/>
      <c r="AF72" s="17"/>
      <c r="AG72" s="18"/>
      <c r="AH72" s="17"/>
      <c r="AI72" s="22"/>
      <c r="AJ72" s="17"/>
      <c r="AK72" s="17"/>
      <c r="AL72" s="17"/>
      <c r="AM72" s="17"/>
      <c r="AN72" s="17"/>
      <c r="AO72" s="17"/>
      <c r="AP72" s="17"/>
      <c r="AQ72" s="17"/>
      <c r="AR72" s="23"/>
      <c r="AS72" s="17"/>
      <c r="AT72" s="17"/>
      <c r="AU72" s="18"/>
      <c r="AV72" s="17"/>
      <c r="AW72" s="17"/>
      <c r="AX72" s="17"/>
      <c r="AY72" s="17"/>
    </row>
    <row r="73" ht="15.75" customHeight="1">
      <c r="A73" s="22" t="s">
        <v>342</v>
      </c>
      <c r="B73" s="17"/>
      <c r="C73" s="17"/>
      <c r="D73" s="17"/>
      <c r="E73" s="17"/>
      <c r="F73" s="23"/>
      <c r="G73" s="17"/>
      <c r="H73" s="49">
        <v>0.5</v>
      </c>
      <c r="I73" s="33">
        <f t="shared" si="5"/>
        <v>1</v>
      </c>
      <c r="J73" s="31">
        <f t="shared" si="6"/>
        <v>0.4850696749</v>
      </c>
      <c r="K73" s="23"/>
      <c r="L73" s="17"/>
      <c r="M73" s="18"/>
      <c r="N73" s="17"/>
      <c r="O73" s="22" t="s">
        <v>343</v>
      </c>
      <c r="P73" s="17"/>
      <c r="Q73" s="32">
        <v>0.0384</v>
      </c>
      <c r="R73" s="17"/>
      <c r="S73" s="18"/>
      <c r="T73" s="17"/>
      <c r="U73" s="19" t="s">
        <v>344</v>
      </c>
      <c r="V73" s="21"/>
      <c r="W73" s="62">
        <f>('Income Statement'!R27+'Income Statement'!R28)/'Income Statement'!R28</f>
        <v>4.954545455</v>
      </c>
      <c r="X73" s="19"/>
      <c r="Y73" s="20"/>
      <c r="Z73" s="20"/>
      <c r="AA73" s="20"/>
      <c r="AB73" s="20"/>
      <c r="AC73" s="20"/>
      <c r="AD73" s="20"/>
      <c r="AE73" s="21"/>
      <c r="AF73" s="17"/>
      <c r="AG73" s="18"/>
      <c r="AH73" s="17"/>
      <c r="AI73" s="22"/>
      <c r="AJ73" s="17"/>
      <c r="AK73" s="17"/>
      <c r="AL73" s="17"/>
      <c r="AM73" s="17"/>
      <c r="AN73" s="17"/>
      <c r="AO73" s="17"/>
      <c r="AP73" s="17"/>
      <c r="AQ73" s="17"/>
      <c r="AR73" s="23"/>
      <c r="AS73" s="17"/>
      <c r="AT73" s="17"/>
      <c r="AU73" s="18"/>
      <c r="AV73" s="17"/>
      <c r="AW73" s="17"/>
      <c r="AX73" s="17"/>
      <c r="AY73" s="17"/>
    </row>
    <row r="74" ht="15.75" customHeight="1">
      <c r="A74" s="22"/>
      <c r="B74" s="17"/>
      <c r="C74" s="17"/>
      <c r="D74" s="17"/>
      <c r="E74" s="17"/>
      <c r="F74" s="23"/>
      <c r="G74" s="17"/>
      <c r="H74" s="49">
        <v>0.6</v>
      </c>
      <c r="I74" s="33">
        <f t="shared" si="5"/>
        <v>1.5</v>
      </c>
      <c r="J74" s="31">
        <f t="shared" si="6"/>
        <v>0.5865958859</v>
      </c>
      <c r="K74" s="23"/>
      <c r="L74" s="17"/>
      <c r="M74" s="18"/>
      <c r="N74" s="17"/>
      <c r="O74" s="22" t="s">
        <v>345</v>
      </c>
      <c r="P74" s="17"/>
      <c r="Q74" s="32">
        <v>0.0974</v>
      </c>
      <c r="R74" s="17"/>
      <c r="S74" s="18"/>
      <c r="T74" s="17"/>
      <c r="U74" s="43"/>
      <c r="V74" s="46"/>
      <c r="W74" s="63" t="s">
        <v>300</v>
      </c>
      <c r="X74" s="43"/>
      <c r="Y74" s="45"/>
      <c r="Z74" s="45"/>
      <c r="AA74" s="45"/>
      <c r="AB74" s="45"/>
      <c r="AC74" s="45"/>
      <c r="AD74" s="45"/>
      <c r="AE74" s="46"/>
      <c r="AF74" s="17"/>
      <c r="AG74" s="18"/>
      <c r="AH74" s="17"/>
      <c r="AI74" s="22" t="s">
        <v>346</v>
      </c>
      <c r="AJ74" s="17"/>
      <c r="AK74" s="17"/>
      <c r="AL74" s="17">
        <f>'Income Statement'!R28</f>
        <v>330</v>
      </c>
      <c r="AM74" s="17"/>
      <c r="AN74" s="17"/>
      <c r="AO74" s="17"/>
      <c r="AP74" s="17"/>
      <c r="AQ74" s="17"/>
      <c r="AR74" s="23"/>
      <c r="AS74" s="17"/>
      <c r="AT74" s="17"/>
      <c r="AU74" s="18"/>
      <c r="AV74" s="17"/>
      <c r="AW74" s="17"/>
      <c r="AX74" s="17"/>
      <c r="AY74" s="17"/>
    </row>
    <row r="75" ht="15.75" customHeight="1">
      <c r="A75" s="22" t="s">
        <v>347</v>
      </c>
      <c r="B75" s="17"/>
      <c r="C75" s="17"/>
      <c r="D75" s="17"/>
      <c r="E75" s="17"/>
      <c r="F75" s="23"/>
      <c r="G75" s="17"/>
      <c r="H75" s="49">
        <v>0.7</v>
      </c>
      <c r="I75" s="33">
        <f t="shared" si="5"/>
        <v>2.333333333</v>
      </c>
      <c r="J75" s="31">
        <f t="shared" si="6"/>
        <v>0.7558062376</v>
      </c>
      <c r="K75" s="23"/>
      <c r="L75" s="17"/>
      <c r="M75" s="18"/>
      <c r="N75" s="17"/>
      <c r="O75" s="22" t="s">
        <v>348</v>
      </c>
      <c r="P75" s="17"/>
      <c r="Q75" s="32">
        <f>Q73+Q72*(Q74-Q73)</f>
        <v>0.07852</v>
      </c>
      <c r="R75" s="17"/>
      <c r="S75" s="18"/>
      <c r="T75" s="17"/>
      <c r="U75" s="19" t="s">
        <v>349</v>
      </c>
      <c r="V75" s="21"/>
      <c r="W75" s="62">
        <f>'Income Statement'!R14/'Income Statement'!R28</f>
        <v>6.460606061</v>
      </c>
      <c r="X75" s="19"/>
      <c r="Y75" s="20"/>
      <c r="Z75" s="20"/>
      <c r="AA75" s="20"/>
      <c r="AB75" s="20"/>
      <c r="AC75" s="20"/>
      <c r="AD75" s="20"/>
      <c r="AE75" s="21"/>
      <c r="AF75" s="17"/>
      <c r="AG75" s="18"/>
      <c r="AH75" s="17"/>
      <c r="AI75" s="22" t="s">
        <v>350</v>
      </c>
      <c r="AJ75" s="17"/>
      <c r="AK75" s="17"/>
      <c r="AL75" s="33">
        <f>AC10</f>
        <v>0.0724</v>
      </c>
      <c r="AM75" s="17"/>
      <c r="AN75" s="17"/>
      <c r="AO75" s="17"/>
      <c r="AP75" s="17"/>
      <c r="AQ75" s="17"/>
      <c r="AR75" s="23"/>
      <c r="AS75" s="17"/>
      <c r="AT75" s="17"/>
      <c r="AU75" s="18"/>
      <c r="AV75" s="17"/>
      <c r="AW75" s="17"/>
      <c r="AX75" s="17"/>
      <c r="AY75" s="64"/>
    </row>
    <row r="76" ht="15.75" customHeight="1">
      <c r="A76" s="22" t="s">
        <v>351</v>
      </c>
      <c r="B76" s="17"/>
      <c r="C76" s="17">
        <v>0.728302</v>
      </c>
      <c r="D76" s="17"/>
      <c r="E76" s="17"/>
      <c r="F76" s="23"/>
      <c r="G76" s="17"/>
      <c r="H76" s="49">
        <v>0.8</v>
      </c>
      <c r="I76" s="33">
        <f t="shared" si="5"/>
        <v>4</v>
      </c>
      <c r="J76" s="31">
        <f t="shared" si="6"/>
        <v>1.094226941</v>
      </c>
      <c r="K76" s="23"/>
      <c r="L76" s="17"/>
      <c r="M76" s="18"/>
      <c r="N76" s="17"/>
      <c r="O76" s="22"/>
      <c r="P76" s="17"/>
      <c r="Q76" s="23"/>
      <c r="R76" s="17"/>
      <c r="S76" s="18"/>
      <c r="T76" s="17"/>
      <c r="U76" s="43"/>
      <c r="V76" s="46"/>
      <c r="W76" s="63" t="s">
        <v>300</v>
      </c>
      <c r="X76" s="65"/>
      <c r="Y76" s="45"/>
      <c r="Z76" s="45"/>
      <c r="AA76" s="45"/>
      <c r="AB76" s="45"/>
      <c r="AC76" s="45"/>
      <c r="AD76" s="45"/>
      <c r="AE76" s="46"/>
      <c r="AF76" s="17"/>
      <c r="AG76" s="18"/>
      <c r="AH76" s="17"/>
      <c r="AI76" s="22" t="s">
        <v>352</v>
      </c>
      <c r="AJ76" s="17"/>
      <c r="AK76" s="17"/>
      <c r="AL76" s="17" t="s">
        <v>353</v>
      </c>
      <c r="AM76" s="17"/>
      <c r="AN76" s="17"/>
      <c r="AO76" s="17"/>
      <c r="AP76" s="17"/>
      <c r="AQ76" s="17"/>
      <c r="AR76" s="23"/>
      <c r="AS76" s="17"/>
      <c r="AT76" s="17"/>
      <c r="AU76" s="18"/>
      <c r="AV76" s="17"/>
      <c r="AW76" s="17"/>
      <c r="AX76" s="17"/>
      <c r="AY76" s="17"/>
    </row>
    <row r="77" ht="15.75" customHeight="1">
      <c r="A77" s="22" t="s">
        <v>354</v>
      </c>
      <c r="B77" s="17"/>
      <c r="C77" s="17">
        <v>0.40274</v>
      </c>
      <c r="D77" s="17"/>
      <c r="E77" s="17"/>
      <c r="F77" s="23"/>
      <c r="G77" s="17"/>
      <c r="H77" s="66">
        <v>0.9</v>
      </c>
      <c r="I77" s="67">
        <f t="shared" si="5"/>
        <v>9</v>
      </c>
      <c r="J77" s="44">
        <f t="shared" si="6"/>
        <v>2.109489051</v>
      </c>
      <c r="K77" s="46"/>
      <c r="L77" s="17"/>
      <c r="M77" s="18"/>
      <c r="N77" s="17"/>
      <c r="O77" s="22" t="s">
        <v>355</v>
      </c>
      <c r="P77" s="17"/>
      <c r="Q77" s="23"/>
      <c r="R77" s="17"/>
      <c r="S77" s="68"/>
      <c r="T77" s="17"/>
      <c r="U77" s="19" t="s">
        <v>356</v>
      </c>
      <c r="V77" s="21"/>
      <c r="W77" s="69">
        <f>('Income Statement'!R36+'Cashflow Statement'!R6)/'Balance Sheet'!R55</f>
        <v>0.2134816221</v>
      </c>
      <c r="X77" s="19"/>
      <c r="Y77" s="20"/>
      <c r="Z77" s="20"/>
      <c r="AA77" s="20"/>
      <c r="AB77" s="20"/>
      <c r="AC77" s="20"/>
      <c r="AD77" s="20"/>
      <c r="AE77" s="21"/>
      <c r="AF77" s="17"/>
      <c r="AG77" s="18"/>
      <c r="AH77" s="17"/>
      <c r="AI77" s="22" t="s">
        <v>357</v>
      </c>
      <c r="AJ77" s="17"/>
      <c r="AK77" s="17"/>
      <c r="AL77" s="70">
        <f>'Balance Sheet'!R55</f>
        <v>7373</v>
      </c>
      <c r="AM77" s="17"/>
      <c r="AN77" s="17"/>
      <c r="AO77" s="17"/>
      <c r="AP77" s="17"/>
      <c r="AQ77" s="17"/>
      <c r="AR77" s="23"/>
      <c r="AS77" s="17"/>
      <c r="AT77" s="17"/>
      <c r="AU77" s="18"/>
      <c r="AV77" s="17"/>
      <c r="AW77" s="17"/>
      <c r="AX77" s="17"/>
      <c r="AY77" s="17"/>
    </row>
    <row r="78" ht="15.75" customHeight="1">
      <c r="A78" s="22" t="s">
        <v>358</v>
      </c>
      <c r="B78" s="17"/>
      <c r="C78" s="17">
        <v>0.4032</v>
      </c>
      <c r="D78" s="17"/>
      <c r="E78" s="17"/>
      <c r="F78" s="23"/>
      <c r="G78" s="17"/>
      <c r="H78" s="17"/>
      <c r="I78" s="17"/>
      <c r="J78" s="17"/>
      <c r="K78" s="17"/>
      <c r="L78" s="17"/>
      <c r="M78" s="18"/>
      <c r="N78" s="17"/>
      <c r="O78" s="22" t="s">
        <v>339</v>
      </c>
      <c r="P78" s="17"/>
      <c r="Q78" s="23">
        <v>0.68</v>
      </c>
      <c r="R78" s="17"/>
      <c r="S78" s="18"/>
      <c r="T78" s="17"/>
      <c r="U78" s="43"/>
      <c r="V78" s="46"/>
      <c r="W78" s="63" t="s">
        <v>359</v>
      </c>
      <c r="X78" s="43"/>
      <c r="Y78" s="45"/>
      <c r="Z78" s="45"/>
      <c r="AA78" s="45"/>
      <c r="AB78" s="45"/>
      <c r="AC78" s="45"/>
      <c r="AD78" s="45"/>
      <c r="AE78" s="46"/>
      <c r="AF78" s="17"/>
      <c r="AG78" s="18"/>
      <c r="AH78" s="17"/>
      <c r="AI78" s="22" t="s">
        <v>360</v>
      </c>
      <c r="AJ78" s="17"/>
      <c r="AK78" s="17"/>
      <c r="AL78" s="70">
        <f>10950-AL82</f>
        <v>5238.206686</v>
      </c>
      <c r="AM78" s="17"/>
      <c r="AN78" s="17"/>
      <c r="AO78" s="17"/>
      <c r="AP78" s="17"/>
      <c r="AQ78" s="17"/>
      <c r="AR78" s="23"/>
      <c r="AS78" s="17"/>
      <c r="AT78" s="17"/>
      <c r="AU78" s="18"/>
      <c r="AV78" s="17"/>
      <c r="AW78" s="17"/>
      <c r="AX78" s="17"/>
      <c r="AY78" s="17"/>
    </row>
    <row r="79" ht="15.75" customHeight="1">
      <c r="A79" s="22" t="s">
        <v>361</v>
      </c>
      <c r="B79" s="17"/>
      <c r="C79" s="17">
        <v>0.0927</v>
      </c>
      <c r="D79" s="17"/>
      <c r="E79" s="17"/>
      <c r="F79" s="23"/>
      <c r="G79" s="17"/>
      <c r="H79" s="71" t="s">
        <v>283</v>
      </c>
      <c r="I79" s="21"/>
      <c r="J79" s="17"/>
      <c r="K79" s="17"/>
      <c r="L79" s="17"/>
      <c r="M79" s="18"/>
      <c r="N79" s="17"/>
      <c r="O79" s="22" t="s">
        <v>362</v>
      </c>
      <c r="P79" s="17"/>
      <c r="Q79" s="42">
        <v>0.28</v>
      </c>
      <c r="R79" s="17"/>
      <c r="S79" s="72"/>
      <c r="T79" s="17"/>
      <c r="U79" s="19" t="s">
        <v>363</v>
      </c>
      <c r="V79" s="21"/>
      <c r="W79" s="69">
        <f>694/'Balance Sheet'!R55</f>
        <v>0.09412722094</v>
      </c>
      <c r="X79" s="19"/>
      <c r="Y79" s="73"/>
      <c r="Z79" s="20"/>
      <c r="AA79" s="20"/>
      <c r="AB79" s="20"/>
      <c r="AC79" s="20"/>
      <c r="AD79" s="20"/>
      <c r="AE79" s="21"/>
      <c r="AF79" s="17"/>
      <c r="AG79" s="18"/>
      <c r="AH79" s="17"/>
      <c r="AI79" s="22" t="s">
        <v>364</v>
      </c>
      <c r="AJ79" s="17"/>
      <c r="AK79" s="17"/>
      <c r="AL79" s="70">
        <f>AS7</f>
        <v>3754</v>
      </c>
      <c r="AM79" s="17"/>
      <c r="AN79" s="17"/>
      <c r="AO79" s="17"/>
      <c r="AP79" s="17"/>
      <c r="AQ79" s="17"/>
      <c r="AR79" s="23"/>
      <c r="AS79" s="17"/>
      <c r="AT79" s="17"/>
      <c r="AU79" s="18"/>
      <c r="AV79" s="17"/>
      <c r="AW79" s="17"/>
      <c r="AX79" s="17"/>
      <c r="AY79" s="17"/>
    </row>
    <row r="80" ht="15.75" customHeight="1">
      <c r="A80" s="22" t="s">
        <v>365</v>
      </c>
      <c r="B80" s="17"/>
      <c r="C80" s="17">
        <v>60.0</v>
      </c>
      <c r="D80" s="17"/>
      <c r="E80" s="17"/>
      <c r="F80" s="23"/>
      <c r="G80" s="17"/>
      <c r="H80" s="22"/>
      <c r="I80" s="23"/>
      <c r="J80" s="17"/>
      <c r="K80" s="17"/>
      <c r="L80" s="17"/>
      <c r="M80" s="18"/>
      <c r="N80" s="17"/>
      <c r="O80" s="22" t="s">
        <v>343</v>
      </c>
      <c r="P80" s="17"/>
      <c r="Q80" s="32">
        <v>0.0384</v>
      </c>
      <c r="R80" s="17"/>
      <c r="S80" s="18"/>
      <c r="T80" s="17"/>
      <c r="U80" s="43"/>
      <c r="V80" s="46"/>
      <c r="W80" s="63" t="s">
        <v>300</v>
      </c>
      <c r="X80" s="43"/>
      <c r="Y80" s="45"/>
      <c r="Z80" s="45"/>
      <c r="AA80" s="45"/>
      <c r="AB80" s="45"/>
      <c r="AC80" s="45"/>
      <c r="AD80" s="45"/>
      <c r="AE80" s="46"/>
      <c r="AF80" s="17"/>
      <c r="AG80" s="18"/>
      <c r="AH80" s="17"/>
      <c r="AI80" s="74" t="s">
        <v>366</v>
      </c>
      <c r="AJ80" s="17"/>
      <c r="AK80" s="17"/>
      <c r="AL80" s="17"/>
      <c r="AM80" s="17"/>
      <c r="AN80" s="17"/>
      <c r="AO80" s="17"/>
      <c r="AP80" s="17"/>
      <c r="AQ80" s="17"/>
      <c r="AR80" s="23"/>
      <c r="AS80" s="17"/>
      <c r="AT80" s="17"/>
      <c r="AU80" s="18"/>
      <c r="AV80" s="17"/>
      <c r="AW80" s="17"/>
      <c r="AX80" s="17"/>
      <c r="AY80" s="17"/>
    </row>
    <row r="81" ht="15.75" customHeight="1">
      <c r="A81" s="22"/>
      <c r="B81" s="17"/>
      <c r="C81" s="17"/>
      <c r="D81" s="17"/>
      <c r="E81" s="17"/>
      <c r="F81" s="23"/>
      <c r="G81" s="17"/>
      <c r="H81" s="22" t="s">
        <v>367</v>
      </c>
      <c r="I81" s="23">
        <v>0.16</v>
      </c>
      <c r="J81" s="17"/>
      <c r="K81" s="17"/>
      <c r="L81" s="17"/>
      <c r="M81" s="18"/>
      <c r="N81" s="17"/>
      <c r="O81" s="22" t="s">
        <v>345</v>
      </c>
      <c r="P81" s="17"/>
      <c r="Q81" s="32">
        <v>0.0974</v>
      </c>
      <c r="R81" s="17"/>
      <c r="S81" s="18"/>
      <c r="T81" s="17"/>
      <c r="U81" s="19" t="s">
        <v>368</v>
      </c>
      <c r="V81" s="21"/>
      <c r="W81" s="69">
        <f>'Income Statement'!R29/'Balance Sheet'!R66</f>
        <v>0.2597229622</v>
      </c>
      <c r="X81" s="19"/>
      <c r="Y81" s="20"/>
      <c r="Z81" s="20"/>
      <c r="AA81" s="20"/>
      <c r="AB81" s="20"/>
      <c r="AC81" s="20"/>
      <c r="AD81" s="20"/>
      <c r="AE81" s="21"/>
      <c r="AF81" s="17"/>
      <c r="AG81" s="18"/>
      <c r="AH81" s="17"/>
      <c r="AI81" s="22"/>
      <c r="AJ81" s="17"/>
      <c r="AK81" s="17"/>
      <c r="AL81" s="17"/>
      <c r="AM81" s="17"/>
      <c r="AN81" s="17"/>
      <c r="AO81" s="17"/>
      <c r="AP81" s="17"/>
      <c r="AQ81" s="17"/>
      <c r="AR81" s="23"/>
      <c r="AS81" s="17"/>
      <c r="AT81" s="17"/>
      <c r="AU81" s="18"/>
      <c r="AV81" s="17"/>
      <c r="AW81" s="17"/>
      <c r="AX81" s="17"/>
      <c r="AY81" s="17"/>
    </row>
    <row r="82" ht="15.75" customHeight="1">
      <c r="A82" s="22" t="s">
        <v>369</v>
      </c>
      <c r="B82" s="17"/>
      <c r="C82" s="17"/>
      <c r="D82" s="17"/>
      <c r="E82" s="17"/>
      <c r="F82" s="23"/>
      <c r="G82" s="17"/>
      <c r="H82" s="22" t="s">
        <v>370</v>
      </c>
      <c r="I82" s="23">
        <v>0.45</v>
      </c>
      <c r="J82" s="17"/>
      <c r="K82" s="17"/>
      <c r="L82" s="17"/>
      <c r="M82" s="18"/>
      <c r="N82" s="17"/>
      <c r="O82" s="22" t="s">
        <v>348</v>
      </c>
      <c r="P82" s="17"/>
      <c r="Q82" s="32">
        <f>Q80*(1-Q79)+Q78*((Q81-Q80*(1-Q79)))</f>
        <v>0.07507936</v>
      </c>
      <c r="R82" s="17"/>
      <c r="S82" s="18"/>
      <c r="T82" s="17"/>
      <c r="U82" s="22"/>
      <c r="V82" s="23"/>
      <c r="W82" s="75" t="s">
        <v>371</v>
      </c>
      <c r="X82" s="22"/>
      <c r="Y82" s="17"/>
      <c r="Z82" s="17"/>
      <c r="AA82" s="17"/>
      <c r="AB82" s="17"/>
      <c r="AC82" s="17"/>
      <c r="AD82" s="17"/>
      <c r="AE82" s="23"/>
      <c r="AF82" s="17"/>
      <c r="AG82" s="18"/>
      <c r="AH82" s="17"/>
      <c r="AI82" s="22" t="s">
        <v>372</v>
      </c>
      <c r="AJ82" s="17"/>
      <c r="AK82" s="17"/>
      <c r="AL82" s="64">
        <f>AL74*((1-1/(1+AL75)^12.76)/AL75)+AL77/(1+AL75)^12.76</f>
        <v>5711.793314</v>
      </c>
      <c r="AM82" s="17"/>
      <c r="AN82" s="17"/>
      <c r="AO82" s="17"/>
      <c r="AP82" s="17"/>
      <c r="AQ82" s="17"/>
      <c r="AR82" s="23"/>
      <c r="AS82" s="17"/>
      <c r="AT82" s="17"/>
      <c r="AU82" s="18"/>
      <c r="AV82" s="17"/>
      <c r="AW82" s="17"/>
      <c r="AX82" s="17"/>
      <c r="AY82" s="17"/>
    </row>
    <row r="83" ht="15.75" customHeight="1">
      <c r="A83" s="22"/>
      <c r="B83" s="17" t="s">
        <v>373</v>
      </c>
      <c r="C83" s="17" t="s">
        <v>374</v>
      </c>
      <c r="D83" s="17" t="s">
        <v>375</v>
      </c>
      <c r="E83" s="17" t="s">
        <v>376</v>
      </c>
      <c r="F83" s="23" t="s">
        <v>377</v>
      </c>
      <c r="G83" s="17"/>
      <c r="H83" s="22" t="s">
        <v>378</v>
      </c>
      <c r="I83" s="23">
        <v>0.21</v>
      </c>
      <c r="J83" s="17"/>
      <c r="K83" s="17"/>
      <c r="L83" s="17"/>
      <c r="M83" s="18"/>
      <c r="N83" s="17"/>
      <c r="O83" s="43"/>
      <c r="P83" s="45"/>
      <c r="Q83" s="46"/>
      <c r="R83" s="17"/>
      <c r="S83" s="18"/>
      <c r="T83" s="17"/>
      <c r="U83" s="43"/>
      <c r="V83" s="46"/>
      <c r="W83" s="63"/>
      <c r="X83" s="43"/>
      <c r="Y83" s="45"/>
      <c r="Z83" s="45"/>
      <c r="AA83" s="45"/>
      <c r="AB83" s="45"/>
      <c r="AC83" s="45"/>
      <c r="AD83" s="45"/>
      <c r="AE83" s="46"/>
      <c r="AF83" s="17"/>
      <c r="AG83" s="18"/>
      <c r="AH83" s="17"/>
      <c r="AI83" s="22"/>
      <c r="AJ83" s="17"/>
      <c r="AK83" s="17"/>
      <c r="AL83" s="17"/>
      <c r="AM83" s="17"/>
      <c r="AN83" s="17"/>
      <c r="AO83" s="17"/>
      <c r="AP83" s="17"/>
      <c r="AQ83" s="17"/>
      <c r="AR83" s="23"/>
      <c r="AS83" s="17"/>
      <c r="AT83" s="17"/>
      <c r="AU83" s="18"/>
      <c r="AV83" s="17"/>
      <c r="AW83" s="17"/>
      <c r="AX83" s="17"/>
      <c r="AY83" s="17"/>
    </row>
    <row r="84" ht="15.75" customHeight="1">
      <c r="A84" s="22" t="s">
        <v>379</v>
      </c>
      <c r="B84" s="17">
        <v>1.0</v>
      </c>
      <c r="C84" s="17">
        <v>0.5627</v>
      </c>
      <c r="D84" s="17">
        <v>0.5627</v>
      </c>
      <c r="E84" s="17">
        <v>65.5155</v>
      </c>
      <c r="F84" s="23">
        <v>0.0</v>
      </c>
      <c r="G84" s="17"/>
      <c r="H84" s="57" t="s">
        <v>380</v>
      </c>
      <c r="I84" s="76">
        <v>0.68</v>
      </c>
      <c r="J84" s="17"/>
      <c r="K84" s="17"/>
      <c r="L84" s="17"/>
      <c r="M84" s="18"/>
      <c r="N84" s="17"/>
      <c r="O84" s="17"/>
      <c r="P84" s="17"/>
      <c r="Q84" s="17"/>
      <c r="R84" s="17"/>
      <c r="S84" s="18"/>
      <c r="T84" s="17"/>
      <c r="U84" s="19" t="s">
        <v>381</v>
      </c>
      <c r="V84" s="21"/>
      <c r="W84" s="69">
        <f>'Income Statement'!R27/'Income Statement'!R3</f>
        <v>0.2611044418</v>
      </c>
      <c r="X84" s="19"/>
      <c r="Y84" s="20"/>
      <c r="Z84" s="20"/>
      <c r="AA84" s="20"/>
      <c r="AB84" s="73"/>
      <c r="AC84" s="20"/>
      <c r="AD84" s="20"/>
      <c r="AE84" s="21"/>
      <c r="AF84" s="17"/>
      <c r="AG84" s="18"/>
      <c r="AH84" s="17"/>
      <c r="AI84" s="22"/>
      <c r="AJ84" s="17" t="s">
        <v>382</v>
      </c>
      <c r="AK84" s="36" t="s">
        <v>383</v>
      </c>
      <c r="AL84" s="17"/>
      <c r="AM84" s="17"/>
      <c r="AN84" s="17"/>
      <c r="AO84" s="17"/>
      <c r="AP84" s="17"/>
      <c r="AQ84" s="17"/>
      <c r="AR84" s="23"/>
      <c r="AS84" s="17"/>
      <c r="AT84" s="17"/>
      <c r="AU84" s="18"/>
      <c r="AV84" s="17"/>
      <c r="AW84" s="17"/>
      <c r="AX84" s="17"/>
      <c r="AY84" s="17"/>
    </row>
    <row r="85" ht="15.75" customHeight="1">
      <c r="A85" s="22" t="s">
        <v>384</v>
      </c>
      <c r="B85" s="17">
        <v>58.0</v>
      </c>
      <c r="C85" s="17">
        <v>0.4982</v>
      </c>
      <c r="D85" s="17">
        <v>0.0086</v>
      </c>
      <c r="E85" s="17"/>
      <c r="F85" s="23"/>
      <c r="G85" s="17"/>
      <c r="H85" s="43" t="s">
        <v>385</v>
      </c>
      <c r="I85" s="46">
        <v>0.68</v>
      </c>
      <c r="J85" s="17"/>
      <c r="K85" s="17"/>
      <c r="L85" s="17"/>
      <c r="M85" s="18"/>
      <c r="N85" s="17"/>
      <c r="O85" s="17"/>
      <c r="P85" s="17"/>
      <c r="Q85" s="17"/>
      <c r="R85" s="17"/>
      <c r="S85" s="18"/>
      <c r="T85" s="17"/>
      <c r="U85" s="22"/>
      <c r="V85" s="23"/>
      <c r="W85" s="75" t="s">
        <v>371</v>
      </c>
      <c r="X85" s="22"/>
      <c r="Y85" s="17"/>
      <c r="Z85" s="17"/>
      <c r="AA85" s="17"/>
      <c r="AB85" s="17"/>
      <c r="AC85" s="17"/>
      <c r="AD85" s="17"/>
      <c r="AE85" s="23"/>
      <c r="AF85" s="17"/>
      <c r="AG85" s="18"/>
      <c r="AH85" s="17"/>
      <c r="AI85" s="22" t="s">
        <v>386</v>
      </c>
      <c r="AJ85" s="33">
        <f>AL82/AL78</f>
        <v>1.090410069</v>
      </c>
      <c r="AK85" s="33">
        <f>AL77/AL79</f>
        <v>1.964038359</v>
      </c>
      <c r="AL85" s="17"/>
      <c r="AM85" s="17"/>
      <c r="AN85" s="17"/>
      <c r="AO85" s="17"/>
      <c r="AP85" s="17"/>
      <c r="AQ85" s="17"/>
      <c r="AR85" s="23"/>
      <c r="AS85" s="17"/>
      <c r="AT85" s="17"/>
      <c r="AU85" s="18"/>
      <c r="AV85" s="17"/>
      <c r="AW85" s="17"/>
      <c r="AX85" s="17"/>
      <c r="AY85" s="17"/>
    </row>
    <row r="86" ht="15.75" customHeight="1">
      <c r="A86" s="43" t="s">
        <v>387</v>
      </c>
      <c r="B86" s="45">
        <v>59.0</v>
      </c>
      <c r="C86" s="45">
        <v>1.0609</v>
      </c>
      <c r="D86" s="45"/>
      <c r="E86" s="45"/>
      <c r="F86" s="46"/>
      <c r="G86" s="17"/>
      <c r="H86" s="17"/>
      <c r="I86" s="17"/>
      <c r="J86" s="17"/>
      <c r="K86" s="17"/>
      <c r="L86" s="17"/>
      <c r="M86" s="18"/>
      <c r="N86" s="17"/>
      <c r="O86" s="17"/>
      <c r="P86" s="17"/>
      <c r="Q86" s="17"/>
      <c r="R86" s="17"/>
      <c r="S86" s="18"/>
      <c r="T86" s="17"/>
      <c r="U86" s="43"/>
      <c r="V86" s="46"/>
      <c r="W86" s="63"/>
      <c r="X86" s="43"/>
      <c r="Y86" s="45"/>
      <c r="Z86" s="45"/>
      <c r="AA86" s="45"/>
      <c r="AB86" s="45"/>
      <c r="AC86" s="45"/>
      <c r="AD86" s="45"/>
      <c r="AE86" s="46"/>
      <c r="AF86" s="17"/>
      <c r="AG86" s="18"/>
      <c r="AH86" s="17"/>
      <c r="AI86" s="43" t="s">
        <v>388</v>
      </c>
      <c r="AJ86" s="67">
        <f>AL82/(AL78+AL82)</f>
        <v>0.5216249602</v>
      </c>
      <c r="AK86" s="67">
        <f>AL77/(AL77+AL79)</f>
        <v>0.6626224499</v>
      </c>
      <c r="AL86" s="45"/>
      <c r="AM86" s="45"/>
      <c r="AN86" s="45"/>
      <c r="AO86" s="45"/>
      <c r="AP86" s="45"/>
      <c r="AQ86" s="45"/>
      <c r="AR86" s="46"/>
      <c r="AS86" s="17"/>
      <c r="AT86" s="17"/>
      <c r="AU86" s="18"/>
      <c r="AV86" s="17"/>
      <c r="AW86" s="17"/>
      <c r="AX86" s="17"/>
      <c r="AY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7"/>
      <c r="O87" s="17"/>
      <c r="P87" s="17"/>
      <c r="Q87" s="17"/>
      <c r="R87" s="17"/>
      <c r="S87" s="18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8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7"/>
      <c r="AW87" s="17"/>
      <c r="AX87" s="17"/>
      <c r="AY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7"/>
      <c r="O88" s="17"/>
      <c r="P88" s="17"/>
      <c r="Q88" s="17"/>
      <c r="R88" s="17"/>
      <c r="S88" s="18"/>
      <c r="T88" s="17"/>
      <c r="U88" s="19" t="s">
        <v>389</v>
      </c>
      <c r="V88" s="20"/>
      <c r="W88" s="20"/>
      <c r="X88" s="20"/>
      <c r="Y88" s="20"/>
      <c r="Z88" s="20"/>
      <c r="AA88" s="20"/>
      <c r="AB88" s="20"/>
      <c r="AC88" s="20"/>
      <c r="AD88" s="21"/>
      <c r="AE88" s="17"/>
      <c r="AF88" s="17"/>
      <c r="AG88" s="18"/>
      <c r="AH88" s="17"/>
      <c r="AI88" s="19" t="s">
        <v>390</v>
      </c>
      <c r="AJ88" s="20"/>
      <c r="AK88" s="20"/>
      <c r="AL88" s="20"/>
      <c r="AM88" s="20"/>
      <c r="AN88" s="20"/>
      <c r="AO88" s="20"/>
      <c r="AP88" s="21"/>
      <c r="AQ88" s="17"/>
      <c r="AR88" s="17"/>
      <c r="AS88" s="17"/>
      <c r="AT88" s="17"/>
      <c r="AU88" s="18"/>
      <c r="AV88" s="17"/>
      <c r="AW88" s="17"/>
      <c r="AX88" s="17"/>
      <c r="AY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7"/>
      <c r="O89" s="17"/>
      <c r="P89" s="17"/>
      <c r="Q89" s="17"/>
      <c r="R89" s="17"/>
      <c r="S89" s="18"/>
      <c r="T89" s="17"/>
      <c r="U89" s="22"/>
      <c r="V89" s="17"/>
      <c r="W89" s="36" t="s">
        <v>391</v>
      </c>
      <c r="X89" s="36" t="s">
        <v>371</v>
      </c>
      <c r="Y89" s="17"/>
      <c r="Z89" s="36" t="s">
        <v>392</v>
      </c>
      <c r="AA89" s="36" t="s">
        <v>300</v>
      </c>
      <c r="AB89" s="36" t="s">
        <v>359</v>
      </c>
      <c r="AC89" s="36" t="s">
        <v>393</v>
      </c>
      <c r="AD89" s="23" t="s">
        <v>394</v>
      </c>
      <c r="AE89" s="17"/>
      <c r="AF89" s="17"/>
      <c r="AG89" s="18"/>
      <c r="AH89" s="17"/>
      <c r="AI89" s="22"/>
      <c r="AJ89" s="17"/>
      <c r="AK89" s="17"/>
      <c r="AL89" s="17"/>
      <c r="AM89" s="17"/>
      <c r="AN89" s="17"/>
      <c r="AO89" s="17"/>
      <c r="AP89" s="23"/>
      <c r="AQ89" s="17"/>
      <c r="AR89" s="17"/>
      <c r="AS89" s="17"/>
      <c r="AT89" s="17"/>
      <c r="AU89" s="18"/>
      <c r="AV89" s="17"/>
      <c r="AW89" s="17"/>
      <c r="AX89" s="17"/>
      <c r="AY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7"/>
      <c r="O90" s="17"/>
      <c r="P90" s="17"/>
      <c r="Q90" s="17"/>
      <c r="R90" s="17"/>
      <c r="S90" s="18"/>
      <c r="T90" s="17"/>
      <c r="U90" s="22" t="s">
        <v>395</v>
      </c>
      <c r="V90" s="17"/>
      <c r="W90" s="36">
        <v>17.5</v>
      </c>
      <c r="X90" s="36">
        <v>10.8</v>
      </c>
      <c r="Y90" s="36"/>
      <c r="Z90" s="36">
        <v>6.8</v>
      </c>
      <c r="AA90" s="36">
        <v>3.9</v>
      </c>
      <c r="AB90" s="36">
        <v>2.3</v>
      </c>
      <c r="AC90" s="36">
        <v>1.0</v>
      </c>
      <c r="AD90" s="37">
        <v>0.2</v>
      </c>
      <c r="AE90" s="17"/>
      <c r="AF90" s="17"/>
      <c r="AG90" s="18"/>
      <c r="AH90" s="17"/>
      <c r="AI90" s="22" t="s">
        <v>396</v>
      </c>
      <c r="AJ90" s="17" t="s">
        <v>302</v>
      </c>
      <c r="AK90" s="17" t="s">
        <v>397</v>
      </c>
      <c r="AL90" s="17" t="s">
        <v>398</v>
      </c>
      <c r="AM90" s="17" t="s">
        <v>399</v>
      </c>
      <c r="AN90" s="17" t="s">
        <v>400</v>
      </c>
      <c r="AO90" s="17" t="s">
        <v>401</v>
      </c>
      <c r="AP90" s="23" t="s">
        <v>402</v>
      </c>
      <c r="AQ90" s="17"/>
      <c r="AR90" s="17"/>
      <c r="AS90" s="17"/>
      <c r="AT90" s="17"/>
      <c r="AU90" s="18"/>
      <c r="AV90" s="17"/>
      <c r="AW90" s="17"/>
      <c r="AX90" s="17"/>
      <c r="AY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7"/>
      <c r="O91" s="17"/>
      <c r="P91" s="17"/>
      <c r="Q91" s="17"/>
      <c r="R91" s="17"/>
      <c r="S91" s="18"/>
      <c r="T91" s="17"/>
      <c r="U91" s="22" t="s">
        <v>403</v>
      </c>
      <c r="V91" s="17"/>
      <c r="W91" s="36">
        <v>21.8</v>
      </c>
      <c r="X91" s="36">
        <v>14.6</v>
      </c>
      <c r="Y91" s="36"/>
      <c r="Z91" s="36">
        <v>9.6</v>
      </c>
      <c r="AA91" s="36">
        <v>6.1</v>
      </c>
      <c r="AB91" s="36">
        <v>3.8</v>
      </c>
      <c r="AC91" s="36">
        <v>2.0</v>
      </c>
      <c r="AD91" s="37">
        <v>1.4</v>
      </c>
      <c r="AE91" s="17"/>
      <c r="AF91" s="17"/>
      <c r="AG91" s="18"/>
      <c r="AH91" s="17"/>
      <c r="AI91" s="77">
        <v>0.0</v>
      </c>
      <c r="AJ91" s="78">
        <f t="shared" ref="AJ91:AJ93" si="7">J13</f>
        <v>0.2820172528</v>
      </c>
      <c r="AK91" s="79">
        <f t="shared" ref="AK91:AK100" si="8">$Q$80+AJ91*($Q$81-$Q$80)</f>
        <v>0.05503901792</v>
      </c>
      <c r="AL91" s="36" t="s">
        <v>391</v>
      </c>
      <c r="AM91" s="79">
        <f>AC8+0.0013</f>
        <v>0.0397</v>
      </c>
      <c r="AN91" s="80">
        <v>0.28</v>
      </c>
      <c r="AO91" s="79">
        <f t="shared" ref="AO91:AO100" si="9">AM91*(1-AN91)</f>
        <v>0.028584</v>
      </c>
      <c r="AP91" s="81">
        <f>AK91</f>
        <v>0.05503901792</v>
      </c>
      <c r="AQ91" s="17"/>
      <c r="AR91" s="17"/>
      <c r="AS91" s="17"/>
      <c r="AT91" s="17"/>
      <c r="AU91" s="18"/>
      <c r="AV91" s="17"/>
      <c r="AW91" s="17"/>
      <c r="AX91" s="17"/>
      <c r="AY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7"/>
      <c r="O92" s="17"/>
      <c r="P92" s="17"/>
      <c r="Q92" s="17"/>
      <c r="R92" s="17"/>
      <c r="S92" s="18"/>
      <c r="T92" s="17"/>
      <c r="U92" s="22" t="s">
        <v>404</v>
      </c>
      <c r="V92" s="17"/>
      <c r="W92" s="36">
        <v>105.8</v>
      </c>
      <c r="X92" s="36">
        <v>55.8</v>
      </c>
      <c r="Y92" s="36"/>
      <c r="Z92" s="36">
        <v>46.1</v>
      </c>
      <c r="AA92" s="36">
        <v>30.5</v>
      </c>
      <c r="AB92" s="36">
        <v>19.2</v>
      </c>
      <c r="AC92" s="36">
        <v>9.4</v>
      </c>
      <c r="AD92" s="37">
        <v>5.8</v>
      </c>
      <c r="AE92" s="17"/>
      <c r="AF92" s="17"/>
      <c r="AG92" s="18"/>
      <c r="AH92" s="17"/>
      <c r="AI92" s="77">
        <v>0.1</v>
      </c>
      <c r="AJ92" s="78">
        <f t="shared" si="7"/>
        <v>0.304578633</v>
      </c>
      <c r="AK92" s="79">
        <f t="shared" si="8"/>
        <v>0.05637013935</v>
      </c>
      <c r="AL92" s="36" t="s">
        <v>371</v>
      </c>
      <c r="AM92" s="79">
        <f>3.84%+0.0027</f>
        <v>0.0411</v>
      </c>
      <c r="AN92" s="80">
        <v>0.28</v>
      </c>
      <c r="AO92" s="79">
        <f t="shared" si="9"/>
        <v>0.029592</v>
      </c>
      <c r="AP92" s="81">
        <f t="shared" ref="AP92:AP100" si="10">AI92*AO92+AK92*(1-AI92)</f>
        <v>0.05369232541</v>
      </c>
      <c r="AQ92" s="17"/>
      <c r="AR92" s="17"/>
      <c r="AS92" s="17"/>
      <c r="AT92" s="17"/>
      <c r="AU92" s="18"/>
      <c r="AV92" s="17"/>
      <c r="AW92" s="17"/>
      <c r="AX92" s="17"/>
      <c r="AY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7"/>
      <c r="O93" s="17"/>
      <c r="P93" s="17"/>
      <c r="Q93" s="17"/>
      <c r="R93" s="17"/>
      <c r="S93" s="18"/>
      <c r="T93" s="17"/>
      <c r="U93" s="22" t="s">
        <v>405</v>
      </c>
      <c r="V93" s="17"/>
      <c r="W93" s="36">
        <v>55.4</v>
      </c>
      <c r="X93" s="36">
        <v>24.6</v>
      </c>
      <c r="Y93" s="36"/>
      <c r="Z93" s="36">
        <v>15.6</v>
      </c>
      <c r="AA93" s="36">
        <v>6.6</v>
      </c>
      <c r="AB93" s="36">
        <v>1.9</v>
      </c>
      <c r="AC93" s="36">
        <v>-4.5</v>
      </c>
      <c r="AD93" s="37">
        <v>-14.0</v>
      </c>
      <c r="AE93" s="17"/>
      <c r="AF93" s="17"/>
      <c r="AG93" s="18"/>
      <c r="AH93" s="17"/>
      <c r="AI93" s="77">
        <v>0.2</v>
      </c>
      <c r="AJ93" s="78">
        <f t="shared" si="7"/>
        <v>0.3327803583</v>
      </c>
      <c r="AK93" s="79">
        <f t="shared" si="8"/>
        <v>0.05803404114</v>
      </c>
      <c r="AL93" s="36" t="s">
        <v>406</v>
      </c>
      <c r="AM93" s="79">
        <f>3.84%+0.0097</f>
        <v>0.0481</v>
      </c>
      <c r="AN93" s="80">
        <v>0.28</v>
      </c>
      <c r="AO93" s="79">
        <f t="shared" si="9"/>
        <v>0.034632</v>
      </c>
      <c r="AP93" s="81">
        <f t="shared" si="10"/>
        <v>0.05335363291</v>
      </c>
      <c r="AQ93" s="17"/>
      <c r="AR93" s="17"/>
      <c r="AS93" s="17"/>
      <c r="AT93" s="17"/>
      <c r="AU93" s="18"/>
      <c r="AV93" s="17"/>
      <c r="AW93" s="17"/>
      <c r="AX93" s="17"/>
      <c r="AY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7"/>
      <c r="O94" s="17"/>
      <c r="P94" s="17"/>
      <c r="Q94" s="17"/>
      <c r="R94" s="17"/>
      <c r="S94" s="18"/>
      <c r="T94" s="17"/>
      <c r="U94" s="22" t="s">
        <v>407</v>
      </c>
      <c r="V94" s="17"/>
      <c r="W94" s="36">
        <v>28.2</v>
      </c>
      <c r="X94" s="36">
        <v>22.9</v>
      </c>
      <c r="Y94" s="36"/>
      <c r="Z94" s="36">
        <v>19.9</v>
      </c>
      <c r="AA94" s="36">
        <v>14.0</v>
      </c>
      <c r="AB94" s="36">
        <v>11.7</v>
      </c>
      <c r="AC94" s="36">
        <v>7.2</v>
      </c>
      <c r="AD94" s="37">
        <v>0.5</v>
      </c>
      <c r="AE94" s="17"/>
      <c r="AF94" s="17"/>
      <c r="AG94" s="18"/>
      <c r="AH94" s="17"/>
      <c r="AI94" s="77">
        <v>0.3</v>
      </c>
      <c r="AJ94" s="78">
        <f t="shared" ref="AJ94:AJ100" si="11">J71</f>
        <v>0.3690397194</v>
      </c>
      <c r="AK94" s="79">
        <f t="shared" si="8"/>
        <v>0.06017334344</v>
      </c>
      <c r="AL94" s="36" t="s">
        <v>359</v>
      </c>
      <c r="AM94" s="79">
        <f>3.84%+3.41%</f>
        <v>0.0725</v>
      </c>
      <c r="AN94" s="80">
        <v>0.28</v>
      </c>
      <c r="AO94" s="79">
        <f t="shared" si="9"/>
        <v>0.0522</v>
      </c>
      <c r="AP94" s="81">
        <f t="shared" si="10"/>
        <v>0.05778134041</v>
      </c>
      <c r="AQ94" s="17"/>
      <c r="AR94" s="17"/>
      <c r="AS94" s="17"/>
      <c r="AT94" s="17"/>
      <c r="AU94" s="18"/>
      <c r="AV94" s="17"/>
      <c r="AW94" s="17"/>
      <c r="AX94" s="17"/>
      <c r="AY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7"/>
      <c r="O95" s="17"/>
      <c r="P95" s="17"/>
      <c r="Q95" s="17"/>
      <c r="R95" s="17"/>
      <c r="S95" s="18"/>
      <c r="T95" s="17"/>
      <c r="U95" s="22" t="s">
        <v>408</v>
      </c>
      <c r="V95" s="17"/>
      <c r="W95" s="36">
        <v>29.2</v>
      </c>
      <c r="X95" s="36">
        <v>21.3</v>
      </c>
      <c r="Y95" s="36"/>
      <c r="Z95" s="36">
        <v>18.3</v>
      </c>
      <c r="AA95" s="36">
        <v>15.3</v>
      </c>
      <c r="AB95" s="36">
        <v>15.4</v>
      </c>
      <c r="AC95" s="36">
        <v>11.2</v>
      </c>
      <c r="AD95" s="37">
        <v>13.6</v>
      </c>
      <c r="AE95" s="17"/>
      <c r="AF95" s="17"/>
      <c r="AG95" s="18"/>
      <c r="AH95" s="17"/>
      <c r="AI95" s="77">
        <v>0.4</v>
      </c>
      <c r="AJ95" s="78">
        <f t="shared" si="11"/>
        <v>0.4173855342</v>
      </c>
      <c r="AK95" s="79">
        <f t="shared" si="8"/>
        <v>0.06302574652</v>
      </c>
      <c r="AL95" s="36" t="s">
        <v>394</v>
      </c>
      <c r="AM95" s="79">
        <f>3.84%+5%</f>
        <v>0.0884</v>
      </c>
      <c r="AN95" s="80">
        <v>0.28</v>
      </c>
      <c r="AO95" s="79">
        <f t="shared" si="9"/>
        <v>0.063648</v>
      </c>
      <c r="AP95" s="81">
        <f t="shared" si="10"/>
        <v>0.06327464791</v>
      </c>
      <c r="AQ95" s="17"/>
      <c r="AR95" s="17"/>
      <c r="AS95" s="17"/>
      <c r="AT95" s="17"/>
      <c r="AU95" s="18"/>
      <c r="AV95" s="17"/>
      <c r="AW95" s="17"/>
      <c r="AX95" s="17"/>
      <c r="AY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7"/>
      <c r="O96" s="17"/>
      <c r="P96" s="17"/>
      <c r="Q96" s="17"/>
      <c r="R96" s="17"/>
      <c r="S96" s="18"/>
      <c r="T96" s="17"/>
      <c r="U96" s="22" t="s">
        <v>409</v>
      </c>
      <c r="V96" s="17"/>
      <c r="W96" s="36">
        <v>15.2</v>
      </c>
      <c r="X96" s="36">
        <v>26.4</v>
      </c>
      <c r="Y96" s="36"/>
      <c r="Z96" s="36">
        <v>32.5</v>
      </c>
      <c r="AA96" s="36">
        <v>41.0</v>
      </c>
      <c r="AB96" s="36">
        <v>55.8</v>
      </c>
      <c r="AC96" s="36">
        <v>70.7</v>
      </c>
      <c r="AD96" s="37">
        <v>80.3</v>
      </c>
      <c r="AE96" s="17"/>
      <c r="AF96" s="17"/>
      <c r="AG96" s="18"/>
      <c r="AH96" s="17"/>
      <c r="AI96" s="77">
        <v>0.5</v>
      </c>
      <c r="AJ96" s="78">
        <f t="shared" si="11"/>
        <v>0.4850696749</v>
      </c>
      <c r="AK96" s="79">
        <f t="shared" si="8"/>
        <v>0.06701911082</v>
      </c>
      <c r="AL96" s="36" t="s">
        <v>394</v>
      </c>
      <c r="AM96" s="79">
        <v>0.0884</v>
      </c>
      <c r="AN96" s="79">
        <v>0.2432</v>
      </c>
      <c r="AO96" s="79">
        <f t="shared" si="9"/>
        <v>0.06690112</v>
      </c>
      <c r="AP96" s="81">
        <f t="shared" si="10"/>
        <v>0.06696011541</v>
      </c>
      <c r="AQ96" s="17"/>
      <c r="AR96" s="17"/>
      <c r="AS96" s="17"/>
      <c r="AT96" s="17"/>
      <c r="AU96" s="18"/>
      <c r="AV96" s="17"/>
      <c r="AW96" s="17"/>
      <c r="AX96" s="17"/>
      <c r="AY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7"/>
      <c r="O97" s="17"/>
      <c r="P97" s="17"/>
      <c r="Q97" s="17"/>
      <c r="R97" s="17"/>
      <c r="S97" s="18"/>
      <c r="T97" s="17"/>
      <c r="U97" s="22" t="s">
        <v>410</v>
      </c>
      <c r="V97" s="17"/>
      <c r="W97" s="36">
        <v>26.9</v>
      </c>
      <c r="X97" s="36">
        <v>35.6</v>
      </c>
      <c r="Y97" s="36"/>
      <c r="Z97" s="36">
        <v>40.1</v>
      </c>
      <c r="AA97" s="36">
        <v>47.4</v>
      </c>
      <c r="AB97" s="36">
        <v>61.3</v>
      </c>
      <c r="AC97" s="36">
        <v>74.6</v>
      </c>
      <c r="AD97" s="37">
        <v>89.4</v>
      </c>
      <c r="AE97" s="17"/>
      <c r="AF97" s="17"/>
      <c r="AG97" s="18"/>
      <c r="AH97" s="17"/>
      <c r="AI97" s="77">
        <v>0.6</v>
      </c>
      <c r="AJ97" s="78">
        <f t="shared" si="11"/>
        <v>0.5865958859</v>
      </c>
      <c r="AK97" s="79">
        <f t="shared" si="8"/>
        <v>0.07300915727</v>
      </c>
      <c r="AL97" s="36" t="s">
        <v>145</v>
      </c>
      <c r="AM97" s="79">
        <f t="shared" ref="AM97:AM100" si="12">3.84%+12.2%</f>
        <v>0.1604</v>
      </c>
      <c r="AN97" s="79">
        <v>0.1987</v>
      </c>
      <c r="AO97" s="79">
        <f t="shared" si="9"/>
        <v>0.12852852</v>
      </c>
      <c r="AP97" s="81">
        <f t="shared" si="10"/>
        <v>0.1063207749</v>
      </c>
      <c r="AQ97" s="17"/>
      <c r="AR97" s="17"/>
      <c r="AS97" s="17"/>
      <c r="AT97" s="17"/>
      <c r="AU97" s="18"/>
      <c r="AV97" s="17"/>
      <c r="AW97" s="17"/>
      <c r="AX97" s="17"/>
      <c r="AY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7"/>
      <c r="O98" s="17"/>
      <c r="P98" s="17"/>
      <c r="Q98" s="17"/>
      <c r="R98" s="17"/>
      <c r="S98" s="18"/>
      <c r="T98" s="17"/>
      <c r="U98" s="43" t="s">
        <v>411</v>
      </c>
      <c r="V98" s="45"/>
      <c r="W98" s="82">
        <v>10.0</v>
      </c>
      <c r="X98" s="82">
        <v>34.0</v>
      </c>
      <c r="Y98" s="82"/>
      <c r="Z98" s="82">
        <v>150.0</v>
      </c>
      <c r="AA98" s="82">
        <v>234.0</v>
      </c>
      <c r="AB98" s="82">
        <v>276.0</v>
      </c>
      <c r="AC98" s="82">
        <v>240.0</v>
      </c>
      <c r="AD98" s="83">
        <v>23.0</v>
      </c>
      <c r="AE98" s="17"/>
      <c r="AF98" s="17"/>
      <c r="AG98" s="18"/>
      <c r="AH98" s="17"/>
      <c r="AI98" s="77">
        <v>0.7</v>
      </c>
      <c r="AJ98" s="78">
        <f t="shared" si="11"/>
        <v>0.7558062376</v>
      </c>
      <c r="AK98" s="79">
        <f t="shared" si="8"/>
        <v>0.08299256802</v>
      </c>
      <c r="AL98" s="36" t="s">
        <v>145</v>
      </c>
      <c r="AM98" s="79">
        <f t="shared" si="12"/>
        <v>0.1604</v>
      </c>
      <c r="AN98" s="79">
        <v>0.1703</v>
      </c>
      <c r="AO98" s="79">
        <f t="shared" si="9"/>
        <v>0.13308388</v>
      </c>
      <c r="AP98" s="81">
        <f t="shared" si="10"/>
        <v>0.1180564864</v>
      </c>
      <c r="AQ98" s="17"/>
      <c r="AR98" s="17"/>
      <c r="AS98" s="17"/>
      <c r="AT98" s="17"/>
      <c r="AU98" s="18"/>
      <c r="AV98" s="17"/>
      <c r="AW98" s="17"/>
      <c r="AX98" s="17"/>
      <c r="AY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7"/>
      <c r="O99" s="17"/>
      <c r="P99" s="17"/>
      <c r="Q99" s="17"/>
      <c r="R99" s="17"/>
      <c r="S99" s="18"/>
      <c r="T99" s="17"/>
      <c r="U99" s="17" t="s">
        <v>412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8"/>
      <c r="AH99" s="17"/>
      <c r="AI99" s="77">
        <v>0.8</v>
      </c>
      <c r="AJ99" s="78">
        <f t="shared" si="11"/>
        <v>1.094226941</v>
      </c>
      <c r="AK99" s="79">
        <f t="shared" si="8"/>
        <v>0.1029593895</v>
      </c>
      <c r="AL99" s="36" t="s">
        <v>145</v>
      </c>
      <c r="AM99" s="79">
        <f t="shared" si="12"/>
        <v>0.1604</v>
      </c>
      <c r="AN99" s="79">
        <v>0.1491</v>
      </c>
      <c r="AO99" s="79">
        <f t="shared" si="9"/>
        <v>0.13648436</v>
      </c>
      <c r="AP99" s="81">
        <f t="shared" si="10"/>
        <v>0.1297793659</v>
      </c>
      <c r="AQ99" s="17"/>
      <c r="AR99" s="17"/>
      <c r="AS99" s="17"/>
      <c r="AT99" s="17"/>
      <c r="AU99" s="18"/>
      <c r="AV99" s="17"/>
      <c r="AW99" s="17"/>
      <c r="AX99" s="17"/>
      <c r="AY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  <c r="N100" s="17"/>
      <c r="O100" s="17"/>
      <c r="P100" s="17"/>
      <c r="Q100" s="17"/>
      <c r="R100" s="17"/>
      <c r="S100" s="18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8"/>
      <c r="AH100" s="17"/>
      <c r="AI100" s="84">
        <v>0.9</v>
      </c>
      <c r="AJ100" s="85">
        <f t="shared" si="11"/>
        <v>2.109489051</v>
      </c>
      <c r="AK100" s="86">
        <f t="shared" si="8"/>
        <v>0.162859854</v>
      </c>
      <c r="AL100" s="87" t="s">
        <v>145</v>
      </c>
      <c r="AM100" s="79">
        <f t="shared" si="12"/>
        <v>0.1604</v>
      </c>
      <c r="AN100" s="86">
        <v>0.1325</v>
      </c>
      <c r="AO100" s="86">
        <f t="shared" si="9"/>
        <v>0.139147</v>
      </c>
      <c r="AP100" s="88">
        <f t="shared" si="10"/>
        <v>0.1415182854</v>
      </c>
      <c r="AQ100" s="17"/>
      <c r="AR100" s="17"/>
      <c r="AS100" s="17"/>
      <c r="AT100" s="17"/>
      <c r="AU100" s="18"/>
      <c r="AV100" s="17"/>
      <c r="AW100" s="17"/>
      <c r="AX100" s="17"/>
      <c r="AY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8"/>
      <c r="N101" s="17"/>
      <c r="O101" s="17"/>
      <c r="P101" s="17"/>
      <c r="Q101" s="17"/>
      <c r="R101" s="17"/>
      <c r="S101" s="18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8"/>
      <c r="AH101" s="23"/>
      <c r="AI101" s="89"/>
      <c r="AJ101" s="89"/>
      <c r="AK101" s="89"/>
      <c r="AL101" s="89"/>
      <c r="AM101" s="89"/>
      <c r="AN101" s="89"/>
      <c r="AO101" s="89"/>
      <c r="AP101" s="90"/>
      <c r="AQ101" s="17"/>
      <c r="AR101" s="17"/>
      <c r="AS101" s="17"/>
      <c r="AT101" s="17"/>
      <c r="AU101" s="18"/>
      <c r="AV101" s="17"/>
      <c r="AW101" s="17"/>
      <c r="AX101" s="17"/>
      <c r="AY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  <c r="N102" s="17"/>
      <c r="O102" s="17"/>
      <c r="P102" s="17"/>
      <c r="Q102" s="17"/>
      <c r="R102" s="17"/>
      <c r="S102" s="18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8"/>
      <c r="AH102" s="23"/>
      <c r="AI102" s="17"/>
      <c r="AJ102" s="17"/>
      <c r="AK102" s="17"/>
      <c r="AL102" s="17"/>
      <c r="AM102" s="17"/>
      <c r="AN102" s="17"/>
      <c r="AO102" s="17"/>
      <c r="AP102" s="23"/>
      <c r="AQ102" s="17"/>
      <c r="AR102" s="17"/>
      <c r="AS102" s="17"/>
      <c r="AT102" s="17"/>
      <c r="AU102" s="18"/>
      <c r="AV102" s="17"/>
      <c r="AW102" s="17"/>
      <c r="AX102" s="17"/>
      <c r="AY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  <c r="N103" s="17"/>
      <c r="O103" s="17"/>
      <c r="P103" s="17"/>
      <c r="Q103" s="17"/>
      <c r="R103" s="17"/>
      <c r="S103" s="18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8"/>
      <c r="AH103" s="23"/>
      <c r="AI103" s="17"/>
      <c r="AJ103" s="17"/>
      <c r="AK103" s="17"/>
      <c r="AL103" s="17"/>
      <c r="AM103" s="17"/>
      <c r="AN103" s="17"/>
      <c r="AO103" s="17"/>
      <c r="AP103" s="23"/>
      <c r="AQ103" s="17"/>
      <c r="AR103" s="17"/>
      <c r="AS103" s="17"/>
      <c r="AT103" s="17"/>
      <c r="AU103" s="18"/>
      <c r="AV103" s="17"/>
      <c r="AW103" s="17"/>
      <c r="AX103" s="17"/>
      <c r="AY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  <c r="N104" s="17"/>
      <c r="O104" s="17"/>
      <c r="P104" s="17"/>
      <c r="Q104" s="17"/>
      <c r="R104" s="17"/>
      <c r="S104" s="18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8"/>
      <c r="AH104" s="23"/>
      <c r="AI104" s="17"/>
      <c r="AJ104" s="17"/>
      <c r="AK104" s="17"/>
      <c r="AL104" s="17"/>
      <c r="AM104" s="17"/>
      <c r="AN104" s="17"/>
      <c r="AO104" s="17"/>
      <c r="AP104" s="23"/>
      <c r="AQ104" s="17"/>
      <c r="AR104" s="17"/>
      <c r="AS104" s="17"/>
      <c r="AT104" s="17"/>
      <c r="AU104" s="18"/>
      <c r="AV104" s="17"/>
      <c r="AW104" s="17"/>
      <c r="AX104" s="17"/>
      <c r="AY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  <c r="N105" s="17"/>
      <c r="O105" s="17"/>
      <c r="P105" s="17"/>
      <c r="Q105" s="17"/>
      <c r="R105" s="17"/>
      <c r="S105" s="18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8"/>
      <c r="AH105" s="23"/>
      <c r="AI105" s="17"/>
      <c r="AJ105" s="17"/>
      <c r="AK105" s="17"/>
      <c r="AL105" s="17"/>
      <c r="AM105" s="17"/>
      <c r="AN105" s="17"/>
      <c r="AO105" s="17"/>
      <c r="AP105" s="23"/>
      <c r="AQ105" s="17"/>
      <c r="AR105" s="17"/>
      <c r="AS105" s="17"/>
      <c r="AT105" s="17"/>
      <c r="AU105" s="18"/>
      <c r="AV105" s="17"/>
      <c r="AW105" s="17"/>
      <c r="AX105" s="17"/>
      <c r="AY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  <c r="N106" s="17"/>
      <c r="O106" s="17"/>
      <c r="P106" s="17"/>
      <c r="Q106" s="17"/>
      <c r="R106" s="17"/>
      <c r="S106" s="18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8"/>
      <c r="AH106" s="23"/>
      <c r="AI106" s="17"/>
      <c r="AJ106" s="17"/>
      <c r="AK106" s="17"/>
      <c r="AL106" s="17"/>
      <c r="AM106" s="17"/>
      <c r="AN106" s="17"/>
      <c r="AO106" s="17"/>
      <c r="AP106" s="23"/>
      <c r="AQ106" s="17"/>
      <c r="AR106" s="17"/>
      <c r="AS106" s="17"/>
      <c r="AT106" s="17"/>
      <c r="AU106" s="18"/>
      <c r="AV106" s="17"/>
      <c r="AW106" s="17"/>
      <c r="AX106" s="17"/>
      <c r="AY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  <c r="N107" s="17"/>
      <c r="O107" s="17"/>
      <c r="P107" s="17"/>
      <c r="Q107" s="17"/>
      <c r="R107" s="17"/>
      <c r="S107" s="18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8"/>
      <c r="AH107" s="23"/>
      <c r="AI107" s="17"/>
      <c r="AJ107" s="17"/>
      <c r="AK107" s="17"/>
      <c r="AL107" s="17"/>
      <c r="AM107" s="17"/>
      <c r="AN107" s="17"/>
      <c r="AO107" s="17"/>
      <c r="AP107" s="23"/>
      <c r="AQ107" s="17"/>
      <c r="AR107" s="17"/>
      <c r="AS107" s="17"/>
      <c r="AT107" s="17"/>
      <c r="AU107" s="18"/>
      <c r="AV107" s="17"/>
      <c r="AW107" s="17"/>
      <c r="AX107" s="17"/>
      <c r="AY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  <c r="N108" s="17"/>
      <c r="O108" s="17"/>
      <c r="P108" s="17"/>
      <c r="Q108" s="17"/>
      <c r="R108" s="17"/>
      <c r="S108" s="18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8"/>
      <c r="AH108" s="23"/>
      <c r="AI108" s="17"/>
      <c r="AJ108" s="17"/>
      <c r="AK108" s="17"/>
      <c r="AL108" s="17"/>
      <c r="AM108" s="17"/>
      <c r="AN108" s="17"/>
      <c r="AO108" s="17"/>
      <c r="AP108" s="23"/>
      <c r="AQ108" s="17"/>
      <c r="AR108" s="17"/>
      <c r="AS108" s="17"/>
      <c r="AT108" s="17"/>
      <c r="AU108" s="18"/>
      <c r="AV108" s="17"/>
      <c r="AW108" s="17"/>
      <c r="AX108" s="17"/>
      <c r="AY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8"/>
      <c r="N109" s="17"/>
      <c r="O109" s="17"/>
      <c r="P109" s="17"/>
      <c r="Q109" s="17"/>
      <c r="R109" s="17"/>
      <c r="S109" s="18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8"/>
      <c r="AH109" s="23"/>
      <c r="AI109" s="17"/>
      <c r="AJ109" s="17"/>
      <c r="AK109" s="17"/>
      <c r="AL109" s="17"/>
      <c r="AM109" s="17"/>
      <c r="AN109" s="17"/>
      <c r="AO109" s="17"/>
      <c r="AP109" s="23"/>
      <c r="AQ109" s="17"/>
      <c r="AR109" s="17"/>
      <c r="AS109" s="17"/>
      <c r="AT109" s="17"/>
      <c r="AU109" s="18"/>
      <c r="AV109" s="17"/>
      <c r="AW109" s="17"/>
      <c r="AX109" s="17"/>
      <c r="AY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8"/>
      <c r="N110" s="17"/>
      <c r="O110" s="17"/>
      <c r="P110" s="17"/>
      <c r="Q110" s="17"/>
      <c r="R110" s="17"/>
      <c r="S110" s="18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8"/>
      <c r="AH110" s="23"/>
      <c r="AI110" s="17"/>
      <c r="AJ110" s="17"/>
      <c r="AK110" s="17"/>
      <c r="AL110" s="17"/>
      <c r="AM110" s="17"/>
      <c r="AN110" s="17"/>
      <c r="AO110" s="17"/>
      <c r="AP110" s="23"/>
      <c r="AQ110" s="17"/>
      <c r="AR110" s="17"/>
      <c r="AS110" s="17"/>
      <c r="AT110" s="17"/>
      <c r="AU110" s="18"/>
      <c r="AV110" s="17"/>
      <c r="AW110" s="17"/>
      <c r="AX110" s="17"/>
      <c r="AY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7"/>
      <c r="O111" s="17"/>
      <c r="P111" s="17"/>
      <c r="Q111" s="17"/>
      <c r="R111" s="17"/>
      <c r="S111" s="18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8"/>
      <c r="AH111" s="23"/>
      <c r="AI111" s="17"/>
      <c r="AJ111" s="17"/>
      <c r="AK111" s="17"/>
      <c r="AL111" s="17"/>
      <c r="AM111" s="17"/>
      <c r="AN111" s="17"/>
      <c r="AO111" s="17"/>
      <c r="AP111" s="23"/>
      <c r="AQ111" s="17"/>
      <c r="AR111" s="17"/>
      <c r="AS111" s="17"/>
      <c r="AT111" s="17"/>
      <c r="AU111" s="18"/>
      <c r="AV111" s="17"/>
      <c r="AW111" s="17"/>
      <c r="AX111" s="17"/>
      <c r="AY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7"/>
      <c r="O112" s="17"/>
      <c r="P112" s="17"/>
      <c r="Q112" s="17"/>
      <c r="R112" s="17"/>
      <c r="S112" s="18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8"/>
      <c r="AH112" s="23"/>
      <c r="AI112" s="17"/>
      <c r="AJ112" s="17"/>
      <c r="AK112" s="17"/>
      <c r="AL112" s="17"/>
      <c r="AM112" s="17"/>
      <c r="AN112" s="17"/>
      <c r="AO112" s="17"/>
      <c r="AP112" s="23"/>
      <c r="AQ112" s="17"/>
      <c r="AR112" s="17"/>
      <c r="AS112" s="17"/>
      <c r="AT112" s="17"/>
      <c r="AU112" s="18"/>
      <c r="AV112" s="17"/>
      <c r="AW112" s="17"/>
      <c r="AX112" s="17"/>
      <c r="AY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7"/>
      <c r="O113" s="17"/>
      <c r="P113" s="17"/>
      <c r="Q113" s="17"/>
      <c r="R113" s="17"/>
      <c r="S113" s="18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8"/>
      <c r="AH113" s="23"/>
      <c r="AI113" s="17"/>
      <c r="AJ113" s="17"/>
      <c r="AK113" s="17"/>
      <c r="AL113" s="17"/>
      <c r="AM113" s="17"/>
      <c r="AN113" s="17"/>
      <c r="AO113" s="17"/>
      <c r="AP113" s="23"/>
      <c r="AQ113" s="17"/>
      <c r="AR113" s="17"/>
      <c r="AS113" s="17"/>
      <c r="AT113" s="17"/>
      <c r="AU113" s="18"/>
      <c r="AV113" s="17"/>
      <c r="AW113" s="17"/>
      <c r="AX113" s="17"/>
      <c r="AY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7"/>
      <c r="O114" s="17"/>
      <c r="P114" s="17"/>
      <c r="Q114" s="17"/>
      <c r="R114" s="17"/>
      <c r="S114" s="18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8"/>
      <c r="AH114" s="23"/>
      <c r="AI114" s="17"/>
      <c r="AJ114" s="17"/>
      <c r="AK114" s="17"/>
      <c r="AL114" s="17"/>
      <c r="AM114" s="17"/>
      <c r="AN114" s="17"/>
      <c r="AO114" s="17"/>
      <c r="AP114" s="23"/>
      <c r="AQ114" s="17"/>
      <c r="AR114" s="17"/>
      <c r="AS114" s="17"/>
      <c r="AT114" s="17"/>
      <c r="AU114" s="18"/>
      <c r="AV114" s="17"/>
      <c r="AW114" s="17"/>
      <c r="AX114" s="17"/>
      <c r="AY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7"/>
      <c r="O115" s="17"/>
      <c r="P115" s="17"/>
      <c r="Q115" s="17"/>
      <c r="R115" s="17"/>
      <c r="S115" s="18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8"/>
      <c r="AH115" s="23"/>
      <c r="AI115" s="17"/>
      <c r="AJ115" s="17"/>
      <c r="AK115" s="17"/>
      <c r="AL115" s="17"/>
      <c r="AM115" s="17"/>
      <c r="AN115" s="17"/>
      <c r="AO115" s="17"/>
      <c r="AP115" s="23"/>
      <c r="AQ115" s="17"/>
      <c r="AR115" s="17"/>
      <c r="AS115" s="17"/>
      <c r="AT115" s="17"/>
      <c r="AU115" s="18"/>
      <c r="AV115" s="17"/>
      <c r="AW115" s="17"/>
      <c r="AX115" s="17"/>
      <c r="AY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7"/>
      <c r="O116" s="17"/>
      <c r="P116" s="17"/>
      <c r="Q116" s="17"/>
      <c r="R116" s="17"/>
      <c r="S116" s="18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8"/>
      <c r="AH116" s="23"/>
      <c r="AI116" s="17"/>
      <c r="AJ116" s="17"/>
      <c r="AK116" s="17"/>
      <c r="AL116" s="17"/>
      <c r="AM116" s="17"/>
      <c r="AN116" s="17"/>
      <c r="AO116" s="17"/>
      <c r="AP116" s="23"/>
      <c r="AQ116" s="17"/>
      <c r="AR116" s="17"/>
      <c r="AS116" s="17"/>
      <c r="AT116" s="17"/>
      <c r="AU116" s="18"/>
      <c r="AV116" s="17"/>
      <c r="AW116" s="17"/>
      <c r="AX116" s="17"/>
      <c r="AY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7"/>
      <c r="O117" s="17"/>
      <c r="P117" s="17"/>
      <c r="Q117" s="17"/>
      <c r="R117" s="17"/>
      <c r="S117" s="18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8"/>
      <c r="AH117" s="23"/>
      <c r="AI117" s="17"/>
      <c r="AJ117" s="17"/>
      <c r="AK117" s="17"/>
      <c r="AL117" s="17"/>
      <c r="AM117" s="17"/>
      <c r="AN117" s="17"/>
      <c r="AO117" s="17"/>
      <c r="AP117" s="23"/>
      <c r="AQ117" s="17"/>
      <c r="AR117" s="17"/>
      <c r="AS117" s="17"/>
      <c r="AT117" s="17"/>
      <c r="AU117" s="18"/>
      <c r="AV117" s="17"/>
      <c r="AW117" s="17"/>
      <c r="AX117" s="17"/>
      <c r="AY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7"/>
      <c r="O118" s="17"/>
      <c r="P118" s="17"/>
      <c r="Q118" s="17"/>
      <c r="R118" s="17"/>
      <c r="S118" s="18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8"/>
      <c r="AH118" s="23"/>
      <c r="AI118" s="43"/>
      <c r="AJ118" s="45"/>
      <c r="AK118" s="45"/>
      <c r="AL118" s="45"/>
      <c r="AM118" s="45"/>
      <c r="AN118" s="45"/>
      <c r="AO118" s="45"/>
      <c r="AP118" s="46"/>
      <c r="AQ118" s="17"/>
      <c r="AR118" s="17"/>
      <c r="AS118" s="17"/>
      <c r="AT118" s="17"/>
      <c r="AU118" s="18"/>
      <c r="AV118" s="17"/>
      <c r="AW118" s="17"/>
      <c r="AX118" s="17"/>
      <c r="AY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7"/>
      <c r="O119" s="17"/>
      <c r="P119" s="17"/>
      <c r="Q119" s="17"/>
      <c r="R119" s="17"/>
      <c r="S119" s="18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8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7"/>
      <c r="AW119" s="17"/>
      <c r="AX119" s="17"/>
      <c r="AY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7"/>
      <c r="O120" s="17"/>
      <c r="P120" s="17"/>
      <c r="Q120" s="17"/>
      <c r="R120" s="17"/>
      <c r="S120" s="18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8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7"/>
      <c r="AW120" s="17"/>
      <c r="AX120" s="17"/>
      <c r="AY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7"/>
      <c r="O121" s="17"/>
      <c r="P121" s="17"/>
      <c r="Q121" s="17"/>
      <c r="R121" s="17"/>
      <c r="S121" s="18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8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7"/>
      <c r="AW121" s="17"/>
      <c r="AX121" s="17"/>
      <c r="AY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7"/>
      <c r="O122" s="17"/>
      <c r="P122" s="17"/>
      <c r="Q122" s="17"/>
      <c r="R122" s="17"/>
      <c r="S122" s="18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8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7"/>
      <c r="AW122" s="17"/>
      <c r="AX122" s="17"/>
      <c r="AY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7"/>
      <c r="O123" s="17"/>
      <c r="P123" s="17"/>
      <c r="Q123" s="17"/>
      <c r="R123" s="17"/>
      <c r="S123" s="18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8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7"/>
      <c r="AW123" s="17"/>
      <c r="AX123" s="17"/>
      <c r="AY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7"/>
      <c r="O124" s="17"/>
      <c r="P124" s="17"/>
      <c r="Q124" s="17"/>
      <c r="R124" s="17"/>
      <c r="S124" s="18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8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7"/>
      <c r="AW124" s="17"/>
      <c r="AX124" s="17"/>
      <c r="AY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7"/>
      <c r="O125" s="17"/>
      <c r="P125" s="17"/>
      <c r="Q125" s="17"/>
      <c r="R125" s="17"/>
      <c r="S125" s="18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8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7"/>
      <c r="AW125" s="17"/>
      <c r="AX125" s="17"/>
      <c r="AY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7"/>
      <c r="O126" s="17"/>
      <c r="P126" s="17"/>
      <c r="Q126" s="17"/>
      <c r="R126" s="17"/>
      <c r="S126" s="18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8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7"/>
      <c r="AW126" s="17"/>
      <c r="AX126" s="17"/>
      <c r="AY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7"/>
      <c r="O127" s="17"/>
      <c r="P127" s="17"/>
      <c r="Q127" s="17"/>
      <c r="R127" s="17"/>
      <c r="S127" s="18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8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7"/>
      <c r="AW127" s="17"/>
      <c r="AX127" s="17"/>
      <c r="AY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7"/>
      <c r="O128" s="17"/>
      <c r="P128" s="17"/>
      <c r="Q128" s="17"/>
      <c r="R128" s="17"/>
      <c r="S128" s="18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8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7"/>
      <c r="AW128" s="17"/>
      <c r="AX128" s="17"/>
      <c r="AY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7"/>
      <c r="O129" s="17"/>
      <c r="P129" s="17"/>
      <c r="Q129" s="17"/>
      <c r="R129" s="17"/>
      <c r="S129" s="18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8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7"/>
      <c r="AW129" s="17"/>
      <c r="AX129" s="17"/>
      <c r="AY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7"/>
      <c r="O130" s="17"/>
      <c r="P130" s="17"/>
      <c r="Q130" s="17"/>
      <c r="R130" s="17"/>
      <c r="S130" s="18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8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7"/>
      <c r="AW130" s="17"/>
      <c r="AX130" s="17"/>
      <c r="AY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  <c r="N131" s="17"/>
      <c r="O131" s="17"/>
      <c r="P131" s="17"/>
      <c r="Q131" s="17"/>
      <c r="R131" s="17"/>
      <c r="S131" s="18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8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7"/>
      <c r="AW131" s="17"/>
      <c r="AX131" s="17"/>
      <c r="AY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8"/>
      <c r="N132" s="17"/>
      <c r="O132" s="17"/>
      <c r="P132" s="17"/>
      <c r="Q132" s="17"/>
      <c r="R132" s="17"/>
      <c r="S132" s="18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8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7"/>
      <c r="AW132" s="17"/>
      <c r="AX132" s="17"/>
      <c r="AY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7"/>
      <c r="O133" s="17"/>
      <c r="P133" s="17"/>
      <c r="Q133" s="17"/>
      <c r="R133" s="17"/>
      <c r="S133" s="18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8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7"/>
      <c r="AW133" s="17"/>
      <c r="AX133" s="17"/>
      <c r="AY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7"/>
      <c r="O134" s="17"/>
      <c r="P134" s="17"/>
      <c r="Q134" s="17"/>
      <c r="R134" s="17"/>
      <c r="S134" s="18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8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7"/>
      <c r="AW134" s="17"/>
      <c r="AX134" s="17"/>
      <c r="AY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7"/>
      <c r="O135" s="17"/>
      <c r="P135" s="17"/>
      <c r="Q135" s="17"/>
      <c r="R135" s="17"/>
      <c r="S135" s="18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8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7"/>
      <c r="AW135" s="17"/>
      <c r="AX135" s="17"/>
      <c r="AY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7"/>
      <c r="O136" s="17"/>
      <c r="P136" s="17"/>
      <c r="Q136" s="17"/>
      <c r="R136" s="17"/>
      <c r="S136" s="18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8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7"/>
      <c r="AW136" s="17"/>
      <c r="AX136" s="17"/>
      <c r="AY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7"/>
      <c r="O137" s="17"/>
      <c r="P137" s="17"/>
      <c r="Q137" s="17"/>
      <c r="R137" s="17"/>
      <c r="S137" s="18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8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7"/>
      <c r="AW137" s="17"/>
      <c r="AX137" s="17"/>
      <c r="AY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7"/>
      <c r="O138" s="17"/>
      <c r="P138" s="17"/>
      <c r="Q138" s="17"/>
      <c r="R138" s="17"/>
      <c r="S138" s="18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8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7"/>
      <c r="AW138" s="17"/>
      <c r="AX138" s="17"/>
      <c r="AY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7"/>
      <c r="O139" s="17"/>
      <c r="P139" s="17"/>
      <c r="Q139" s="17"/>
      <c r="R139" s="17"/>
      <c r="S139" s="18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8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7"/>
      <c r="AW139" s="17"/>
      <c r="AX139" s="17"/>
      <c r="AY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7"/>
      <c r="O140" s="17"/>
      <c r="P140" s="17"/>
      <c r="Q140" s="17"/>
      <c r="R140" s="17"/>
      <c r="S140" s="18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8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7"/>
      <c r="AW140" s="17"/>
      <c r="AX140" s="17"/>
      <c r="AY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7"/>
      <c r="O141" s="17"/>
      <c r="P141" s="17"/>
      <c r="Q141" s="17"/>
      <c r="R141" s="17"/>
      <c r="S141" s="18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8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7"/>
      <c r="AW141" s="17"/>
      <c r="AX141" s="17"/>
      <c r="AY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7"/>
      <c r="O142" s="17"/>
      <c r="P142" s="17"/>
      <c r="Q142" s="17"/>
      <c r="R142" s="17"/>
      <c r="S142" s="18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8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7"/>
      <c r="AW142" s="17"/>
      <c r="AX142" s="17"/>
      <c r="AY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/>
      <c r="N143" s="17"/>
      <c r="O143" s="17"/>
      <c r="P143" s="17"/>
      <c r="Q143" s="17"/>
      <c r="R143" s="17"/>
      <c r="S143" s="18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8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7"/>
      <c r="AW143" s="17"/>
      <c r="AX143" s="17"/>
      <c r="AY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7"/>
      <c r="O144" s="17"/>
      <c r="P144" s="17"/>
      <c r="Q144" s="17"/>
      <c r="R144" s="17"/>
      <c r="S144" s="18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8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7"/>
      <c r="AW144" s="17"/>
      <c r="AX144" s="17"/>
      <c r="AY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/>
      <c r="N145" s="17"/>
      <c r="O145" s="17"/>
      <c r="P145" s="17"/>
      <c r="Q145" s="17"/>
      <c r="R145" s="17"/>
      <c r="S145" s="18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8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7"/>
      <c r="AW145" s="17"/>
      <c r="AX145" s="17"/>
      <c r="AY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/>
      <c r="N146" s="17"/>
      <c r="O146" s="17"/>
      <c r="P146" s="17"/>
      <c r="Q146" s="17"/>
      <c r="R146" s="17"/>
      <c r="S146" s="18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8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7"/>
      <c r="AW146" s="17"/>
      <c r="AX146" s="17"/>
      <c r="AY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/>
      <c r="N147" s="17"/>
      <c r="O147" s="17"/>
      <c r="P147" s="17"/>
      <c r="Q147" s="17"/>
      <c r="R147" s="17"/>
      <c r="S147" s="18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8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7"/>
      <c r="AW147" s="17"/>
      <c r="AX147" s="17"/>
      <c r="AY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/>
      <c r="N148" s="17"/>
      <c r="O148" s="17"/>
      <c r="P148" s="17"/>
      <c r="Q148" s="17"/>
      <c r="R148" s="17"/>
      <c r="S148" s="18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8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7"/>
      <c r="AW148" s="17"/>
      <c r="AX148" s="17"/>
      <c r="AY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/>
      <c r="N149" s="17"/>
      <c r="O149" s="17"/>
      <c r="P149" s="17"/>
      <c r="Q149" s="17"/>
      <c r="R149" s="17"/>
      <c r="S149" s="18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8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7"/>
      <c r="AW149" s="17"/>
      <c r="AX149" s="17"/>
      <c r="AY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  <c r="N150" s="17"/>
      <c r="O150" s="17"/>
      <c r="P150" s="17"/>
      <c r="Q150" s="17"/>
      <c r="R150" s="17"/>
      <c r="S150" s="18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8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7"/>
      <c r="AW150" s="17"/>
      <c r="AX150" s="17"/>
      <c r="AY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7"/>
      <c r="O151" s="17"/>
      <c r="P151" s="17"/>
      <c r="Q151" s="17"/>
      <c r="R151" s="17"/>
      <c r="S151" s="18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8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7"/>
      <c r="AW151" s="17"/>
      <c r="AX151" s="17"/>
      <c r="AY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  <c r="N152" s="17"/>
      <c r="O152" s="17"/>
      <c r="P152" s="17"/>
      <c r="Q152" s="17"/>
      <c r="R152" s="17"/>
      <c r="S152" s="18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8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7"/>
      <c r="AW152" s="17"/>
      <c r="AX152" s="17"/>
      <c r="AY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  <c r="N153" s="17"/>
      <c r="O153" s="17"/>
      <c r="P153" s="17"/>
      <c r="Q153" s="17"/>
      <c r="R153" s="17"/>
      <c r="S153" s="18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8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7"/>
      <c r="AW153" s="17"/>
      <c r="AX153" s="17"/>
      <c r="AY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  <c r="N154" s="17"/>
      <c r="O154" s="17"/>
      <c r="P154" s="17"/>
      <c r="Q154" s="17"/>
      <c r="R154" s="17"/>
      <c r="S154" s="18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8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7"/>
      <c r="AW154" s="17"/>
      <c r="AX154" s="17"/>
      <c r="AY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  <c r="N155" s="17"/>
      <c r="O155" s="17"/>
      <c r="P155" s="17"/>
      <c r="Q155" s="17"/>
      <c r="R155" s="17"/>
      <c r="S155" s="18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8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7"/>
      <c r="AW155" s="17"/>
      <c r="AX155" s="17"/>
      <c r="AY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7"/>
      <c r="O156" s="17"/>
      <c r="P156" s="17"/>
      <c r="Q156" s="17"/>
      <c r="R156" s="17"/>
      <c r="S156" s="18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8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7"/>
      <c r="AW156" s="17"/>
      <c r="AX156" s="17"/>
      <c r="AY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  <c r="N157" s="17"/>
      <c r="O157" s="17"/>
      <c r="P157" s="17"/>
      <c r="Q157" s="17"/>
      <c r="R157" s="17"/>
      <c r="S157" s="18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8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7"/>
      <c r="AW157" s="17"/>
      <c r="AX157" s="17"/>
      <c r="AY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7"/>
      <c r="O158" s="17"/>
      <c r="P158" s="17"/>
      <c r="Q158" s="17"/>
      <c r="R158" s="17"/>
      <c r="S158" s="18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8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7"/>
      <c r="AW158" s="17"/>
      <c r="AX158" s="17"/>
      <c r="AY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  <c r="N159" s="17"/>
      <c r="O159" s="17"/>
      <c r="P159" s="17"/>
      <c r="Q159" s="17"/>
      <c r="R159" s="17"/>
      <c r="S159" s="18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8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7"/>
      <c r="AW159" s="17"/>
      <c r="AX159" s="17"/>
      <c r="AY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8"/>
      <c r="N160" s="17"/>
      <c r="O160" s="17"/>
      <c r="P160" s="17"/>
      <c r="Q160" s="17"/>
      <c r="R160" s="17"/>
      <c r="S160" s="18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8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7"/>
      <c r="AW160" s="17"/>
      <c r="AX160" s="17"/>
      <c r="AY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8"/>
      <c r="N161" s="17"/>
      <c r="O161" s="17"/>
      <c r="P161" s="17"/>
      <c r="Q161" s="17"/>
      <c r="R161" s="17"/>
      <c r="S161" s="18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8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7"/>
      <c r="AW161" s="17"/>
      <c r="AX161" s="17"/>
      <c r="AY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8"/>
      <c r="N162" s="17"/>
      <c r="O162" s="17"/>
      <c r="P162" s="17"/>
      <c r="Q162" s="17"/>
      <c r="R162" s="17"/>
      <c r="S162" s="18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8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7"/>
      <c r="AW162" s="17"/>
      <c r="AX162" s="17"/>
      <c r="AY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7"/>
      <c r="O163" s="17"/>
      <c r="P163" s="17"/>
      <c r="Q163" s="17"/>
      <c r="R163" s="17"/>
      <c r="S163" s="18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8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7"/>
      <c r="AW163" s="17"/>
      <c r="AX163" s="17"/>
      <c r="AY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7"/>
      <c r="O164" s="17"/>
      <c r="P164" s="17"/>
      <c r="Q164" s="17"/>
      <c r="R164" s="17"/>
      <c r="S164" s="18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8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7"/>
      <c r="AW164" s="17"/>
      <c r="AX164" s="17"/>
      <c r="AY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7"/>
      <c r="O165" s="17"/>
      <c r="P165" s="17"/>
      <c r="Q165" s="17"/>
      <c r="R165" s="17"/>
      <c r="S165" s="18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8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7"/>
      <c r="AW165" s="17"/>
      <c r="AX165" s="17"/>
      <c r="AY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  <c r="N166" s="17"/>
      <c r="O166" s="17"/>
      <c r="P166" s="17"/>
      <c r="Q166" s="17"/>
      <c r="R166" s="17"/>
      <c r="S166" s="18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8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7"/>
      <c r="AW166" s="17"/>
      <c r="AX166" s="17"/>
      <c r="AY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8"/>
      <c r="N167" s="17"/>
      <c r="O167" s="17"/>
      <c r="P167" s="17"/>
      <c r="Q167" s="17"/>
      <c r="R167" s="17"/>
      <c r="S167" s="18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8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7"/>
      <c r="AW167" s="17"/>
      <c r="AX167" s="17"/>
      <c r="AY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8"/>
      <c r="N168" s="17"/>
      <c r="O168" s="17"/>
      <c r="P168" s="17"/>
      <c r="Q168" s="17"/>
      <c r="R168" s="17"/>
      <c r="S168" s="18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8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7"/>
      <c r="AW168" s="17"/>
      <c r="AX168" s="17"/>
      <c r="AY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/>
      <c r="N169" s="17"/>
      <c r="O169" s="17"/>
      <c r="P169" s="17"/>
      <c r="Q169" s="17"/>
      <c r="R169" s="17"/>
      <c r="S169" s="18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8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7"/>
      <c r="AW169" s="17"/>
      <c r="AX169" s="17"/>
      <c r="AY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7"/>
      <c r="O170" s="17"/>
      <c r="P170" s="17"/>
      <c r="Q170" s="17"/>
      <c r="R170" s="17"/>
      <c r="S170" s="18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8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7"/>
      <c r="AW170" s="17"/>
      <c r="AX170" s="17"/>
      <c r="AY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8"/>
      <c r="N171" s="17"/>
      <c r="O171" s="17"/>
      <c r="P171" s="17"/>
      <c r="Q171" s="17"/>
      <c r="R171" s="17"/>
      <c r="S171" s="18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8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7"/>
      <c r="AW171" s="17"/>
      <c r="AX171" s="17"/>
      <c r="AY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7"/>
      <c r="O172" s="17"/>
      <c r="P172" s="17"/>
      <c r="Q172" s="17"/>
      <c r="R172" s="17"/>
      <c r="S172" s="18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8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7"/>
      <c r="AW172" s="17"/>
      <c r="AX172" s="17"/>
      <c r="AY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8"/>
      <c r="N173" s="17"/>
      <c r="O173" s="17"/>
      <c r="P173" s="17"/>
      <c r="Q173" s="17"/>
      <c r="R173" s="17"/>
      <c r="S173" s="18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8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7"/>
      <c r="AW173" s="17"/>
      <c r="AX173" s="17"/>
      <c r="AY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7"/>
      <c r="O174" s="17"/>
      <c r="P174" s="17"/>
      <c r="Q174" s="17"/>
      <c r="R174" s="17"/>
      <c r="S174" s="18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8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7"/>
      <c r="AW174" s="17"/>
      <c r="AX174" s="17"/>
      <c r="AY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/>
      <c r="N175" s="17"/>
      <c r="O175" s="17"/>
      <c r="P175" s="17"/>
      <c r="Q175" s="17"/>
      <c r="R175" s="17"/>
      <c r="S175" s="18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8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7"/>
      <c r="AW175" s="17"/>
      <c r="AX175" s="17"/>
      <c r="AY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8"/>
      <c r="N176" s="17"/>
      <c r="O176" s="17"/>
      <c r="P176" s="17"/>
      <c r="Q176" s="17"/>
      <c r="R176" s="17"/>
      <c r="S176" s="18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8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7"/>
      <c r="AW176" s="17"/>
      <c r="AX176" s="17"/>
      <c r="AY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7"/>
      <c r="O177" s="17"/>
      <c r="P177" s="17"/>
      <c r="Q177" s="17"/>
      <c r="R177" s="17"/>
      <c r="S177" s="18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8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7"/>
      <c r="AW177" s="17"/>
      <c r="AX177" s="17"/>
      <c r="AY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7"/>
      <c r="O178" s="17"/>
      <c r="P178" s="17"/>
      <c r="Q178" s="17"/>
      <c r="R178" s="17"/>
      <c r="S178" s="18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8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7"/>
      <c r="AW178" s="17"/>
      <c r="AX178" s="17"/>
      <c r="AY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7"/>
      <c r="O179" s="17"/>
      <c r="P179" s="17"/>
      <c r="Q179" s="17"/>
      <c r="R179" s="17"/>
      <c r="S179" s="18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8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7"/>
      <c r="AW179" s="17"/>
      <c r="AX179" s="17"/>
      <c r="AY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/>
      <c r="N180" s="17"/>
      <c r="O180" s="17"/>
      <c r="P180" s="17"/>
      <c r="Q180" s="17"/>
      <c r="R180" s="17"/>
      <c r="S180" s="18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8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7"/>
      <c r="AW180" s="17"/>
      <c r="AX180" s="17"/>
      <c r="AY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7"/>
      <c r="O181" s="17"/>
      <c r="P181" s="17"/>
      <c r="Q181" s="17"/>
      <c r="R181" s="17"/>
      <c r="S181" s="18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8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7"/>
      <c r="AW181" s="17"/>
      <c r="AX181" s="17"/>
      <c r="AY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7"/>
      <c r="O182" s="17"/>
      <c r="P182" s="17"/>
      <c r="Q182" s="17"/>
      <c r="R182" s="17"/>
      <c r="S182" s="18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8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7"/>
      <c r="AW182" s="17"/>
      <c r="AX182" s="17"/>
      <c r="AY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8"/>
      <c r="N183" s="17"/>
      <c r="O183" s="17"/>
      <c r="P183" s="17"/>
      <c r="Q183" s="17"/>
      <c r="R183" s="17"/>
      <c r="S183" s="18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8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7"/>
      <c r="AW183" s="17"/>
      <c r="AX183" s="17"/>
      <c r="AY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7"/>
      <c r="O184" s="17"/>
      <c r="P184" s="17"/>
      <c r="Q184" s="17"/>
      <c r="R184" s="17"/>
      <c r="S184" s="18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8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7"/>
      <c r="AW184" s="17"/>
      <c r="AX184" s="17"/>
      <c r="AY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8"/>
      <c r="N185" s="17"/>
      <c r="O185" s="17"/>
      <c r="P185" s="17"/>
      <c r="Q185" s="17"/>
      <c r="R185" s="17"/>
      <c r="S185" s="18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8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7"/>
      <c r="AW185" s="17"/>
      <c r="AX185" s="17"/>
      <c r="AY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7"/>
      <c r="O186" s="17"/>
      <c r="P186" s="17"/>
      <c r="Q186" s="17"/>
      <c r="R186" s="17"/>
      <c r="S186" s="18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8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7"/>
      <c r="AW186" s="17"/>
      <c r="AX186" s="17"/>
      <c r="AY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8"/>
      <c r="N187" s="17"/>
      <c r="O187" s="17"/>
      <c r="P187" s="17"/>
      <c r="Q187" s="17"/>
      <c r="R187" s="17"/>
      <c r="S187" s="18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8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7"/>
      <c r="AW187" s="17"/>
      <c r="AX187" s="17"/>
      <c r="AY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8"/>
      <c r="N188" s="17"/>
      <c r="O188" s="17"/>
      <c r="P188" s="17"/>
      <c r="Q188" s="17"/>
      <c r="R188" s="17"/>
      <c r="S188" s="18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8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7"/>
      <c r="AW188" s="17"/>
      <c r="AX188" s="17"/>
      <c r="AY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7"/>
      <c r="O189" s="17"/>
      <c r="P189" s="17"/>
      <c r="Q189" s="17"/>
      <c r="R189" s="17"/>
      <c r="S189" s="18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8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7"/>
      <c r="AW189" s="17"/>
      <c r="AX189" s="17"/>
      <c r="AY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8"/>
      <c r="N190" s="17"/>
      <c r="O190" s="17"/>
      <c r="P190" s="17"/>
      <c r="Q190" s="17"/>
      <c r="R190" s="17"/>
      <c r="S190" s="18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8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7"/>
      <c r="AW190" s="17"/>
      <c r="AX190" s="17"/>
      <c r="AY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7"/>
      <c r="O191" s="17"/>
      <c r="P191" s="17"/>
      <c r="Q191" s="17"/>
      <c r="R191" s="17"/>
      <c r="S191" s="18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8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7"/>
      <c r="AW191" s="17"/>
      <c r="AX191" s="17"/>
      <c r="AY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/>
      <c r="N192" s="17"/>
      <c r="O192" s="17"/>
      <c r="P192" s="17"/>
      <c r="Q192" s="17"/>
      <c r="R192" s="17"/>
      <c r="S192" s="18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8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7"/>
      <c r="AW192" s="17"/>
      <c r="AX192" s="17"/>
      <c r="AY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7"/>
      <c r="O193" s="17"/>
      <c r="P193" s="17"/>
      <c r="Q193" s="17"/>
      <c r="R193" s="17"/>
      <c r="S193" s="18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8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7"/>
      <c r="AW193" s="17"/>
      <c r="AX193" s="17"/>
      <c r="AY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8"/>
      <c r="N194" s="17"/>
      <c r="O194" s="17"/>
      <c r="P194" s="17"/>
      <c r="Q194" s="17"/>
      <c r="R194" s="17"/>
      <c r="S194" s="18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8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7"/>
      <c r="AW194" s="17"/>
      <c r="AX194" s="17"/>
      <c r="AY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8"/>
      <c r="N195" s="17"/>
      <c r="O195" s="17"/>
      <c r="P195" s="17"/>
      <c r="Q195" s="17"/>
      <c r="R195" s="17"/>
      <c r="S195" s="18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8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7"/>
      <c r="AW195" s="17"/>
      <c r="AX195" s="17"/>
      <c r="AY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7"/>
      <c r="O196" s="17"/>
      <c r="P196" s="17"/>
      <c r="Q196" s="17"/>
      <c r="R196" s="17"/>
      <c r="S196" s="18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8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7"/>
      <c r="AW196" s="17"/>
      <c r="AX196" s="17"/>
      <c r="AY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8"/>
      <c r="N197" s="17"/>
      <c r="O197" s="17"/>
      <c r="P197" s="17"/>
      <c r="Q197" s="17"/>
      <c r="R197" s="17"/>
      <c r="S197" s="18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8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7"/>
      <c r="AW197" s="17"/>
      <c r="AX197" s="17"/>
      <c r="AY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7"/>
      <c r="O198" s="17"/>
      <c r="P198" s="17"/>
      <c r="Q198" s="17"/>
      <c r="R198" s="17"/>
      <c r="S198" s="18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8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7"/>
      <c r="AW198" s="17"/>
      <c r="AX198" s="17"/>
      <c r="AY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8"/>
      <c r="N199" s="17"/>
      <c r="O199" s="17"/>
      <c r="P199" s="17"/>
      <c r="Q199" s="17"/>
      <c r="R199" s="17"/>
      <c r="S199" s="18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8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7"/>
      <c r="AW199" s="17"/>
      <c r="AX199" s="17"/>
      <c r="AY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7"/>
      <c r="O200" s="17"/>
      <c r="P200" s="17"/>
      <c r="Q200" s="17"/>
      <c r="R200" s="17"/>
      <c r="S200" s="18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8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7"/>
      <c r="AW200" s="17"/>
      <c r="AX200" s="17"/>
      <c r="AY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8"/>
      <c r="N201" s="17"/>
      <c r="O201" s="17"/>
      <c r="P201" s="17"/>
      <c r="Q201" s="17"/>
      <c r="R201" s="17"/>
      <c r="S201" s="18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8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7"/>
      <c r="AW201" s="17"/>
      <c r="AX201" s="17"/>
      <c r="AY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8"/>
      <c r="N202" s="17"/>
      <c r="O202" s="17"/>
      <c r="P202" s="17"/>
      <c r="Q202" s="17"/>
      <c r="R202" s="17"/>
      <c r="S202" s="18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8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7"/>
      <c r="AW202" s="17"/>
      <c r="AX202" s="17"/>
      <c r="AY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/>
      <c r="N203" s="17"/>
      <c r="O203" s="17"/>
      <c r="P203" s="17"/>
      <c r="Q203" s="17"/>
      <c r="R203" s="17"/>
      <c r="S203" s="18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8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7"/>
      <c r="AW203" s="17"/>
      <c r="AX203" s="17"/>
      <c r="AY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8"/>
      <c r="N204" s="17"/>
      <c r="O204" s="17"/>
      <c r="P204" s="17"/>
      <c r="Q204" s="17"/>
      <c r="R204" s="17"/>
      <c r="S204" s="18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8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7"/>
      <c r="AW204" s="17"/>
      <c r="AX204" s="17"/>
      <c r="AY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8"/>
      <c r="N205" s="17"/>
      <c r="O205" s="17"/>
      <c r="P205" s="17"/>
      <c r="Q205" s="17"/>
      <c r="R205" s="17"/>
      <c r="S205" s="18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8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7"/>
      <c r="AW205" s="17"/>
      <c r="AX205" s="17"/>
      <c r="AY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8"/>
      <c r="N206" s="17"/>
      <c r="O206" s="17"/>
      <c r="P206" s="17"/>
      <c r="Q206" s="17"/>
      <c r="R206" s="17"/>
      <c r="S206" s="18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8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7"/>
      <c r="AW206" s="17"/>
      <c r="AX206" s="17"/>
      <c r="AY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7"/>
      <c r="O207" s="17"/>
      <c r="P207" s="17"/>
      <c r="Q207" s="17"/>
      <c r="R207" s="17"/>
      <c r="S207" s="18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8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7"/>
      <c r="AW207" s="17"/>
      <c r="AX207" s="17"/>
      <c r="AY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8"/>
      <c r="N208" s="17"/>
      <c r="O208" s="17"/>
      <c r="P208" s="17"/>
      <c r="Q208" s="17"/>
      <c r="R208" s="17"/>
      <c r="S208" s="18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8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7"/>
      <c r="AW208" s="17"/>
      <c r="AX208" s="17"/>
      <c r="AY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8"/>
      <c r="N209" s="17"/>
      <c r="O209" s="17"/>
      <c r="P209" s="17"/>
      <c r="Q209" s="17"/>
      <c r="R209" s="17"/>
      <c r="S209" s="18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8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7"/>
      <c r="AW209" s="17"/>
      <c r="AX209" s="17"/>
      <c r="AY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8"/>
      <c r="N210" s="17"/>
      <c r="O210" s="17"/>
      <c r="P210" s="17"/>
      <c r="Q210" s="17"/>
      <c r="R210" s="17"/>
      <c r="S210" s="18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8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7"/>
      <c r="AW210" s="17"/>
      <c r="AX210" s="17"/>
      <c r="AY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  <c r="N211" s="17"/>
      <c r="O211" s="17"/>
      <c r="P211" s="17"/>
      <c r="Q211" s="17"/>
      <c r="R211" s="17"/>
      <c r="S211" s="18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8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7"/>
      <c r="AW211" s="17"/>
      <c r="AX211" s="17"/>
      <c r="AY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7"/>
      <c r="O212" s="17"/>
      <c r="P212" s="17"/>
      <c r="Q212" s="17"/>
      <c r="R212" s="17"/>
      <c r="S212" s="18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8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7"/>
      <c r="AW212" s="17"/>
      <c r="AX212" s="17"/>
      <c r="AY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/>
      <c r="N213" s="17"/>
      <c r="O213" s="17"/>
      <c r="P213" s="17"/>
      <c r="Q213" s="17"/>
      <c r="R213" s="17"/>
      <c r="S213" s="18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8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7"/>
      <c r="AW213" s="17"/>
      <c r="AX213" s="17"/>
      <c r="AY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7"/>
      <c r="O214" s="17"/>
      <c r="P214" s="17"/>
      <c r="Q214" s="17"/>
      <c r="R214" s="17"/>
      <c r="S214" s="18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8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7"/>
      <c r="AW214" s="17"/>
      <c r="AX214" s="17"/>
      <c r="AY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8"/>
      <c r="N215" s="17"/>
      <c r="O215" s="17"/>
      <c r="P215" s="17"/>
      <c r="Q215" s="17"/>
      <c r="R215" s="17"/>
      <c r="S215" s="18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8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7"/>
      <c r="AW215" s="17"/>
      <c r="AX215" s="17"/>
      <c r="AY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8"/>
      <c r="N216" s="17"/>
      <c r="O216" s="17"/>
      <c r="P216" s="17"/>
      <c r="Q216" s="17"/>
      <c r="R216" s="17"/>
      <c r="S216" s="18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8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7"/>
      <c r="AW216" s="17"/>
      <c r="AX216" s="17"/>
      <c r="AY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8"/>
      <c r="N217" s="17"/>
      <c r="O217" s="17"/>
      <c r="P217" s="17"/>
      <c r="Q217" s="17"/>
      <c r="R217" s="17"/>
      <c r="S217" s="18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8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7"/>
      <c r="AW217" s="17"/>
      <c r="AX217" s="17"/>
      <c r="AY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8"/>
      <c r="N218" s="17"/>
      <c r="O218" s="17"/>
      <c r="P218" s="17"/>
      <c r="Q218" s="17"/>
      <c r="R218" s="17"/>
      <c r="S218" s="18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8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7"/>
      <c r="AW218" s="17"/>
      <c r="AX218" s="17"/>
      <c r="AY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7"/>
      <c r="O219" s="17"/>
      <c r="P219" s="17"/>
      <c r="Q219" s="17"/>
      <c r="R219" s="17"/>
      <c r="S219" s="18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8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7"/>
      <c r="AW219" s="17"/>
      <c r="AX219" s="17"/>
      <c r="AY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/>
      <c r="N220" s="17"/>
      <c r="O220" s="17"/>
      <c r="P220" s="17"/>
      <c r="Q220" s="17"/>
      <c r="R220" s="17"/>
      <c r="S220" s="18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8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7"/>
      <c r="AW220" s="17"/>
      <c r="AX220" s="17"/>
      <c r="AY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7"/>
      <c r="O221" s="17"/>
      <c r="P221" s="17"/>
      <c r="Q221" s="17"/>
      <c r="R221" s="17"/>
      <c r="S221" s="18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8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7"/>
      <c r="AW221" s="17"/>
      <c r="AX221" s="17"/>
      <c r="AY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8"/>
      <c r="N222" s="17"/>
      <c r="O222" s="17"/>
      <c r="P222" s="17"/>
      <c r="Q222" s="17"/>
      <c r="R222" s="17"/>
      <c r="S222" s="18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8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7"/>
      <c r="AW222" s="17"/>
      <c r="AX222" s="17"/>
      <c r="AY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8"/>
      <c r="N223" s="17"/>
      <c r="O223" s="17"/>
      <c r="P223" s="17"/>
      <c r="Q223" s="17"/>
      <c r="R223" s="17"/>
      <c r="S223" s="18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8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7"/>
      <c r="AW223" s="17"/>
      <c r="AX223" s="17"/>
      <c r="AY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8"/>
      <c r="N224" s="17"/>
      <c r="O224" s="17"/>
      <c r="P224" s="17"/>
      <c r="Q224" s="17"/>
      <c r="R224" s="17"/>
      <c r="S224" s="18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8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7"/>
      <c r="AW224" s="17"/>
      <c r="AX224" s="17"/>
      <c r="AY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8"/>
      <c r="N225" s="17"/>
      <c r="O225" s="17"/>
      <c r="P225" s="17"/>
      <c r="Q225" s="17"/>
      <c r="R225" s="17"/>
      <c r="S225" s="18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8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7"/>
      <c r="AW225" s="17"/>
      <c r="AX225" s="17"/>
      <c r="AY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7"/>
      <c r="O226" s="17"/>
      <c r="P226" s="17"/>
      <c r="Q226" s="17"/>
      <c r="R226" s="17"/>
      <c r="S226" s="18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8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7"/>
      <c r="AW226" s="17"/>
      <c r="AX226" s="17"/>
      <c r="AY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7"/>
      <c r="O227" s="17"/>
      <c r="P227" s="17"/>
      <c r="Q227" s="17"/>
      <c r="R227" s="17"/>
      <c r="S227" s="18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8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7"/>
      <c r="AW227" s="17"/>
      <c r="AX227" s="17"/>
      <c r="AY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/>
      <c r="N228" s="17"/>
      <c r="O228" s="17"/>
      <c r="P228" s="17"/>
      <c r="Q228" s="17"/>
      <c r="R228" s="17"/>
      <c r="S228" s="18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8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7"/>
      <c r="AW228" s="17"/>
      <c r="AX228" s="17"/>
      <c r="AY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7"/>
      <c r="O229" s="17"/>
      <c r="P229" s="17"/>
      <c r="Q229" s="17"/>
      <c r="R229" s="17"/>
      <c r="S229" s="18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8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7"/>
      <c r="AW229" s="17"/>
      <c r="AX229" s="17"/>
      <c r="AY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7"/>
      <c r="O230" s="17"/>
      <c r="P230" s="17"/>
      <c r="Q230" s="17"/>
      <c r="R230" s="17"/>
      <c r="S230" s="18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8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7"/>
      <c r="AW230" s="17"/>
      <c r="AX230" s="17"/>
      <c r="AY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/>
      <c r="N231" s="17"/>
      <c r="O231" s="17"/>
      <c r="P231" s="17"/>
      <c r="Q231" s="17"/>
      <c r="R231" s="17"/>
      <c r="S231" s="18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8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7"/>
      <c r="AW231" s="17"/>
      <c r="AX231" s="17"/>
      <c r="AY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8"/>
      <c r="N232" s="17"/>
      <c r="O232" s="17"/>
      <c r="P232" s="17"/>
      <c r="Q232" s="17"/>
      <c r="R232" s="17"/>
      <c r="S232" s="18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8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7"/>
      <c r="AW232" s="17"/>
      <c r="AX232" s="17"/>
      <c r="AY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8"/>
      <c r="N233" s="17"/>
      <c r="O233" s="17"/>
      <c r="P233" s="17"/>
      <c r="Q233" s="17"/>
      <c r="R233" s="17"/>
      <c r="S233" s="18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8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7"/>
      <c r="AW233" s="17"/>
      <c r="AX233" s="17"/>
      <c r="AY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/>
      <c r="N234" s="17"/>
      <c r="O234" s="17"/>
      <c r="P234" s="17"/>
      <c r="Q234" s="17"/>
      <c r="R234" s="17"/>
      <c r="S234" s="18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8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7"/>
      <c r="AW234" s="17"/>
      <c r="AX234" s="17"/>
      <c r="AY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7"/>
      <c r="O235" s="17"/>
      <c r="P235" s="17"/>
      <c r="Q235" s="17"/>
      <c r="R235" s="17"/>
      <c r="S235" s="18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8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7"/>
      <c r="AW235" s="17"/>
      <c r="AX235" s="17"/>
      <c r="AY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8"/>
      <c r="N236" s="17"/>
      <c r="O236" s="17"/>
      <c r="P236" s="17"/>
      <c r="Q236" s="17"/>
      <c r="R236" s="17"/>
      <c r="S236" s="18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8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7"/>
      <c r="AW236" s="17"/>
      <c r="AX236" s="17"/>
      <c r="AY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7"/>
      <c r="O237" s="17"/>
      <c r="P237" s="17"/>
      <c r="Q237" s="17"/>
      <c r="R237" s="17"/>
      <c r="S237" s="18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8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7"/>
      <c r="AW237" s="17"/>
      <c r="AX237" s="17"/>
      <c r="AY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  <c r="N238" s="17"/>
      <c r="O238" s="17"/>
      <c r="P238" s="17"/>
      <c r="Q238" s="17"/>
      <c r="R238" s="17"/>
      <c r="S238" s="18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8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7"/>
      <c r="AW238" s="17"/>
      <c r="AX238" s="17"/>
      <c r="AY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/>
      <c r="N239" s="17"/>
      <c r="O239" s="17"/>
      <c r="P239" s="17"/>
      <c r="Q239" s="17"/>
      <c r="R239" s="17"/>
      <c r="S239" s="18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8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7"/>
      <c r="AW239" s="17"/>
      <c r="AX239" s="17"/>
      <c r="AY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7"/>
      <c r="O240" s="17"/>
      <c r="P240" s="17"/>
      <c r="Q240" s="17"/>
      <c r="R240" s="17"/>
      <c r="S240" s="18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8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7"/>
      <c r="AW240" s="17"/>
      <c r="AX240" s="17"/>
      <c r="AY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7"/>
      <c r="O241" s="17"/>
      <c r="P241" s="17"/>
      <c r="Q241" s="17"/>
      <c r="R241" s="17"/>
      <c r="S241" s="18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8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7"/>
      <c r="AW241" s="17"/>
      <c r="AX241" s="17"/>
      <c r="AY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7"/>
      <c r="O242" s="17"/>
      <c r="P242" s="17"/>
      <c r="Q242" s="17"/>
      <c r="R242" s="17"/>
      <c r="S242" s="18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8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7"/>
      <c r="AW242" s="17"/>
      <c r="AX242" s="17"/>
      <c r="AY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7"/>
      <c r="O243" s="17"/>
      <c r="P243" s="17"/>
      <c r="Q243" s="17"/>
      <c r="R243" s="17"/>
      <c r="S243" s="18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8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7"/>
      <c r="AW243" s="17"/>
      <c r="AX243" s="17"/>
      <c r="AY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7"/>
      <c r="O244" s="17"/>
      <c r="P244" s="17"/>
      <c r="Q244" s="17"/>
      <c r="R244" s="17"/>
      <c r="S244" s="18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8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7"/>
      <c r="AW244" s="17"/>
      <c r="AX244" s="17"/>
      <c r="AY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/>
      <c r="N245" s="17"/>
      <c r="O245" s="17"/>
      <c r="P245" s="17"/>
      <c r="Q245" s="17"/>
      <c r="R245" s="17"/>
      <c r="S245" s="18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8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7"/>
      <c r="AW245" s="17"/>
      <c r="AX245" s="17"/>
      <c r="AY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8"/>
      <c r="N246" s="17"/>
      <c r="O246" s="17"/>
      <c r="P246" s="17"/>
      <c r="Q246" s="17"/>
      <c r="R246" s="17"/>
      <c r="S246" s="18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8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7"/>
      <c r="AW246" s="17"/>
      <c r="AX246" s="17"/>
      <c r="AY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/>
      <c r="N247" s="17"/>
      <c r="O247" s="17"/>
      <c r="P247" s="17"/>
      <c r="Q247" s="17"/>
      <c r="R247" s="17"/>
      <c r="S247" s="18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8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8"/>
      <c r="AV247" s="17"/>
      <c r="AW247" s="17"/>
      <c r="AX247" s="17"/>
      <c r="AY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8"/>
      <c r="N248" s="17"/>
      <c r="O248" s="17"/>
      <c r="P248" s="17"/>
      <c r="Q248" s="17"/>
      <c r="R248" s="17"/>
      <c r="S248" s="18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8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8"/>
      <c r="AV248" s="17"/>
      <c r="AW248" s="17"/>
      <c r="AX248" s="17"/>
      <c r="AY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7"/>
      <c r="O249" s="17"/>
      <c r="P249" s="17"/>
      <c r="Q249" s="17"/>
      <c r="R249" s="17"/>
      <c r="S249" s="18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8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8"/>
      <c r="AV249" s="17"/>
      <c r="AW249" s="17"/>
      <c r="AX249" s="17"/>
      <c r="AY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7"/>
      <c r="O250" s="17"/>
      <c r="P250" s="17"/>
      <c r="Q250" s="17"/>
      <c r="R250" s="17"/>
      <c r="S250" s="18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8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8"/>
      <c r="AV250" s="17"/>
      <c r="AW250" s="17"/>
      <c r="AX250" s="17"/>
      <c r="AY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8"/>
      <c r="N251" s="17"/>
      <c r="O251" s="17"/>
      <c r="P251" s="17"/>
      <c r="Q251" s="17"/>
      <c r="R251" s="17"/>
      <c r="S251" s="18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8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8"/>
      <c r="AV251" s="17"/>
      <c r="AW251" s="17"/>
      <c r="AX251" s="17"/>
      <c r="AY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7"/>
      <c r="O252" s="17"/>
      <c r="P252" s="17"/>
      <c r="Q252" s="17"/>
      <c r="R252" s="17"/>
      <c r="S252" s="18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8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8"/>
      <c r="AV252" s="17"/>
      <c r="AW252" s="17"/>
      <c r="AX252" s="17"/>
      <c r="AY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8"/>
      <c r="N253" s="17"/>
      <c r="O253" s="17"/>
      <c r="P253" s="17"/>
      <c r="Q253" s="17"/>
      <c r="R253" s="17"/>
      <c r="S253" s="18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8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8"/>
      <c r="AV253" s="17"/>
      <c r="AW253" s="17"/>
      <c r="AX253" s="17"/>
      <c r="AY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8"/>
      <c r="N254" s="17"/>
      <c r="O254" s="17"/>
      <c r="P254" s="17"/>
      <c r="Q254" s="17"/>
      <c r="R254" s="17"/>
      <c r="S254" s="18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8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8"/>
      <c r="AV254" s="17"/>
      <c r="AW254" s="17"/>
      <c r="AX254" s="17"/>
      <c r="AY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/>
      <c r="N255" s="17"/>
      <c r="O255" s="17"/>
      <c r="P255" s="17"/>
      <c r="Q255" s="17"/>
      <c r="R255" s="17"/>
      <c r="S255" s="18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8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8"/>
      <c r="AV255" s="17"/>
      <c r="AW255" s="17"/>
      <c r="AX255" s="17"/>
      <c r="AY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8"/>
      <c r="N256" s="17"/>
      <c r="O256" s="17"/>
      <c r="P256" s="17"/>
      <c r="Q256" s="17"/>
      <c r="R256" s="17"/>
      <c r="S256" s="18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8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8"/>
      <c r="AV256" s="17"/>
      <c r="AW256" s="17"/>
      <c r="AX256" s="17"/>
      <c r="AY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7"/>
      <c r="O257" s="17"/>
      <c r="P257" s="17"/>
      <c r="Q257" s="17"/>
      <c r="R257" s="17"/>
      <c r="S257" s="18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8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8"/>
      <c r="AV257" s="17"/>
      <c r="AW257" s="17"/>
      <c r="AX257" s="17"/>
      <c r="AY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8"/>
      <c r="N258" s="17"/>
      <c r="O258" s="17"/>
      <c r="P258" s="17"/>
      <c r="Q258" s="17"/>
      <c r="R258" s="17"/>
      <c r="S258" s="18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8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8"/>
      <c r="AV258" s="17"/>
      <c r="AW258" s="17"/>
      <c r="AX258" s="17"/>
      <c r="AY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7"/>
      <c r="O259" s="17"/>
      <c r="P259" s="17"/>
      <c r="Q259" s="17"/>
      <c r="R259" s="17"/>
      <c r="S259" s="18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8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8"/>
      <c r="AV259" s="17"/>
      <c r="AW259" s="17"/>
      <c r="AX259" s="17"/>
      <c r="AY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8"/>
      <c r="N260" s="17"/>
      <c r="O260" s="17"/>
      <c r="P260" s="17"/>
      <c r="Q260" s="17"/>
      <c r="R260" s="17"/>
      <c r="S260" s="18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8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8"/>
      <c r="AV260" s="17"/>
      <c r="AW260" s="17"/>
      <c r="AX260" s="17"/>
      <c r="AY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/>
      <c r="N261" s="17"/>
      <c r="O261" s="17"/>
      <c r="P261" s="17"/>
      <c r="Q261" s="17"/>
      <c r="R261" s="17"/>
      <c r="S261" s="18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8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8"/>
      <c r="AV261" s="17"/>
      <c r="AW261" s="17"/>
      <c r="AX261" s="17"/>
      <c r="AY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8"/>
      <c r="N262" s="17"/>
      <c r="O262" s="17"/>
      <c r="P262" s="17"/>
      <c r="Q262" s="17"/>
      <c r="R262" s="17"/>
      <c r="S262" s="18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8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8"/>
      <c r="AV262" s="17"/>
      <c r="AW262" s="17"/>
      <c r="AX262" s="17"/>
      <c r="AY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8"/>
      <c r="N263" s="17"/>
      <c r="O263" s="17"/>
      <c r="P263" s="17"/>
      <c r="Q263" s="17"/>
      <c r="R263" s="17"/>
      <c r="S263" s="18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8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8"/>
      <c r="AV263" s="17"/>
      <c r="AW263" s="17"/>
      <c r="AX263" s="17"/>
      <c r="AY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7"/>
      <c r="O264" s="17"/>
      <c r="P264" s="17"/>
      <c r="Q264" s="17"/>
      <c r="R264" s="17"/>
      <c r="S264" s="18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8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8"/>
      <c r="AV264" s="17"/>
      <c r="AW264" s="17"/>
      <c r="AX264" s="17"/>
      <c r="AY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8"/>
      <c r="N265" s="17"/>
      <c r="O265" s="17"/>
      <c r="P265" s="17"/>
      <c r="Q265" s="17"/>
      <c r="R265" s="17"/>
      <c r="S265" s="18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8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8"/>
      <c r="AV265" s="17"/>
      <c r="AW265" s="17"/>
      <c r="AX265" s="17"/>
      <c r="AY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7"/>
      <c r="O266" s="17"/>
      <c r="P266" s="17"/>
      <c r="Q266" s="17"/>
      <c r="R266" s="17"/>
      <c r="S266" s="18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8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8"/>
      <c r="AV266" s="17"/>
      <c r="AW266" s="17"/>
      <c r="AX266" s="17"/>
      <c r="AY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8"/>
      <c r="N267" s="17"/>
      <c r="O267" s="17"/>
      <c r="P267" s="17"/>
      <c r="Q267" s="17"/>
      <c r="R267" s="17"/>
      <c r="S267" s="18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8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8"/>
      <c r="AV267" s="17"/>
      <c r="AW267" s="17"/>
      <c r="AX267" s="17"/>
      <c r="AY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/>
      <c r="N268" s="17"/>
      <c r="O268" s="17"/>
      <c r="P268" s="17"/>
      <c r="Q268" s="17"/>
      <c r="R268" s="17"/>
      <c r="S268" s="18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8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8"/>
      <c r="AV268" s="17"/>
      <c r="AW268" s="17"/>
      <c r="AX268" s="17"/>
      <c r="AY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7"/>
      <c r="O269" s="17"/>
      <c r="P269" s="17"/>
      <c r="Q269" s="17"/>
      <c r="R269" s="17"/>
      <c r="S269" s="18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8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8"/>
      <c r="AV269" s="17"/>
      <c r="AW269" s="17"/>
      <c r="AX269" s="17"/>
      <c r="AY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8"/>
      <c r="N270" s="17"/>
      <c r="O270" s="17"/>
      <c r="P270" s="17"/>
      <c r="Q270" s="17"/>
      <c r="R270" s="17"/>
      <c r="S270" s="18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8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8"/>
      <c r="AV270" s="17"/>
      <c r="AW270" s="17"/>
      <c r="AX270" s="17"/>
      <c r="AY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7"/>
      <c r="O271" s="17"/>
      <c r="P271" s="17"/>
      <c r="Q271" s="17"/>
      <c r="R271" s="17"/>
      <c r="S271" s="18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8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8"/>
      <c r="AV271" s="17"/>
      <c r="AW271" s="17"/>
      <c r="AX271" s="17"/>
      <c r="AY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8"/>
      <c r="N272" s="17"/>
      <c r="O272" s="17"/>
      <c r="P272" s="17"/>
      <c r="Q272" s="17"/>
      <c r="R272" s="17"/>
      <c r="S272" s="18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8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8"/>
      <c r="AV272" s="17"/>
      <c r="AW272" s="17"/>
      <c r="AX272" s="17"/>
      <c r="AY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/>
      <c r="N273" s="17"/>
      <c r="O273" s="17"/>
      <c r="P273" s="17"/>
      <c r="Q273" s="17"/>
      <c r="R273" s="17"/>
      <c r="S273" s="18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8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8"/>
      <c r="AV273" s="17"/>
      <c r="AW273" s="17"/>
      <c r="AX273" s="17"/>
      <c r="AY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/>
      <c r="N274" s="17"/>
      <c r="O274" s="17"/>
      <c r="P274" s="17"/>
      <c r="Q274" s="17"/>
      <c r="R274" s="17"/>
      <c r="S274" s="18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8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8"/>
      <c r="AV274" s="17"/>
      <c r="AW274" s="17"/>
      <c r="AX274" s="17"/>
      <c r="AY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8"/>
      <c r="N275" s="17"/>
      <c r="O275" s="17"/>
      <c r="P275" s="17"/>
      <c r="Q275" s="17"/>
      <c r="R275" s="17"/>
      <c r="S275" s="18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8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8"/>
      <c r="AV275" s="17"/>
      <c r="AW275" s="17"/>
      <c r="AX275" s="17"/>
      <c r="AY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8"/>
      <c r="N276" s="17"/>
      <c r="O276" s="17"/>
      <c r="P276" s="17"/>
      <c r="Q276" s="17"/>
      <c r="R276" s="17"/>
      <c r="S276" s="18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8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8"/>
      <c r="AV276" s="17"/>
      <c r="AW276" s="17"/>
      <c r="AX276" s="17"/>
      <c r="AY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8"/>
      <c r="N277" s="17"/>
      <c r="O277" s="17"/>
      <c r="P277" s="17"/>
      <c r="Q277" s="17"/>
      <c r="R277" s="17"/>
      <c r="S277" s="18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8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8"/>
      <c r="AV277" s="17"/>
      <c r="AW277" s="17"/>
      <c r="AX277" s="17"/>
      <c r="AY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8"/>
      <c r="N278" s="17"/>
      <c r="O278" s="17"/>
      <c r="P278" s="17"/>
      <c r="Q278" s="17"/>
      <c r="R278" s="17"/>
      <c r="S278" s="18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8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8"/>
      <c r="AV278" s="17"/>
      <c r="AW278" s="17"/>
      <c r="AX278" s="17"/>
      <c r="AY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7"/>
      <c r="O279" s="17"/>
      <c r="P279" s="17"/>
      <c r="Q279" s="17"/>
      <c r="R279" s="17"/>
      <c r="S279" s="18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8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8"/>
      <c r="AV279" s="17"/>
      <c r="AW279" s="17"/>
      <c r="AX279" s="17"/>
      <c r="AY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8"/>
      <c r="N280" s="17"/>
      <c r="O280" s="17"/>
      <c r="P280" s="17"/>
      <c r="Q280" s="17"/>
      <c r="R280" s="17"/>
      <c r="S280" s="18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8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8"/>
      <c r="AV280" s="17"/>
      <c r="AW280" s="17"/>
      <c r="AX280" s="17"/>
      <c r="AY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/>
      <c r="N281" s="17"/>
      <c r="O281" s="17"/>
      <c r="P281" s="17"/>
      <c r="Q281" s="17"/>
      <c r="R281" s="17"/>
      <c r="S281" s="18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8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8"/>
      <c r="AV281" s="17"/>
      <c r="AW281" s="17"/>
      <c r="AX281" s="17"/>
      <c r="AY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8"/>
      <c r="N282" s="17"/>
      <c r="O282" s="17"/>
      <c r="P282" s="17"/>
      <c r="Q282" s="17"/>
      <c r="R282" s="17"/>
      <c r="S282" s="18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8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8"/>
      <c r="AV282" s="17"/>
      <c r="AW282" s="17"/>
      <c r="AX282" s="17"/>
      <c r="AY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8"/>
      <c r="N283" s="17"/>
      <c r="O283" s="17"/>
      <c r="P283" s="17"/>
      <c r="Q283" s="17"/>
      <c r="R283" s="17"/>
      <c r="S283" s="18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8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8"/>
      <c r="AV283" s="17"/>
      <c r="AW283" s="17"/>
      <c r="AX283" s="17"/>
      <c r="AY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/>
      <c r="N284" s="17"/>
      <c r="O284" s="17"/>
      <c r="P284" s="17"/>
      <c r="Q284" s="17"/>
      <c r="R284" s="17"/>
      <c r="S284" s="18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8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8"/>
      <c r="AV284" s="17"/>
      <c r="AW284" s="17"/>
      <c r="AX284" s="17"/>
      <c r="AY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7"/>
      <c r="O285" s="17"/>
      <c r="P285" s="17"/>
      <c r="Q285" s="17"/>
      <c r="R285" s="17"/>
      <c r="S285" s="18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8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8"/>
      <c r="AV285" s="17"/>
      <c r="AW285" s="17"/>
      <c r="AX285" s="17"/>
      <c r="AY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7"/>
      <c r="O286" s="17"/>
      <c r="P286" s="17"/>
      <c r="Q286" s="17"/>
      <c r="R286" s="17"/>
      <c r="S286" s="18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8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8"/>
      <c r="AV286" s="17"/>
      <c r="AW286" s="17"/>
      <c r="AX286" s="17"/>
      <c r="AY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7"/>
      <c r="O287" s="17"/>
      <c r="P287" s="17"/>
      <c r="Q287" s="17"/>
      <c r="R287" s="17"/>
      <c r="S287" s="18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8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8"/>
      <c r="AV287" s="17"/>
      <c r="AW287" s="17"/>
      <c r="AX287" s="17"/>
      <c r="AY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7"/>
      <c r="O288" s="17"/>
      <c r="P288" s="17"/>
      <c r="Q288" s="17"/>
      <c r="R288" s="17"/>
      <c r="S288" s="18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8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8"/>
      <c r="AV288" s="17"/>
      <c r="AW288" s="17"/>
      <c r="AX288" s="17"/>
      <c r="AY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8"/>
      <c r="N289" s="17"/>
      <c r="O289" s="17"/>
      <c r="P289" s="17"/>
      <c r="Q289" s="17"/>
      <c r="R289" s="17"/>
      <c r="S289" s="18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8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8"/>
      <c r="AV289" s="17"/>
      <c r="AW289" s="17"/>
      <c r="AX289" s="17"/>
      <c r="AY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8"/>
      <c r="N290" s="17"/>
      <c r="O290" s="17"/>
      <c r="P290" s="17"/>
      <c r="Q290" s="17"/>
      <c r="R290" s="17"/>
      <c r="S290" s="18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8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8"/>
      <c r="AV290" s="17"/>
      <c r="AW290" s="17"/>
      <c r="AX290" s="17"/>
      <c r="AY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8"/>
      <c r="N291" s="17"/>
      <c r="O291" s="17"/>
      <c r="P291" s="17"/>
      <c r="Q291" s="17"/>
      <c r="R291" s="17"/>
      <c r="S291" s="18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8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8"/>
      <c r="AV291" s="17"/>
      <c r="AW291" s="17"/>
      <c r="AX291" s="17"/>
      <c r="AY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8"/>
      <c r="N292" s="17"/>
      <c r="O292" s="17"/>
      <c r="P292" s="17"/>
      <c r="Q292" s="17"/>
      <c r="R292" s="17"/>
      <c r="S292" s="18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8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8"/>
      <c r="AV292" s="17"/>
      <c r="AW292" s="17"/>
      <c r="AX292" s="17"/>
      <c r="AY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7"/>
      <c r="O293" s="17"/>
      <c r="P293" s="17"/>
      <c r="Q293" s="17"/>
      <c r="R293" s="17"/>
      <c r="S293" s="18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8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8"/>
      <c r="AV293" s="17"/>
      <c r="AW293" s="17"/>
      <c r="AX293" s="17"/>
      <c r="AY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8"/>
      <c r="N294" s="17"/>
      <c r="O294" s="17"/>
      <c r="P294" s="17"/>
      <c r="Q294" s="17"/>
      <c r="R294" s="17"/>
      <c r="S294" s="18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8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8"/>
      <c r="AV294" s="17"/>
      <c r="AW294" s="17"/>
      <c r="AX294" s="17"/>
      <c r="AY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7"/>
      <c r="O295" s="17"/>
      <c r="P295" s="17"/>
      <c r="Q295" s="17"/>
      <c r="R295" s="17"/>
      <c r="S295" s="18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8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8"/>
      <c r="AV295" s="17"/>
      <c r="AW295" s="17"/>
      <c r="AX295" s="17"/>
      <c r="AY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8"/>
      <c r="N296" s="17"/>
      <c r="O296" s="17"/>
      <c r="P296" s="17"/>
      <c r="Q296" s="17"/>
      <c r="R296" s="17"/>
      <c r="S296" s="18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8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8"/>
      <c r="AV296" s="17"/>
      <c r="AW296" s="17"/>
      <c r="AX296" s="17"/>
      <c r="AY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/>
      <c r="N297" s="17"/>
      <c r="O297" s="17"/>
      <c r="P297" s="17"/>
      <c r="Q297" s="17"/>
      <c r="R297" s="17"/>
      <c r="S297" s="18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8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8"/>
      <c r="AV297" s="17"/>
      <c r="AW297" s="17"/>
      <c r="AX297" s="17"/>
      <c r="AY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8"/>
      <c r="N298" s="17"/>
      <c r="O298" s="17"/>
      <c r="P298" s="17"/>
      <c r="Q298" s="17"/>
      <c r="R298" s="17"/>
      <c r="S298" s="18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8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8"/>
      <c r="AV298" s="17"/>
      <c r="AW298" s="17"/>
      <c r="AX298" s="17"/>
      <c r="AY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/>
      <c r="N299" s="17"/>
      <c r="O299" s="17"/>
      <c r="P299" s="17"/>
      <c r="Q299" s="17"/>
      <c r="R299" s="17"/>
      <c r="S299" s="18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8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8"/>
      <c r="AV299" s="17"/>
      <c r="AW299" s="17"/>
      <c r="AX299" s="17"/>
      <c r="AY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7"/>
      <c r="O300" s="17"/>
      <c r="P300" s="17"/>
      <c r="Q300" s="17"/>
      <c r="R300" s="17"/>
      <c r="S300" s="18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8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8"/>
      <c r="AV300" s="17"/>
      <c r="AW300" s="17"/>
      <c r="AX300" s="17"/>
      <c r="AY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8"/>
      <c r="N301" s="17"/>
      <c r="O301" s="17"/>
      <c r="P301" s="17"/>
      <c r="Q301" s="17"/>
      <c r="R301" s="17"/>
      <c r="S301" s="18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8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8"/>
      <c r="AV301" s="17"/>
      <c r="AW301" s="17"/>
      <c r="AX301" s="17"/>
      <c r="AY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7"/>
      <c r="O302" s="17"/>
      <c r="P302" s="17"/>
      <c r="Q302" s="17"/>
      <c r="R302" s="17"/>
      <c r="S302" s="18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8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8"/>
      <c r="AV302" s="17"/>
      <c r="AW302" s="17"/>
      <c r="AX302" s="17"/>
      <c r="AY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8"/>
      <c r="N303" s="17"/>
      <c r="O303" s="17"/>
      <c r="P303" s="17"/>
      <c r="Q303" s="17"/>
      <c r="R303" s="17"/>
      <c r="S303" s="18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8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8"/>
      <c r="AV303" s="17"/>
      <c r="AW303" s="17"/>
      <c r="AX303" s="17"/>
      <c r="AY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/>
      <c r="N304" s="17"/>
      <c r="O304" s="17"/>
      <c r="P304" s="17"/>
      <c r="Q304" s="17"/>
      <c r="R304" s="17"/>
      <c r="S304" s="18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8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8"/>
      <c r="AV304" s="17"/>
      <c r="AW304" s="17"/>
      <c r="AX304" s="17"/>
      <c r="AY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8"/>
      <c r="N305" s="17"/>
      <c r="O305" s="17"/>
      <c r="P305" s="17"/>
      <c r="Q305" s="17"/>
      <c r="R305" s="17"/>
      <c r="S305" s="18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8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8"/>
      <c r="AV305" s="17"/>
      <c r="AW305" s="17"/>
      <c r="AX305" s="17"/>
      <c r="AY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8"/>
      <c r="N306" s="17"/>
      <c r="O306" s="17"/>
      <c r="P306" s="17"/>
      <c r="Q306" s="17"/>
      <c r="R306" s="17"/>
      <c r="S306" s="18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8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8"/>
      <c r="AV306" s="17"/>
      <c r="AW306" s="17"/>
      <c r="AX306" s="17"/>
      <c r="AY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7"/>
      <c r="O307" s="17"/>
      <c r="P307" s="17"/>
      <c r="Q307" s="17"/>
      <c r="R307" s="17"/>
      <c r="S307" s="18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8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8"/>
      <c r="AV307" s="17"/>
      <c r="AW307" s="17"/>
      <c r="AX307" s="17"/>
      <c r="AY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/>
      <c r="N308" s="17"/>
      <c r="O308" s="17"/>
      <c r="P308" s="17"/>
      <c r="Q308" s="17"/>
      <c r="R308" s="17"/>
      <c r="S308" s="18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8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8"/>
      <c r="AV308" s="17"/>
      <c r="AW308" s="17"/>
      <c r="AX308" s="17"/>
      <c r="AY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7"/>
      <c r="O309" s="17"/>
      <c r="P309" s="17"/>
      <c r="Q309" s="17"/>
      <c r="R309" s="17"/>
      <c r="S309" s="18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8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8"/>
      <c r="AV309" s="17"/>
      <c r="AW309" s="17"/>
      <c r="AX309" s="17"/>
      <c r="AY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/>
      <c r="N310" s="17"/>
      <c r="O310" s="17"/>
      <c r="P310" s="17"/>
      <c r="Q310" s="17"/>
      <c r="R310" s="17"/>
      <c r="S310" s="18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8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8"/>
      <c r="AV310" s="17"/>
      <c r="AW310" s="17"/>
      <c r="AX310" s="17"/>
      <c r="AY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8"/>
      <c r="N311" s="17"/>
      <c r="O311" s="17"/>
      <c r="P311" s="17"/>
      <c r="Q311" s="17"/>
      <c r="R311" s="17"/>
      <c r="S311" s="18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8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8"/>
      <c r="AV311" s="17"/>
      <c r="AW311" s="17"/>
      <c r="AX311" s="17"/>
      <c r="AY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/>
      <c r="N312" s="17"/>
      <c r="O312" s="17"/>
      <c r="P312" s="17"/>
      <c r="Q312" s="17"/>
      <c r="R312" s="17"/>
      <c r="S312" s="18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8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8"/>
      <c r="AV312" s="17"/>
      <c r="AW312" s="17"/>
      <c r="AX312" s="17"/>
      <c r="AY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8"/>
      <c r="N313" s="17"/>
      <c r="O313" s="17"/>
      <c r="P313" s="17"/>
      <c r="Q313" s="17"/>
      <c r="R313" s="17"/>
      <c r="S313" s="18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8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8"/>
      <c r="AV313" s="17"/>
      <c r="AW313" s="17"/>
      <c r="AX313" s="17"/>
      <c r="AY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8"/>
      <c r="N314" s="17"/>
      <c r="O314" s="17"/>
      <c r="P314" s="17"/>
      <c r="Q314" s="17"/>
      <c r="R314" s="17"/>
      <c r="S314" s="18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8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8"/>
      <c r="AV314" s="17"/>
      <c r="AW314" s="17"/>
      <c r="AX314" s="17"/>
      <c r="AY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/>
      <c r="N315" s="17"/>
      <c r="O315" s="17"/>
      <c r="P315" s="17"/>
      <c r="Q315" s="17"/>
      <c r="R315" s="17"/>
      <c r="S315" s="18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8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8"/>
      <c r="AV315" s="17"/>
      <c r="AW315" s="17"/>
      <c r="AX315" s="17"/>
      <c r="AY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/>
      <c r="N316" s="17"/>
      <c r="O316" s="17"/>
      <c r="P316" s="17"/>
      <c r="Q316" s="17"/>
      <c r="R316" s="17"/>
      <c r="S316" s="18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8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8"/>
      <c r="AV316" s="17"/>
      <c r="AW316" s="17"/>
      <c r="AX316" s="17"/>
      <c r="AY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8"/>
      <c r="N317" s="17"/>
      <c r="O317" s="17"/>
      <c r="P317" s="17"/>
      <c r="Q317" s="17"/>
      <c r="R317" s="17"/>
      <c r="S317" s="18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8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8"/>
      <c r="AV317" s="17"/>
      <c r="AW317" s="17"/>
      <c r="AX317" s="17"/>
      <c r="AY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8"/>
      <c r="N318" s="17"/>
      <c r="O318" s="17"/>
      <c r="P318" s="17"/>
      <c r="Q318" s="17"/>
      <c r="R318" s="17"/>
      <c r="S318" s="18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8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8"/>
      <c r="AV318" s="17"/>
      <c r="AW318" s="17"/>
      <c r="AX318" s="17"/>
      <c r="AY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/>
      <c r="N319" s="17"/>
      <c r="O319" s="17"/>
      <c r="P319" s="17"/>
      <c r="Q319" s="17"/>
      <c r="R319" s="17"/>
      <c r="S319" s="18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8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8"/>
      <c r="AV319" s="17"/>
      <c r="AW319" s="17"/>
      <c r="AX319" s="17"/>
      <c r="AY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8"/>
      <c r="N320" s="17"/>
      <c r="O320" s="17"/>
      <c r="P320" s="17"/>
      <c r="Q320" s="17"/>
      <c r="R320" s="17"/>
      <c r="S320" s="18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8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8"/>
      <c r="AV320" s="17"/>
      <c r="AW320" s="17"/>
      <c r="AX320" s="17"/>
      <c r="AY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/>
      <c r="N321" s="17"/>
      <c r="O321" s="17"/>
      <c r="P321" s="17"/>
      <c r="Q321" s="17"/>
      <c r="R321" s="17"/>
      <c r="S321" s="18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8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8"/>
      <c r="AV321" s="17"/>
      <c r="AW321" s="17"/>
      <c r="AX321" s="17"/>
      <c r="AY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7"/>
      <c r="O322" s="17"/>
      <c r="P322" s="17"/>
      <c r="Q322" s="17"/>
      <c r="R322" s="17"/>
      <c r="S322" s="18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8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8"/>
      <c r="AV322" s="17"/>
      <c r="AW322" s="17"/>
      <c r="AX322" s="17"/>
      <c r="AY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7"/>
      <c r="O323" s="17"/>
      <c r="P323" s="17"/>
      <c r="Q323" s="17"/>
      <c r="R323" s="17"/>
      <c r="S323" s="18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8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8"/>
      <c r="AV323" s="17"/>
      <c r="AW323" s="17"/>
      <c r="AX323" s="17"/>
      <c r="AY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8"/>
      <c r="N324" s="17"/>
      <c r="O324" s="17"/>
      <c r="P324" s="17"/>
      <c r="Q324" s="17"/>
      <c r="R324" s="17"/>
      <c r="S324" s="18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8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8"/>
      <c r="AV324" s="17"/>
      <c r="AW324" s="17"/>
      <c r="AX324" s="17"/>
      <c r="AY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8"/>
      <c r="N325" s="17"/>
      <c r="O325" s="17"/>
      <c r="P325" s="17"/>
      <c r="Q325" s="17"/>
      <c r="R325" s="17"/>
      <c r="S325" s="18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8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8"/>
      <c r="AV325" s="17"/>
      <c r="AW325" s="17"/>
      <c r="AX325" s="17"/>
      <c r="AY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7"/>
      <c r="O326" s="17"/>
      <c r="P326" s="17"/>
      <c r="Q326" s="17"/>
      <c r="R326" s="17"/>
      <c r="S326" s="18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8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8"/>
      <c r="AV326" s="17"/>
      <c r="AW326" s="17"/>
      <c r="AX326" s="17"/>
      <c r="AY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8"/>
      <c r="N327" s="17"/>
      <c r="O327" s="17"/>
      <c r="P327" s="17"/>
      <c r="Q327" s="17"/>
      <c r="R327" s="17"/>
      <c r="S327" s="18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8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8"/>
      <c r="AV327" s="17"/>
      <c r="AW327" s="17"/>
      <c r="AX327" s="17"/>
      <c r="AY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8"/>
      <c r="N328" s="17"/>
      <c r="O328" s="17"/>
      <c r="P328" s="17"/>
      <c r="Q328" s="17"/>
      <c r="R328" s="17"/>
      <c r="S328" s="18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8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8"/>
      <c r="AV328" s="17"/>
      <c r="AW328" s="17"/>
      <c r="AX328" s="17"/>
      <c r="AY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8"/>
      <c r="N329" s="17"/>
      <c r="O329" s="17"/>
      <c r="P329" s="17"/>
      <c r="Q329" s="17"/>
      <c r="R329" s="17"/>
      <c r="S329" s="18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8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8"/>
      <c r="AV329" s="17"/>
      <c r="AW329" s="17"/>
      <c r="AX329" s="17"/>
      <c r="AY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8"/>
      <c r="N330" s="17"/>
      <c r="O330" s="17"/>
      <c r="P330" s="17"/>
      <c r="Q330" s="17"/>
      <c r="R330" s="17"/>
      <c r="S330" s="18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8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8"/>
      <c r="AV330" s="17"/>
      <c r="AW330" s="17"/>
      <c r="AX330" s="17"/>
      <c r="AY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/>
      <c r="N331" s="17"/>
      <c r="O331" s="17"/>
      <c r="P331" s="17"/>
      <c r="Q331" s="17"/>
      <c r="R331" s="17"/>
      <c r="S331" s="18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8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8"/>
      <c r="AV331" s="17"/>
      <c r="AW331" s="17"/>
      <c r="AX331" s="17"/>
      <c r="AY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8"/>
      <c r="N332" s="17"/>
      <c r="O332" s="17"/>
      <c r="P332" s="17"/>
      <c r="Q332" s="17"/>
      <c r="R332" s="17"/>
      <c r="S332" s="18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8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8"/>
      <c r="AV332" s="17"/>
      <c r="AW332" s="17"/>
      <c r="AX332" s="17"/>
      <c r="AY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8"/>
      <c r="N333" s="17"/>
      <c r="O333" s="17"/>
      <c r="P333" s="17"/>
      <c r="Q333" s="17"/>
      <c r="R333" s="17"/>
      <c r="S333" s="18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8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8"/>
      <c r="AV333" s="17"/>
      <c r="AW333" s="17"/>
      <c r="AX333" s="17"/>
      <c r="AY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/>
      <c r="N334" s="17"/>
      <c r="O334" s="17"/>
      <c r="P334" s="17"/>
      <c r="Q334" s="17"/>
      <c r="R334" s="17"/>
      <c r="S334" s="18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8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8"/>
      <c r="AV334" s="17"/>
      <c r="AW334" s="17"/>
      <c r="AX334" s="17"/>
      <c r="AY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8"/>
      <c r="N335" s="17"/>
      <c r="O335" s="17"/>
      <c r="P335" s="17"/>
      <c r="Q335" s="17"/>
      <c r="R335" s="17"/>
      <c r="S335" s="18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8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8"/>
      <c r="AV335" s="17"/>
      <c r="AW335" s="17"/>
      <c r="AX335" s="17"/>
      <c r="AY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/>
      <c r="N336" s="17"/>
      <c r="O336" s="17"/>
      <c r="P336" s="17"/>
      <c r="Q336" s="17"/>
      <c r="R336" s="17"/>
      <c r="S336" s="18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8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8"/>
      <c r="AV336" s="17"/>
      <c r="AW336" s="17"/>
      <c r="AX336" s="17"/>
      <c r="AY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7"/>
      <c r="O337" s="17"/>
      <c r="P337" s="17"/>
      <c r="Q337" s="17"/>
      <c r="R337" s="17"/>
      <c r="S337" s="18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8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8"/>
      <c r="AV337" s="17"/>
      <c r="AW337" s="17"/>
      <c r="AX337" s="17"/>
      <c r="AY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7"/>
      <c r="O338" s="17"/>
      <c r="P338" s="17"/>
      <c r="Q338" s="17"/>
      <c r="R338" s="17"/>
      <c r="S338" s="18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8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8"/>
      <c r="AV338" s="17"/>
      <c r="AW338" s="17"/>
      <c r="AX338" s="17"/>
      <c r="AY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  <c r="N339" s="17"/>
      <c r="O339" s="17"/>
      <c r="P339" s="17"/>
      <c r="Q339" s="17"/>
      <c r="R339" s="17"/>
      <c r="S339" s="18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8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8"/>
      <c r="AV339" s="17"/>
      <c r="AW339" s="17"/>
      <c r="AX339" s="17"/>
      <c r="AY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8"/>
      <c r="N340" s="17"/>
      <c r="O340" s="17"/>
      <c r="P340" s="17"/>
      <c r="Q340" s="17"/>
      <c r="R340" s="17"/>
      <c r="S340" s="18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8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8"/>
      <c r="AV340" s="17"/>
      <c r="AW340" s="17"/>
      <c r="AX340" s="17"/>
      <c r="AY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8"/>
      <c r="N341" s="17"/>
      <c r="O341" s="17"/>
      <c r="P341" s="17"/>
      <c r="Q341" s="17"/>
      <c r="R341" s="17"/>
      <c r="S341" s="18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8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8"/>
      <c r="AV341" s="17"/>
      <c r="AW341" s="17"/>
      <c r="AX341" s="17"/>
      <c r="AY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/>
      <c r="N342" s="17"/>
      <c r="O342" s="17"/>
      <c r="P342" s="17"/>
      <c r="Q342" s="17"/>
      <c r="R342" s="17"/>
      <c r="S342" s="18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8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8"/>
      <c r="AV342" s="17"/>
      <c r="AW342" s="17"/>
      <c r="AX342" s="17"/>
      <c r="AY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7"/>
      <c r="O343" s="17"/>
      <c r="P343" s="17"/>
      <c r="Q343" s="17"/>
      <c r="R343" s="17"/>
      <c r="S343" s="18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8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8"/>
      <c r="AV343" s="17"/>
      <c r="AW343" s="17"/>
      <c r="AX343" s="17"/>
      <c r="AY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8"/>
      <c r="N344" s="17"/>
      <c r="O344" s="17"/>
      <c r="P344" s="17"/>
      <c r="Q344" s="17"/>
      <c r="R344" s="17"/>
      <c r="S344" s="18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8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8"/>
      <c r="AV344" s="17"/>
      <c r="AW344" s="17"/>
      <c r="AX344" s="17"/>
      <c r="AY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/>
      <c r="N345" s="17"/>
      <c r="O345" s="17"/>
      <c r="P345" s="17"/>
      <c r="Q345" s="17"/>
      <c r="R345" s="17"/>
      <c r="S345" s="18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8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8"/>
      <c r="AV345" s="17"/>
      <c r="AW345" s="17"/>
      <c r="AX345" s="17"/>
      <c r="AY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/>
      <c r="N346" s="17"/>
      <c r="O346" s="17"/>
      <c r="P346" s="17"/>
      <c r="Q346" s="17"/>
      <c r="R346" s="17"/>
      <c r="S346" s="18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8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8"/>
      <c r="AV346" s="17"/>
      <c r="AW346" s="17"/>
      <c r="AX346" s="17"/>
      <c r="AY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8"/>
      <c r="N347" s="17"/>
      <c r="O347" s="17"/>
      <c r="P347" s="17"/>
      <c r="Q347" s="17"/>
      <c r="R347" s="17"/>
      <c r="S347" s="18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8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8"/>
      <c r="AV347" s="17"/>
      <c r="AW347" s="17"/>
      <c r="AX347" s="17"/>
      <c r="AY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8"/>
      <c r="N348" s="17"/>
      <c r="O348" s="17"/>
      <c r="P348" s="17"/>
      <c r="Q348" s="17"/>
      <c r="R348" s="17"/>
      <c r="S348" s="18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8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8"/>
      <c r="AV348" s="17"/>
      <c r="AW348" s="17"/>
      <c r="AX348" s="17"/>
      <c r="AY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8"/>
      <c r="N349" s="17"/>
      <c r="O349" s="17"/>
      <c r="P349" s="17"/>
      <c r="Q349" s="17"/>
      <c r="R349" s="17"/>
      <c r="S349" s="18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8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8"/>
      <c r="AV349" s="17"/>
      <c r="AW349" s="17"/>
      <c r="AX349" s="17"/>
      <c r="AY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8"/>
      <c r="N350" s="17"/>
      <c r="O350" s="17"/>
      <c r="P350" s="17"/>
      <c r="Q350" s="17"/>
      <c r="R350" s="17"/>
      <c r="S350" s="18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8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8"/>
      <c r="AV350" s="17"/>
      <c r="AW350" s="17"/>
      <c r="AX350" s="17"/>
      <c r="AY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8"/>
      <c r="N351" s="17"/>
      <c r="O351" s="17"/>
      <c r="P351" s="17"/>
      <c r="Q351" s="17"/>
      <c r="R351" s="17"/>
      <c r="S351" s="18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8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8"/>
      <c r="AV351" s="17"/>
      <c r="AW351" s="17"/>
      <c r="AX351" s="17"/>
      <c r="AY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8"/>
      <c r="N352" s="17"/>
      <c r="O352" s="17"/>
      <c r="P352" s="17"/>
      <c r="Q352" s="17"/>
      <c r="R352" s="17"/>
      <c r="S352" s="18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8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8"/>
      <c r="AV352" s="17"/>
      <c r="AW352" s="17"/>
      <c r="AX352" s="17"/>
      <c r="AY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/>
      <c r="N353" s="17"/>
      <c r="O353" s="17"/>
      <c r="P353" s="17"/>
      <c r="Q353" s="17"/>
      <c r="R353" s="17"/>
      <c r="S353" s="18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8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8"/>
      <c r="AV353" s="17"/>
      <c r="AW353" s="17"/>
      <c r="AX353" s="17"/>
      <c r="AY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8"/>
      <c r="N354" s="17"/>
      <c r="O354" s="17"/>
      <c r="P354" s="17"/>
      <c r="Q354" s="17"/>
      <c r="R354" s="17"/>
      <c r="S354" s="18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8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8"/>
      <c r="AV354" s="17"/>
      <c r="AW354" s="17"/>
      <c r="AX354" s="17"/>
      <c r="AY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8"/>
      <c r="N355" s="17"/>
      <c r="O355" s="17"/>
      <c r="P355" s="17"/>
      <c r="Q355" s="17"/>
      <c r="R355" s="17"/>
      <c r="S355" s="18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8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8"/>
      <c r="AV355" s="17"/>
      <c r="AW355" s="17"/>
      <c r="AX355" s="17"/>
      <c r="AY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/>
      <c r="N356" s="17"/>
      <c r="O356" s="17"/>
      <c r="P356" s="17"/>
      <c r="Q356" s="17"/>
      <c r="R356" s="17"/>
      <c r="S356" s="18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8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8"/>
      <c r="AV356" s="17"/>
      <c r="AW356" s="17"/>
      <c r="AX356" s="17"/>
      <c r="AY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8"/>
      <c r="N357" s="17"/>
      <c r="O357" s="17"/>
      <c r="P357" s="17"/>
      <c r="Q357" s="17"/>
      <c r="R357" s="17"/>
      <c r="S357" s="18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8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8"/>
      <c r="AV357" s="17"/>
      <c r="AW357" s="17"/>
      <c r="AX357" s="17"/>
      <c r="AY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8"/>
      <c r="N358" s="17"/>
      <c r="O358" s="17"/>
      <c r="P358" s="17"/>
      <c r="Q358" s="17"/>
      <c r="R358" s="17"/>
      <c r="S358" s="18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8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8"/>
      <c r="AV358" s="17"/>
      <c r="AW358" s="17"/>
      <c r="AX358" s="17"/>
      <c r="AY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8"/>
      <c r="N359" s="17"/>
      <c r="O359" s="17"/>
      <c r="P359" s="17"/>
      <c r="Q359" s="17"/>
      <c r="R359" s="17"/>
      <c r="S359" s="18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8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8"/>
      <c r="AV359" s="17"/>
      <c r="AW359" s="17"/>
      <c r="AX359" s="17"/>
      <c r="AY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8"/>
      <c r="N360" s="17"/>
      <c r="O360" s="17"/>
      <c r="P360" s="17"/>
      <c r="Q360" s="17"/>
      <c r="R360" s="17"/>
      <c r="S360" s="18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8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8"/>
      <c r="AV360" s="17"/>
      <c r="AW360" s="17"/>
      <c r="AX360" s="17"/>
      <c r="AY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/>
      <c r="N361" s="17"/>
      <c r="O361" s="17"/>
      <c r="P361" s="17"/>
      <c r="Q361" s="17"/>
      <c r="R361" s="17"/>
      <c r="S361" s="18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8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8"/>
      <c r="AV361" s="17"/>
      <c r="AW361" s="17"/>
      <c r="AX361" s="17"/>
      <c r="AY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8"/>
      <c r="N362" s="17"/>
      <c r="O362" s="17"/>
      <c r="P362" s="17"/>
      <c r="Q362" s="17"/>
      <c r="R362" s="17"/>
      <c r="S362" s="18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8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8"/>
      <c r="AV362" s="17"/>
      <c r="AW362" s="17"/>
      <c r="AX362" s="17"/>
      <c r="AY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8"/>
      <c r="N363" s="17"/>
      <c r="O363" s="17"/>
      <c r="P363" s="17"/>
      <c r="Q363" s="17"/>
      <c r="R363" s="17"/>
      <c r="S363" s="18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8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8"/>
      <c r="AV363" s="17"/>
      <c r="AW363" s="17"/>
      <c r="AX363" s="17"/>
      <c r="AY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/>
      <c r="N364" s="17"/>
      <c r="O364" s="17"/>
      <c r="P364" s="17"/>
      <c r="Q364" s="17"/>
      <c r="R364" s="17"/>
      <c r="S364" s="18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8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8"/>
      <c r="AV364" s="17"/>
      <c r="AW364" s="17"/>
      <c r="AX364" s="17"/>
      <c r="AY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8"/>
      <c r="N365" s="17"/>
      <c r="O365" s="17"/>
      <c r="P365" s="17"/>
      <c r="Q365" s="17"/>
      <c r="R365" s="17"/>
      <c r="S365" s="18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8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8"/>
      <c r="AV365" s="17"/>
      <c r="AW365" s="17"/>
      <c r="AX365" s="17"/>
      <c r="AY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8"/>
      <c r="N366" s="17"/>
      <c r="O366" s="17"/>
      <c r="P366" s="17"/>
      <c r="Q366" s="17"/>
      <c r="R366" s="17"/>
      <c r="S366" s="18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8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8"/>
      <c r="AV366" s="17"/>
      <c r="AW366" s="17"/>
      <c r="AX366" s="17"/>
      <c r="AY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8"/>
      <c r="N367" s="17"/>
      <c r="O367" s="17"/>
      <c r="P367" s="17"/>
      <c r="Q367" s="17"/>
      <c r="R367" s="17"/>
      <c r="S367" s="18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8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8"/>
      <c r="AV367" s="17"/>
      <c r="AW367" s="17"/>
      <c r="AX367" s="17"/>
      <c r="AY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/>
      <c r="N368" s="17"/>
      <c r="O368" s="17"/>
      <c r="P368" s="17"/>
      <c r="Q368" s="17"/>
      <c r="R368" s="17"/>
      <c r="S368" s="18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8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8"/>
      <c r="AV368" s="17"/>
      <c r="AW368" s="17"/>
      <c r="AX368" s="17"/>
      <c r="AY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7"/>
      <c r="O369" s="17"/>
      <c r="P369" s="17"/>
      <c r="Q369" s="17"/>
      <c r="R369" s="17"/>
      <c r="S369" s="18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8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8"/>
      <c r="AV369" s="17"/>
      <c r="AW369" s="17"/>
      <c r="AX369" s="17"/>
      <c r="AY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8"/>
      <c r="N370" s="17"/>
      <c r="O370" s="17"/>
      <c r="P370" s="17"/>
      <c r="Q370" s="17"/>
      <c r="R370" s="17"/>
      <c r="S370" s="18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8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8"/>
      <c r="AV370" s="17"/>
      <c r="AW370" s="17"/>
      <c r="AX370" s="17"/>
      <c r="AY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8"/>
      <c r="N371" s="17"/>
      <c r="O371" s="17"/>
      <c r="P371" s="17"/>
      <c r="Q371" s="17"/>
      <c r="R371" s="17"/>
      <c r="S371" s="18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8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8"/>
      <c r="AV371" s="17"/>
      <c r="AW371" s="17"/>
      <c r="AX371" s="17"/>
      <c r="AY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8"/>
      <c r="N372" s="17"/>
      <c r="O372" s="17"/>
      <c r="P372" s="17"/>
      <c r="Q372" s="17"/>
      <c r="R372" s="17"/>
      <c r="S372" s="18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8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8"/>
      <c r="AV372" s="17"/>
      <c r="AW372" s="17"/>
      <c r="AX372" s="17"/>
      <c r="AY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8"/>
      <c r="N373" s="17"/>
      <c r="O373" s="17"/>
      <c r="P373" s="17"/>
      <c r="Q373" s="17"/>
      <c r="R373" s="17"/>
      <c r="S373" s="18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8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8"/>
      <c r="AV373" s="17"/>
      <c r="AW373" s="17"/>
      <c r="AX373" s="17"/>
      <c r="AY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/>
      <c r="N374" s="17"/>
      <c r="O374" s="17"/>
      <c r="P374" s="17"/>
      <c r="Q374" s="17"/>
      <c r="R374" s="17"/>
      <c r="S374" s="18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8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8"/>
      <c r="AV374" s="17"/>
      <c r="AW374" s="17"/>
      <c r="AX374" s="17"/>
      <c r="AY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7"/>
      <c r="O375" s="17"/>
      <c r="P375" s="17"/>
      <c r="Q375" s="17"/>
      <c r="R375" s="17"/>
      <c r="S375" s="18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8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8"/>
      <c r="AV375" s="17"/>
      <c r="AW375" s="17"/>
      <c r="AX375" s="17"/>
      <c r="AY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/>
      <c r="N376" s="17"/>
      <c r="O376" s="17"/>
      <c r="P376" s="17"/>
      <c r="Q376" s="17"/>
      <c r="R376" s="17"/>
      <c r="S376" s="18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8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8"/>
      <c r="AV376" s="17"/>
      <c r="AW376" s="17"/>
      <c r="AX376" s="17"/>
      <c r="AY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/>
      <c r="N377" s="17"/>
      <c r="O377" s="17"/>
      <c r="P377" s="17"/>
      <c r="Q377" s="17"/>
      <c r="R377" s="17"/>
      <c r="S377" s="18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8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8"/>
      <c r="AV377" s="17"/>
      <c r="AW377" s="17"/>
      <c r="AX377" s="17"/>
      <c r="AY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/>
      <c r="N378" s="17"/>
      <c r="O378" s="17"/>
      <c r="P378" s="17"/>
      <c r="Q378" s="17"/>
      <c r="R378" s="17"/>
      <c r="S378" s="18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8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8"/>
      <c r="AV378" s="17"/>
      <c r="AW378" s="17"/>
      <c r="AX378" s="17"/>
      <c r="AY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8"/>
      <c r="N379" s="17"/>
      <c r="O379" s="17"/>
      <c r="P379" s="17"/>
      <c r="Q379" s="17"/>
      <c r="R379" s="17"/>
      <c r="S379" s="18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8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8"/>
      <c r="AV379" s="17"/>
      <c r="AW379" s="17"/>
      <c r="AX379" s="17"/>
      <c r="AY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/>
      <c r="N380" s="17"/>
      <c r="O380" s="17"/>
      <c r="P380" s="17"/>
      <c r="Q380" s="17"/>
      <c r="R380" s="17"/>
      <c r="S380" s="18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8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8"/>
      <c r="AV380" s="17"/>
      <c r="AW380" s="17"/>
      <c r="AX380" s="17"/>
      <c r="AY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8"/>
      <c r="N381" s="17"/>
      <c r="O381" s="17"/>
      <c r="P381" s="17"/>
      <c r="Q381" s="17"/>
      <c r="R381" s="17"/>
      <c r="S381" s="18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8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8"/>
      <c r="AV381" s="17"/>
      <c r="AW381" s="17"/>
      <c r="AX381" s="17"/>
      <c r="AY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7"/>
      <c r="O382" s="17"/>
      <c r="P382" s="17"/>
      <c r="Q382" s="17"/>
      <c r="R382" s="17"/>
      <c r="S382" s="18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8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8"/>
      <c r="AV382" s="17"/>
      <c r="AW382" s="17"/>
      <c r="AX382" s="17"/>
      <c r="AY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8"/>
      <c r="N383" s="17"/>
      <c r="O383" s="17"/>
      <c r="P383" s="17"/>
      <c r="Q383" s="17"/>
      <c r="R383" s="17"/>
      <c r="S383" s="18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8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8"/>
      <c r="AV383" s="17"/>
      <c r="AW383" s="17"/>
      <c r="AX383" s="17"/>
      <c r="AY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8"/>
      <c r="N384" s="17"/>
      <c r="O384" s="17"/>
      <c r="P384" s="17"/>
      <c r="Q384" s="17"/>
      <c r="R384" s="17"/>
      <c r="S384" s="18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8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8"/>
      <c r="AV384" s="17"/>
      <c r="AW384" s="17"/>
      <c r="AX384" s="17"/>
      <c r="AY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7"/>
      <c r="O385" s="17"/>
      <c r="P385" s="17"/>
      <c r="Q385" s="17"/>
      <c r="R385" s="17"/>
      <c r="S385" s="18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8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8"/>
      <c r="AV385" s="17"/>
      <c r="AW385" s="17"/>
      <c r="AX385" s="17"/>
      <c r="AY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/>
      <c r="N386" s="17"/>
      <c r="O386" s="17"/>
      <c r="P386" s="17"/>
      <c r="Q386" s="17"/>
      <c r="R386" s="17"/>
      <c r="S386" s="18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8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8"/>
      <c r="AV386" s="17"/>
      <c r="AW386" s="17"/>
      <c r="AX386" s="17"/>
      <c r="AY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8"/>
      <c r="N387" s="17"/>
      <c r="O387" s="17"/>
      <c r="P387" s="17"/>
      <c r="Q387" s="17"/>
      <c r="R387" s="17"/>
      <c r="S387" s="18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8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8"/>
      <c r="AV387" s="17"/>
      <c r="AW387" s="17"/>
      <c r="AX387" s="17"/>
      <c r="AY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8"/>
      <c r="N388" s="17"/>
      <c r="O388" s="17"/>
      <c r="P388" s="17"/>
      <c r="Q388" s="17"/>
      <c r="R388" s="17"/>
      <c r="S388" s="18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8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8"/>
      <c r="AV388" s="17"/>
      <c r="AW388" s="17"/>
      <c r="AX388" s="17"/>
      <c r="AY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8"/>
      <c r="N389" s="17"/>
      <c r="O389" s="17"/>
      <c r="P389" s="17"/>
      <c r="Q389" s="17"/>
      <c r="R389" s="17"/>
      <c r="S389" s="18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8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8"/>
      <c r="AV389" s="17"/>
      <c r="AW389" s="17"/>
      <c r="AX389" s="17"/>
      <c r="AY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8"/>
      <c r="N390" s="17"/>
      <c r="O390" s="17"/>
      <c r="P390" s="17"/>
      <c r="Q390" s="17"/>
      <c r="R390" s="17"/>
      <c r="S390" s="18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8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8"/>
      <c r="AV390" s="17"/>
      <c r="AW390" s="17"/>
      <c r="AX390" s="17"/>
      <c r="AY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8"/>
      <c r="N391" s="17"/>
      <c r="O391" s="17"/>
      <c r="P391" s="17"/>
      <c r="Q391" s="17"/>
      <c r="R391" s="17"/>
      <c r="S391" s="18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8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8"/>
      <c r="AV391" s="17"/>
      <c r="AW391" s="17"/>
      <c r="AX391" s="17"/>
      <c r="AY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8"/>
      <c r="N392" s="17"/>
      <c r="O392" s="17"/>
      <c r="P392" s="17"/>
      <c r="Q392" s="17"/>
      <c r="R392" s="17"/>
      <c r="S392" s="18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8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8"/>
      <c r="AV392" s="17"/>
      <c r="AW392" s="17"/>
      <c r="AX392" s="17"/>
      <c r="AY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8"/>
      <c r="N393" s="17"/>
      <c r="O393" s="17"/>
      <c r="P393" s="17"/>
      <c r="Q393" s="17"/>
      <c r="R393" s="17"/>
      <c r="S393" s="18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8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8"/>
      <c r="AV393" s="17"/>
      <c r="AW393" s="17"/>
      <c r="AX393" s="17"/>
      <c r="AY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8"/>
      <c r="N394" s="17"/>
      <c r="O394" s="17"/>
      <c r="P394" s="17"/>
      <c r="Q394" s="17"/>
      <c r="R394" s="17"/>
      <c r="S394" s="18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8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8"/>
      <c r="AV394" s="17"/>
      <c r="AW394" s="17"/>
      <c r="AX394" s="17"/>
      <c r="AY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8"/>
      <c r="N395" s="17"/>
      <c r="O395" s="17"/>
      <c r="P395" s="17"/>
      <c r="Q395" s="17"/>
      <c r="R395" s="17"/>
      <c r="S395" s="18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8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8"/>
      <c r="AV395" s="17"/>
      <c r="AW395" s="17"/>
      <c r="AX395" s="17"/>
      <c r="AY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/>
      <c r="N396" s="17"/>
      <c r="O396" s="17"/>
      <c r="P396" s="17"/>
      <c r="Q396" s="17"/>
      <c r="R396" s="17"/>
      <c r="S396" s="18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8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8"/>
      <c r="AV396" s="17"/>
      <c r="AW396" s="17"/>
      <c r="AX396" s="17"/>
      <c r="AY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/>
      <c r="N397" s="17"/>
      <c r="O397" s="17"/>
      <c r="P397" s="17"/>
      <c r="Q397" s="17"/>
      <c r="R397" s="17"/>
      <c r="S397" s="18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8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8"/>
      <c r="AV397" s="17"/>
      <c r="AW397" s="17"/>
      <c r="AX397" s="17"/>
      <c r="AY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/>
      <c r="N398" s="17"/>
      <c r="O398" s="17"/>
      <c r="P398" s="17"/>
      <c r="Q398" s="17"/>
      <c r="R398" s="17"/>
      <c r="S398" s="18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8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8"/>
      <c r="AV398" s="17"/>
      <c r="AW398" s="17"/>
      <c r="AX398" s="17"/>
      <c r="AY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7"/>
      <c r="O399" s="17"/>
      <c r="P399" s="17"/>
      <c r="Q399" s="17"/>
      <c r="R399" s="17"/>
      <c r="S399" s="18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8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8"/>
      <c r="AV399" s="17"/>
      <c r="AW399" s="17"/>
      <c r="AX399" s="17"/>
      <c r="AY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7"/>
      <c r="O400" s="17"/>
      <c r="P400" s="17"/>
      <c r="Q400" s="17"/>
      <c r="R400" s="17"/>
      <c r="S400" s="18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8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8"/>
      <c r="AV400" s="17"/>
      <c r="AW400" s="17"/>
      <c r="AX400" s="17"/>
      <c r="AY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/>
      <c r="N401" s="17"/>
      <c r="O401" s="17"/>
      <c r="P401" s="17"/>
      <c r="Q401" s="17"/>
      <c r="R401" s="17"/>
      <c r="S401" s="18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8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8"/>
      <c r="AV401" s="17"/>
      <c r="AW401" s="17"/>
      <c r="AX401" s="17"/>
      <c r="AY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8"/>
      <c r="N402" s="17"/>
      <c r="O402" s="17"/>
      <c r="P402" s="17"/>
      <c r="Q402" s="17"/>
      <c r="R402" s="17"/>
      <c r="S402" s="18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8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8"/>
      <c r="AV402" s="17"/>
      <c r="AW402" s="17"/>
      <c r="AX402" s="17"/>
      <c r="AY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8"/>
      <c r="N403" s="17"/>
      <c r="O403" s="17"/>
      <c r="P403" s="17"/>
      <c r="Q403" s="17"/>
      <c r="R403" s="17"/>
      <c r="S403" s="18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8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8"/>
      <c r="AV403" s="17"/>
      <c r="AW403" s="17"/>
      <c r="AX403" s="17"/>
      <c r="AY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8"/>
      <c r="N404" s="17"/>
      <c r="O404" s="17"/>
      <c r="P404" s="17"/>
      <c r="Q404" s="17"/>
      <c r="R404" s="17"/>
      <c r="S404" s="18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8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8"/>
      <c r="AV404" s="17"/>
      <c r="AW404" s="17"/>
      <c r="AX404" s="17"/>
      <c r="AY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8"/>
      <c r="N405" s="17"/>
      <c r="O405" s="17"/>
      <c r="P405" s="17"/>
      <c r="Q405" s="17"/>
      <c r="R405" s="17"/>
      <c r="S405" s="18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8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8"/>
      <c r="AV405" s="17"/>
      <c r="AW405" s="17"/>
      <c r="AX405" s="17"/>
      <c r="AY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7"/>
      <c r="O406" s="17"/>
      <c r="P406" s="17"/>
      <c r="Q406" s="17"/>
      <c r="R406" s="17"/>
      <c r="S406" s="18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8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8"/>
      <c r="AV406" s="17"/>
      <c r="AW406" s="17"/>
      <c r="AX406" s="17"/>
      <c r="AY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8"/>
      <c r="N407" s="17"/>
      <c r="O407" s="17"/>
      <c r="P407" s="17"/>
      <c r="Q407" s="17"/>
      <c r="R407" s="17"/>
      <c r="S407" s="18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8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8"/>
      <c r="AV407" s="17"/>
      <c r="AW407" s="17"/>
      <c r="AX407" s="17"/>
      <c r="AY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8"/>
      <c r="N408" s="17"/>
      <c r="O408" s="17"/>
      <c r="P408" s="17"/>
      <c r="Q408" s="17"/>
      <c r="R408" s="17"/>
      <c r="S408" s="18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8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8"/>
      <c r="AV408" s="17"/>
      <c r="AW408" s="17"/>
      <c r="AX408" s="17"/>
      <c r="AY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8"/>
      <c r="N409" s="17"/>
      <c r="O409" s="17"/>
      <c r="P409" s="17"/>
      <c r="Q409" s="17"/>
      <c r="R409" s="17"/>
      <c r="S409" s="18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8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8"/>
      <c r="AV409" s="17"/>
      <c r="AW409" s="17"/>
      <c r="AX409" s="17"/>
      <c r="AY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8"/>
      <c r="N410" s="17"/>
      <c r="O410" s="17"/>
      <c r="P410" s="17"/>
      <c r="Q410" s="17"/>
      <c r="R410" s="17"/>
      <c r="S410" s="18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8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8"/>
      <c r="AV410" s="17"/>
      <c r="AW410" s="17"/>
      <c r="AX410" s="17"/>
      <c r="AY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8"/>
      <c r="N411" s="17"/>
      <c r="O411" s="17"/>
      <c r="P411" s="17"/>
      <c r="Q411" s="17"/>
      <c r="R411" s="17"/>
      <c r="S411" s="18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8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8"/>
      <c r="AV411" s="17"/>
      <c r="AW411" s="17"/>
      <c r="AX411" s="17"/>
      <c r="AY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7"/>
      <c r="O412" s="17"/>
      <c r="P412" s="17"/>
      <c r="Q412" s="17"/>
      <c r="R412" s="17"/>
      <c r="S412" s="18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8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8"/>
      <c r="AV412" s="17"/>
      <c r="AW412" s="17"/>
      <c r="AX412" s="17"/>
      <c r="AY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7"/>
      <c r="O413" s="17"/>
      <c r="P413" s="17"/>
      <c r="Q413" s="17"/>
      <c r="R413" s="17"/>
      <c r="S413" s="18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8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8"/>
      <c r="AV413" s="17"/>
      <c r="AW413" s="17"/>
      <c r="AX413" s="17"/>
      <c r="AY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7"/>
      <c r="O414" s="17"/>
      <c r="P414" s="17"/>
      <c r="Q414" s="17"/>
      <c r="R414" s="17"/>
      <c r="S414" s="18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8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8"/>
      <c r="AV414" s="17"/>
      <c r="AW414" s="17"/>
      <c r="AX414" s="17"/>
      <c r="AY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7"/>
      <c r="O415" s="17"/>
      <c r="P415" s="17"/>
      <c r="Q415" s="17"/>
      <c r="R415" s="17"/>
      <c r="S415" s="18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8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8"/>
      <c r="AV415" s="17"/>
      <c r="AW415" s="17"/>
      <c r="AX415" s="17"/>
      <c r="AY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/>
      <c r="N416" s="17"/>
      <c r="O416" s="17"/>
      <c r="P416" s="17"/>
      <c r="Q416" s="17"/>
      <c r="R416" s="17"/>
      <c r="S416" s="18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8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8"/>
      <c r="AV416" s="17"/>
      <c r="AW416" s="17"/>
      <c r="AX416" s="17"/>
      <c r="AY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8"/>
      <c r="N417" s="17"/>
      <c r="O417" s="17"/>
      <c r="P417" s="17"/>
      <c r="Q417" s="17"/>
      <c r="R417" s="17"/>
      <c r="S417" s="18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8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8"/>
      <c r="AV417" s="17"/>
      <c r="AW417" s="17"/>
      <c r="AX417" s="17"/>
      <c r="AY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/>
      <c r="N418" s="17"/>
      <c r="O418" s="17"/>
      <c r="P418" s="17"/>
      <c r="Q418" s="17"/>
      <c r="R418" s="17"/>
      <c r="S418" s="18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8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8"/>
      <c r="AV418" s="17"/>
      <c r="AW418" s="17"/>
      <c r="AX418" s="17"/>
      <c r="AY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8"/>
      <c r="N419" s="17"/>
      <c r="O419" s="17"/>
      <c r="P419" s="17"/>
      <c r="Q419" s="17"/>
      <c r="R419" s="17"/>
      <c r="S419" s="18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8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8"/>
      <c r="AV419" s="17"/>
      <c r="AW419" s="17"/>
      <c r="AX419" s="17"/>
      <c r="AY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8"/>
      <c r="N420" s="17"/>
      <c r="O420" s="17"/>
      <c r="P420" s="17"/>
      <c r="Q420" s="17"/>
      <c r="R420" s="17"/>
      <c r="S420" s="18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8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8"/>
      <c r="AV420" s="17"/>
      <c r="AW420" s="17"/>
      <c r="AX420" s="17"/>
      <c r="AY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8"/>
      <c r="N421" s="17"/>
      <c r="O421" s="17"/>
      <c r="P421" s="17"/>
      <c r="Q421" s="17"/>
      <c r="R421" s="17"/>
      <c r="S421" s="18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8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8"/>
      <c r="AV421" s="17"/>
      <c r="AW421" s="17"/>
      <c r="AX421" s="17"/>
      <c r="AY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8"/>
      <c r="N422" s="17"/>
      <c r="O422" s="17"/>
      <c r="P422" s="17"/>
      <c r="Q422" s="17"/>
      <c r="R422" s="17"/>
      <c r="S422" s="18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8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8"/>
      <c r="AV422" s="17"/>
      <c r="AW422" s="17"/>
      <c r="AX422" s="17"/>
      <c r="AY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/>
      <c r="N423" s="17"/>
      <c r="O423" s="17"/>
      <c r="P423" s="17"/>
      <c r="Q423" s="17"/>
      <c r="R423" s="17"/>
      <c r="S423" s="18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8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8"/>
      <c r="AV423" s="17"/>
      <c r="AW423" s="17"/>
      <c r="AX423" s="17"/>
      <c r="AY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8"/>
      <c r="N424" s="17"/>
      <c r="O424" s="17"/>
      <c r="P424" s="17"/>
      <c r="Q424" s="17"/>
      <c r="R424" s="17"/>
      <c r="S424" s="18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8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8"/>
      <c r="AV424" s="17"/>
      <c r="AW424" s="17"/>
      <c r="AX424" s="17"/>
      <c r="AY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8"/>
      <c r="N425" s="17"/>
      <c r="O425" s="17"/>
      <c r="P425" s="17"/>
      <c r="Q425" s="17"/>
      <c r="R425" s="17"/>
      <c r="S425" s="18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8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8"/>
      <c r="AV425" s="17"/>
      <c r="AW425" s="17"/>
      <c r="AX425" s="17"/>
      <c r="AY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8"/>
      <c r="N426" s="17"/>
      <c r="O426" s="17"/>
      <c r="P426" s="17"/>
      <c r="Q426" s="17"/>
      <c r="R426" s="17"/>
      <c r="S426" s="18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8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8"/>
      <c r="AV426" s="17"/>
      <c r="AW426" s="17"/>
      <c r="AX426" s="17"/>
      <c r="AY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/>
      <c r="N427" s="17"/>
      <c r="O427" s="17"/>
      <c r="P427" s="17"/>
      <c r="Q427" s="17"/>
      <c r="R427" s="17"/>
      <c r="S427" s="18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8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8"/>
      <c r="AV427" s="17"/>
      <c r="AW427" s="17"/>
      <c r="AX427" s="17"/>
      <c r="AY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8"/>
      <c r="N428" s="17"/>
      <c r="O428" s="17"/>
      <c r="P428" s="17"/>
      <c r="Q428" s="17"/>
      <c r="R428" s="17"/>
      <c r="S428" s="18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8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8"/>
      <c r="AV428" s="17"/>
      <c r="AW428" s="17"/>
      <c r="AX428" s="17"/>
      <c r="AY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8"/>
      <c r="N429" s="17"/>
      <c r="O429" s="17"/>
      <c r="P429" s="17"/>
      <c r="Q429" s="17"/>
      <c r="R429" s="17"/>
      <c r="S429" s="18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8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8"/>
      <c r="AV429" s="17"/>
      <c r="AW429" s="17"/>
      <c r="AX429" s="17"/>
      <c r="AY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/>
      <c r="N430" s="17"/>
      <c r="O430" s="17"/>
      <c r="P430" s="17"/>
      <c r="Q430" s="17"/>
      <c r="R430" s="17"/>
      <c r="S430" s="18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8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8"/>
      <c r="AV430" s="17"/>
      <c r="AW430" s="17"/>
      <c r="AX430" s="17"/>
      <c r="AY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8"/>
      <c r="N431" s="17"/>
      <c r="O431" s="17"/>
      <c r="P431" s="17"/>
      <c r="Q431" s="17"/>
      <c r="R431" s="17"/>
      <c r="S431" s="18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8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8"/>
      <c r="AV431" s="17"/>
      <c r="AW431" s="17"/>
      <c r="AX431" s="17"/>
      <c r="AY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/>
      <c r="N432" s="17"/>
      <c r="O432" s="17"/>
      <c r="P432" s="17"/>
      <c r="Q432" s="17"/>
      <c r="R432" s="17"/>
      <c r="S432" s="18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8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8"/>
      <c r="AV432" s="17"/>
      <c r="AW432" s="17"/>
      <c r="AX432" s="17"/>
      <c r="AY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/>
      <c r="N433" s="17"/>
      <c r="O433" s="17"/>
      <c r="P433" s="17"/>
      <c r="Q433" s="17"/>
      <c r="R433" s="17"/>
      <c r="S433" s="18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8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8"/>
      <c r="AV433" s="17"/>
      <c r="AW433" s="17"/>
      <c r="AX433" s="17"/>
      <c r="AY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8"/>
      <c r="N434" s="17"/>
      <c r="O434" s="17"/>
      <c r="P434" s="17"/>
      <c r="Q434" s="17"/>
      <c r="R434" s="17"/>
      <c r="S434" s="18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8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8"/>
      <c r="AV434" s="17"/>
      <c r="AW434" s="17"/>
      <c r="AX434" s="17"/>
      <c r="AY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7"/>
      <c r="O435" s="17"/>
      <c r="P435" s="17"/>
      <c r="Q435" s="17"/>
      <c r="R435" s="17"/>
      <c r="S435" s="18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8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8"/>
      <c r="AV435" s="17"/>
      <c r="AW435" s="17"/>
      <c r="AX435" s="17"/>
      <c r="AY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8"/>
      <c r="N436" s="17"/>
      <c r="O436" s="17"/>
      <c r="P436" s="17"/>
      <c r="Q436" s="17"/>
      <c r="R436" s="17"/>
      <c r="S436" s="18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8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8"/>
      <c r="AV436" s="17"/>
      <c r="AW436" s="17"/>
      <c r="AX436" s="17"/>
      <c r="AY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7"/>
      <c r="O437" s="17"/>
      <c r="P437" s="17"/>
      <c r="Q437" s="17"/>
      <c r="R437" s="17"/>
      <c r="S437" s="18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8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8"/>
      <c r="AV437" s="17"/>
      <c r="AW437" s="17"/>
      <c r="AX437" s="17"/>
      <c r="AY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8"/>
      <c r="N438" s="17"/>
      <c r="O438" s="17"/>
      <c r="P438" s="17"/>
      <c r="Q438" s="17"/>
      <c r="R438" s="17"/>
      <c r="S438" s="18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8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8"/>
      <c r="AV438" s="17"/>
      <c r="AW438" s="17"/>
      <c r="AX438" s="17"/>
      <c r="AY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8"/>
      <c r="N439" s="17"/>
      <c r="O439" s="17"/>
      <c r="P439" s="17"/>
      <c r="Q439" s="17"/>
      <c r="R439" s="17"/>
      <c r="S439" s="18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8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8"/>
      <c r="AV439" s="17"/>
      <c r="AW439" s="17"/>
      <c r="AX439" s="17"/>
      <c r="AY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8"/>
      <c r="N440" s="17"/>
      <c r="O440" s="17"/>
      <c r="P440" s="17"/>
      <c r="Q440" s="17"/>
      <c r="R440" s="17"/>
      <c r="S440" s="18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8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8"/>
      <c r="AV440" s="17"/>
      <c r="AW440" s="17"/>
      <c r="AX440" s="17"/>
      <c r="AY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8"/>
      <c r="N441" s="17"/>
      <c r="O441" s="17"/>
      <c r="P441" s="17"/>
      <c r="Q441" s="17"/>
      <c r="R441" s="17"/>
      <c r="S441" s="18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8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8"/>
      <c r="AV441" s="17"/>
      <c r="AW441" s="17"/>
      <c r="AX441" s="17"/>
      <c r="AY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8"/>
      <c r="N442" s="17"/>
      <c r="O442" s="17"/>
      <c r="P442" s="17"/>
      <c r="Q442" s="17"/>
      <c r="R442" s="17"/>
      <c r="S442" s="18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8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8"/>
      <c r="AV442" s="17"/>
      <c r="AW442" s="17"/>
      <c r="AX442" s="17"/>
      <c r="AY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8"/>
      <c r="N443" s="17"/>
      <c r="O443" s="17"/>
      <c r="P443" s="17"/>
      <c r="Q443" s="17"/>
      <c r="R443" s="17"/>
      <c r="S443" s="18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8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8"/>
      <c r="AV443" s="17"/>
      <c r="AW443" s="17"/>
      <c r="AX443" s="17"/>
      <c r="AY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8"/>
      <c r="N444" s="17"/>
      <c r="O444" s="17"/>
      <c r="P444" s="17"/>
      <c r="Q444" s="17"/>
      <c r="R444" s="17"/>
      <c r="S444" s="18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8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8"/>
      <c r="AV444" s="17"/>
      <c r="AW444" s="17"/>
      <c r="AX444" s="17"/>
      <c r="AY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/>
      <c r="N445" s="17"/>
      <c r="O445" s="17"/>
      <c r="P445" s="17"/>
      <c r="Q445" s="17"/>
      <c r="R445" s="17"/>
      <c r="S445" s="18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8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8"/>
      <c r="AV445" s="17"/>
      <c r="AW445" s="17"/>
      <c r="AX445" s="17"/>
      <c r="AY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/>
      <c r="N446" s="17"/>
      <c r="O446" s="17"/>
      <c r="P446" s="17"/>
      <c r="Q446" s="17"/>
      <c r="R446" s="17"/>
      <c r="S446" s="18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8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8"/>
      <c r="AV446" s="17"/>
      <c r="AW446" s="17"/>
      <c r="AX446" s="17"/>
      <c r="AY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8"/>
      <c r="N447" s="17"/>
      <c r="O447" s="17"/>
      <c r="P447" s="17"/>
      <c r="Q447" s="17"/>
      <c r="R447" s="17"/>
      <c r="S447" s="18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8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8"/>
      <c r="AV447" s="17"/>
      <c r="AW447" s="17"/>
      <c r="AX447" s="17"/>
      <c r="AY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/>
      <c r="N448" s="17"/>
      <c r="O448" s="17"/>
      <c r="P448" s="17"/>
      <c r="Q448" s="17"/>
      <c r="R448" s="17"/>
      <c r="S448" s="18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8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8"/>
      <c r="AV448" s="17"/>
      <c r="AW448" s="17"/>
      <c r="AX448" s="17"/>
      <c r="AY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8"/>
      <c r="N449" s="17"/>
      <c r="O449" s="17"/>
      <c r="P449" s="17"/>
      <c r="Q449" s="17"/>
      <c r="R449" s="17"/>
      <c r="S449" s="18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8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8"/>
      <c r="AV449" s="17"/>
      <c r="AW449" s="17"/>
      <c r="AX449" s="17"/>
      <c r="AY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8"/>
      <c r="N450" s="17"/>
      <c r="O450" s="17"/>
      <c r="P450" s="17"/>
      <c r="Q450" s="17"/>
      <c r="R450" s="17"/>
      <c r="S450" s="18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8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8"/>
      <c r="AV450" s="17"/>
      <c r="AW450" s="17"/>
      <c r="AX450" s="17"/>
      <c r="AY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8"/>
      <c r="N451" s="17"/>
      <c r="O451" s="17"/>
      <c r="P451" s="17"/>
      <c r="Q451" s="17"/>
      <c r="R451" s="17"/>
      <c r="S451" s="18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8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8"/>
      <c r="AV451" s="17"/>
      <c r="AW451" s="17"/>
      <c r="AX451" s="17"/>
      <c r="AY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8"/>
      <c r="N452" s="17"/>
      <c r="O452" s="17"/>
      <c r="P452" s="17"/>
      <c r="Q452" s="17"/>
      <c r="R452" s="17"/>
      <c r="S452" s="18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8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8"/>
      <c r="AV452" s="17"/>
      <c r="AW452" s="17"/>
      <c r="AX452" s="17"/>
      <c r="AY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8"/>
      <c r="N453" s="17"/>
      <c r="O453" s="17"/>
      <c r="P453" s="17"/>
      <c r="Q453" s="17"/>
      <c r="R453" s="17"/>
      <c r="S453" s="18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8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8"/>
      <c r="AV453" s="17"/>
      <c r="AW453" s="17"/>
      <c r="AX453" s="17"/>
      <c r="AY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8"/>
      <c r="N454" s="17"/>
      <c r="O454" s="17"/>
      <c r="P454" s="17"/>
      <c r="Q454" s="17"/>
      <c r="R454" s="17"/>
      <c r="S454" s="18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8"/>
      <c r="AV454" s="17"/>
      <c r="AW454" s="17"/>
      <c r="AX454" s="17"/>
      <c r="AY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/>
      <c r="N455" s="17"/>
      <c r="O455" s="17"/>
      <c r="P455" s="17"/>
      <c r="Q455" s="17"/>
      <c r="R455" s="17"/>
      <c r="S455" s="18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8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8"/>
      <c r="AV455" s="17"/>
      <c r="AW455" s="17"/>
      <c r="AX455" s="17"/>
      <c r="AY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/>
      <c r="N456" s="17"/>
      <c r="O456" s="17"/>
      <c r="P456" s="17"/>
      <c r="Q456" s="17"/>
      <c r="R456" s="17"/>
      <c r="S456" s="18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8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8"/>
      <c r="AV456" s="17"/>
      <c r="AW456" s="17"/>
      <c r="AX456" s="17"/>
      <c r="AY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8"/>
      <c r="N457" s="17"/>
      <c r="O457" s="17"/>
      <c r="P457" s="17"/>
      <c r="Q457" s="17"/>
      <c r="R457" s="17"/>
      <c r="S457" s="18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8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8"/>
      <c r="AV457" s="17"/>
      <c r="AW457" s="17"/>
      <c r="AX457" s="17"/>
      <c r="AY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7"/>
      <c r="O458" s="17"/>
      <c r="P458" s="17"/>
      <c r="Q458" s="17"/>
      <c r="R458" s="17"/>
      <c r="S458" s="18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8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8"/>
      <c r="AV458" s="17"/>
      <c r="AW458" s="17"/>
      <c r="AX458" s="17"/>
      <c r="AY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/>
      <c r="N459" s="17"/>
      <c r="O459" s="17"/>
      <c r="P459" s="17"/>
      <c r="Q459" s="17"/>
      <c r="R459" s="17"/>
      <c r="S459" s="18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8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8"/>
      <c r="AV459" s="17"/>
      <c r="AW459" s="17"/>
      <c r="AX459" s="17"/>
      <c r="AY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/>
      <c r="N460" s="17"/>
      <c r="O460" s="17"/>
      <c r="P460" s="17"/>
      <c r="Q460" s="17"/>
      <c r="R460" s="17"/>
      <c r="S460" s="18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8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8"/>
      <c r="AV460" s="17"/>
      <c r="AW460" s="17"/>
      <c r="AX460" s="17"/>
      <c r="AY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/>
      <c r="N461" s="17"/>
      <c r="O461" s="17"/>
      <c r="P461" s="17"/>
      <c r="Q461" s="17"/>
      <c r="R461" s="17"/>
      <c r="S461" s="18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8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8"/>
      <c r="AV461" s="17"/>
      <c r="AW461" s="17"/>
      <c r="AX461" s="17"/>
      <c r="AY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/>
      <c r="N462" s="17"/>
      <c r="O462" s="17"/>
      <c r="P462" s="17"/>
      <c r="Q462" s="17"/>
      <c r="R462" s="17"/>
      <c r="S462" s="18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8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8"/>
      <c r="AV462" s="17"/>
      <c r="AW462" s="17"/>
      <c r="AX462" s="17"/>
      <c r="AY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8"/>
      <c r="N463" s="17"/>
      <c r="O463" s="17"/>
      <c r="P463" s="17"/>
      <c r="Q463" s="17"/>
      <c r="R463" s="17"/>
      <c r="S463" s="18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8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8"/>
      <c r="AV463" s="17"/>
      <c r="AW463" s="17"/>
      <c r="AX463" s="17"/>
      <c r="AY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8"/>
      <c r="N464" s="17"/>
      <c r="O464" s="17"/>
      <c r="P464" s="17"/>
      <c r="Q464" s="17"/>
      <c r="R464" s="17"/>
      <c r="S464" s="18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8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8"/>
      <c r="AV464" s="17"/>
      <c r="AW464" s="17"/>
      <c r="AX464" s="17"/>
      <c r="AY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8"/>
      <c r="N465" s="17"/>
      <c r="O465" s="17"/>
      <c r="P465" s="17"/>
      <c r="Q465" s="17"/>
      <c r="R465" s="17"/>
      <c r="S465" s="18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8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8"/>
      <c r="AV465" s="17"/>
      <c r="AW465" s="17"/>
      <c r="AX465" s="17"/>
      <c r="AY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8"/>
      <c r="N466" s="17"/>
      <c r="O466" s="17"/>
      <c r="P466" s="17"/>
      <c r="Q466" s="17"/>
      <c r="R466" s="17"/>
      <c r="S466" s="18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8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8"/>
      <c r="AV466" s="17"/>
      <c r="AW466" s="17"/>
      <c r="AX466" s="17"/>
      <c r="AY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8"/>
      <c r="N467" s="17"/>
      <c r="O467" s="17"/>
      <c r="P467" s="17"/>
      <c r="Q467" s="17"/>
      <c r="R467" s="17"/>
      <c r="S467" s="18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8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8"/>
      <c r="AV467" s="17"/>
      <c r="AW467" s="17"/>
      <c r="AX467" s="17"/>
      <c r="AY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/>
      <c r="N468" s="17"/>
      <c r="O468" s="17"/>
      <c r="P468" s="17"/>
      <c r="Q468" s="17"/>
      <c r="R468" s="17"/>
      <c r="S468" s="18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8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8"/>
      <c r="AV468" s="17"/>
      <c r="AW468" s="17"/>
      <c r="AX468" s="17"/>
      <c r="AY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8"/>
      <c r="N469" s="17"/>
      <c r="O469" s="17"/>
      <c r="P469" s="17"/>
      <c r="Q469" s="17"/>
      <c r="R469" s="17"/>
      <c r="S469" s="18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8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8"/>
      <c r="AV469" s="17"/>
      <c r="AW469" s="17"/>
      <c r="AX469" s="17"/>
      <c r="AY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8"/>
      <c r="N470" s="17"/>
      <c r="O470" s="17"/>
      <c r="P470" s="17"/>
      <c r="Q470" s="17"/>
      <c r="R470" s="17"/>
      <c r="S470" s="18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8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8"/>
      <c r="AV470" s="17"/>
      <c r="AW470" s="17"/>
      <c r="AX470" s="17"/>
      <c r="AY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8"/>
      <c r="N471" s="17"/>
      <c r="O471" s="17"/>
      <c r="P471" s="17"/>
      <c r="Q471" s="17"/>
      <c r="R471" s="17"/>
      <c r="S471" s="18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8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8"/>
      <c r="AV471" s="17"/>
      <c r="AW471" s="17"/>
      <c r="AX471" s="17"/>
      <c r="AY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/>
      <c r="N472" s="17"/>
      <c r="O472" s="17"/>
      <c r="P472" s="17"/>
      <c r="Q472" s="17"/>
      <c r="R472" s="17"/>
      <c r="S472" s="18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8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8"/>
      <c r="AV472" s="17"/>
      <c r="AW472" s="17"/>
      <c r="AX472" s="17"/>
      <c r="AY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8"/>
      <c r="N473" s="17"/>
      <c r="O473" s="17"/>
      <c r="P473" s="17"/>
      <c r="Q473" s="17"/>
      <c r="R473" s="17"/>
      <c r="S473" s="18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8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8"/>
      <c r="AV473" s="17"/>
      <c r="AW473" s="17"/>
      <c r="AX473" s="17"/>
      <c r="AY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8"/>
      <c r="N474" s="17"/>
      <c r="O474" s="17"/>
      <c r="P474" s="17"/>
      <c r="Q474" s="17"/>
      <c r="R474" s="17"/>
      <c r="S474" s="18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8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8"/>
      <c r="AV474" s="17"/>
      <c r="AW474" s="17"/>
      <c r="AX474" s="17"/>
      <c r="AY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7"/>
      <c r="O475" s="17"/>
      <c r="P475" s="17"/>
      <c r="Q475" s="17"/>
      <c r="R475" s="17"/>
      <c r="S475" s="18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8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8"/>
      <c r="AV475" s="17"/>
      <c r="AW475" s="17"/>
      <c r="AX475" s="17"/>
      <c r="AY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/>
      <c r="N476" s="17"/>
      <c r="O476" s="17"/>
      <c r="P476" s="17"/>
      <c r="Q476" s="17"/>
      <c r="R476" s="17"/>
      <c r="S476" s="18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8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8"/>
      <c r="AV476" s="17"/>
      <c r="AW476" s="17"/>
      <c r="AX476" s="17"/>
      <c r="AY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8"/>
      <c r="N477" s="17"/>
      <c r="O477" s="17"/>
      <c r="P477" s="17"/>
      <c r="Q477" s="17"/>
      <c r="R477" s="17"/>
      <c r="S477" s="18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8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8"/>
      <c r="AV477" s="17"/>
      <c r="AW477" s="17"/>
      <c r="AX477" s="17"/>
      <c r="AY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8"/>
      <c r="N478" s="17"/>
      <c r="O478" s="17"/>
      <c r="P478" s="17"/>
      <c r="Q478" s="17"/>
      <c r="R478" s="17"/>
      <c r="S478" s="18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8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8"/>
      <c r="AV478" s="17"/>
      <c r="AW478" s="17"/>
      <c r="AX478" s="17"/>
      <c r="AY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8"/>
      <c r="N479" s="17"/>
      <c r="O479" s="17"/>
      <c r="P479" s="17"/>
      <c r="Q479" s="17"/>
      <c r="R479" s="17"/>
      <c r="S479" s="18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8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8"/>
      <c r="AV479" s="17"/>
      <c r="AW479" s="17"/>
      <c r="AX479" s="17"/>
      <c r="AY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/>
      <c r="N480" s="17"/>
      <c r="O480" s="17"/>
      <c r="P480" s="17"/>
      <c r="Q480" s="17"/>
      <c r="R480" s="17"/>
      <c r="S480" s="18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8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8"/>
      <c r="AV480" s="17"/>
      <c r="AW480" s="17"/>
      <c r="AX480" s="17"/>
      <c r="AY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8"/>
      <c r="N481" s="17"/>
      <c r="O481" s="17"/>
      <c r="P481" s="17"/>
      <c r="Q481" s="17"/>
      <c r="R481" s="17"/>
      <c r="S481" s="18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8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8"/>
      <c r="AV481" s="17"/>
      <c r="AW481" s="17"/>
      <c r="AX481" s="17"/>
      <c r="AY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8"/>
      <c r="N482" s="17"/>
      <c r="O482" s="17"/>
      <c r="P482" s="17"/>
      <c r="Q482" s="17"/>
      <c r="R482" s="17"/>
      <c r="S482" s="18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8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8"/>
      <c r="AV482" s="17"/>
      <c r="AW482" s="17"/>
      <c r="AX482" s="17"/>
      <c r="AY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8"/>
      <c r="N483" s="17"/>
      <c r="O483" s="17"/>
      <c r="P483" s="17"/>
      <c r="Q483" s="17"/>
      <c r="R483" s="17"/>
      <c r="S483" s="18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8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8"/>
      <c r="AV483" s="17"/>
      <c r="AW483" s="17"/>
      <c r="AX483" s="17"/>
      <c r="AY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/>
      <c r="N484" s="17"/>
      <c r="O484" s="17"/>
      <c r="P484" s="17"/>
      <c r="Q484" s="17"/>
      <c r="R484" s="17"/>
      <c r="S484" s="18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8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8"/>
      <c r="AV484" s="17"/>
      <c r="AW484" s="17"/>
      <c r="AX484" s="17"/>
      <c r="AY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8"/>
      <c r="N485" s="17"/>
      <c r="O485" s="17"/>
      <c r="P485" s="17"/>
      <c r="Q485" s="17"/>
      <c r="R485" s="17"/>
      <c r="S485" s="18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8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8"/>
      <c r="AV485" s="17"/>
      <c r="AW485" s="17"/>
      <c r="AX485" s="17"/>
      <c r="AY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8"/>
      <c r="N486" s="17"/>
      <c r="O486" s="17"/>
      <c r="P486" s="17"/>
      <c r="Q486" s="17"/>
      <c r="R486" s="17"/>
      <c r="S486" s="18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8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8"/>
      <c r="AV486" s="17"/>
      <c r="AW486" s="17"/>
      <c r="AX486" s="17"/>
      <c r="AY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8"/>
      <c r="N487" s="17"/>
      <c r="O487" s="17"/>
      <c r="P487" s="17"/>
      <c r="Q487" s="17"/>
      <c r="R487" s="17"/>
      <c r="S487" s="18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8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8"/>
      <c r="AV487" s="17"/>
      <c r="AW487" s="17"/>
      <c r="AX487" s="17"/>
      <c r="AY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/>
      <c r="N488" s="17"/>
      <c r="O488" s="17"/>
      <c r="P488" s="17"/>
      <c r="Q488" s="17"/>
      <c r="R488" s="17"/>
      <c r="S488" s="18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8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8"/>
      <c r="AV488" s="17"/>
      <c r="AW488" s="17"/>
      <c r="AX488" s="17"/>
      <c r="AY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/>
      <c r="N489" s="17"/>
      <c r="O489" s="17"/>
      <c r="P489" s="17"/>
      <c r="Q489" s="17"/>
      <c r="R489" s="17"/>
      <c r="S489" s="18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8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8"/>
      <c r="AV489" s="17"/>
      <c r="AW489" s="17"/>
      <c r="AX489" s="17"/>
      <c r="AY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7"/>
      <c r="O490" s="17"/>
      <c r="P490" s="17"/>
      <c r="Q490" s="17"/>
      <c r="R490" s="17"/>
      <c r="S490" s="18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8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8"/>
      <c r="AV490" s="17"/>
      <c r="AW490" s="17"/>
      <c r="AX490" s="17"/>
      <c r="AY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8"/>
      <c r="N491" s="17"/>
      <c r="O491" s="17"/>
      <c r="P491" s="17"/>
      <c r="Q491" s="17"/>
      <c r="R491" s="17"/>
      <c r="S491" s="18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8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8"/>
      <c r="AV491" s="17"/>
      <c r="AW491" s="17"/>
      <c r="AX491" s="17"/>
      <c r="AY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8"/>
      <c r="N492" s="17"/>
      <c r="O492" s="17"/>
      <c r="P492" s="17"/>
      <c r="Q492" s="17"/>
      <c r="R492" s="17"/>
      <c r="S492" s="18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8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8"/>
      <c r="AV492" s="17"/>
      <c r="AW492" s="17"/>
      <c r="AX492" s="17"/>
      <c r="AY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8"/>
      <c r="N493" s="17"/>
      <c r="O493" s="17"/>
      <c r="P493" s="17"/>
      <c r="Q493" s="17"/>
      <c r="R493" s="17"/>
      <c r="S493" s="18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8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8"/>
      <c r="AV493" s="17"/>
      <c r="AW493" s="17"/>
      <c r="AX493" s="17"/>
      <c r="AY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8"/>
      <c r="N494" s="17"/>
      <c r="O494" s="17"/>
      <c r="P494" s="17"/>
      <c r="Q494" s="17"/>
      <c r="R494" s="17"/>
      <c r="S494" s="18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8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8"/>
      <c r="AV494" s="17"/>
      <c r="AW494" s="17"/>
      <c r="AX494" s="17"/>
      <c r="AY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8"/>
      <c r="N495" s="17"/>
      <c r="O495" s="17"/>
      <c r="P495" s="17"/>
      <c r="Q495" s="17"/>
      <c r="R495" s="17"/>
      <c r="S495" s="18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8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8"/>
      <c r="AV495" s="17"/>
      <c r="AW495" s="17"/>
      <c r="AX495" s="17"/>
      <c r="AY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/>
      <c r="N496" s="17"/>
      <c r="O496" s="17"/>
      <c r="P496" s="17"/>
      <c r="Q496" s="17"/>
      <c r="R496" s="17"/>
      <c r="S496" s="18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8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8"/>
      <c r="AV496" s="17"/>
      <c r="AW496" s="17"/>
      <c r="AX496" s="17"/>
      <c r="AY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/>
      <c r="N497" s="17"/>
      <c r="O497" s="17"/>
      <c r="P497" s="17"/>
      <c r="Q497" s="17"/>
      <c r="R497" s="17"/>
      <c r="S497" s="18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8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8"/>
      <c r="AV497" s="17"/>
      <c r="AW497" s="17"/>
      <c r="AX497" s="17"/>
      <c r="AY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8"/>
      <c r="N498" s="17"/>
      <c r="O498" s="17"/>
      <c r="P498" s="17"/>
      <c r="Q498" s="17"/>
      <c r="R498" s="17"/>
      <c r="S498" s="18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8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8"/>
      <c r="AV498" s="17"/>
      <c r="AW498" s="17"/>
      <c r="AX498" s="17"/>
      <c r="AY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8"/>
      <c r="N499" s="17"/>
      <c r="O499" s="17"/>
      <c r="P499" s="17"/>
      <c r="Q499" s="17"/>
      <c r="R499" s="17"/>
      <c r="S499" s="18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8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8"/>
      <c r="AV499" s="17"/>
      <c r="AW499" s="17"/>
      <c r="AX499" s="17"/>
      <c r="AY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/>
      <c r="N500" s="17"/>
      <c r="O500" s="17"/>
      <c r="P500" s="17"/>
      <c r="Q500" s="17"/>
      <c r="R500" s="17"/>
      <c r="S500" s="18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8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8"/>
      <c r="AV500" s="17"/>
      <c r="AW500" s="17"/>
      <c r="AX500" s="17"/>
      <c r="AY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8"/>
      <c r="N501" s="17"/>
      <c r="O501" s="17"/>
      <c r="P501" s="17"/>
      <c r="Q501" s="17"/>
      <c r="R501" s="17"/>
      <c r="S501" s="18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8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8"/>
      <c r="AV501" s="17"/>
      <c r="AW501" s="17"/>
      <c r="AX501" s="17"/>
      <c r="AY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8"/>
      <c r="N502" s="17"/>
      <c r="O502" s="17"/>
      <c r="P502" s="17"/>
      <c r="Q502" s="17"/>
      <c r="R502" s="17"/>
      <c r="S502" s="18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8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8"/>
      <c r="AV502" s="17"/>
      <c r="AW502" s="17"/>
      <c r="AX502" s="17"/>
      <c r="AY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/>
      <c r="N503" s="17"/>
      <c r="O503" s="17"/>
      <c r="P503" s="17"/>
      <c r="Q503" s="17"/>
      <c r="R503" s="17"/>
      <c r="S503" s="18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8"/>
      <c r="AV503" s="17"/>
      <c r="AW503" s="17"/>
      <c r="AX503" s="17"/>
      <c r="AY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/>
      <c r="N504" s="17"/>
      <c r="O504" s="17"/>
      <c r="P504" s="17"/>
      <c r="Q504" s="17"/>
      <c r="R504" s="17"/>
      <c r="S504" s="18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8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8"/>
      <c r="AV504" s="17"/>
      <c r="AW504" s="17"/>
      <c r="AX504" s="17"/>
      <c r="AY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8"/>
      <c r="N505" s="17"/>
      <c r="O505" s="17"/>
      <c r="P505" s="17"/>
      <c r="Q505" s="17"/>
      <c r="R505" s="17"/>
      <c r="S505" s="18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8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8"/>
      <c r="AV505" s="17"/>
      <c r="AW505" s="17"/>
      <c r="AX505" s="17"/>
      <c r="AY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8"/>
      <c r="N506" s="17"/>
      <c r="O506" s="17"/>
      <c r="P506" s="17"/>
      <c r="Q506" s="17"/>
      <c r="R506" s="17"/>
      <c r="S506" s="18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8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8"/>
      <c r="AV506" s="17"/>
      <c r="AW506" s="17"/>
      <c r="AX506" s="17"/>
      <c r="AY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/>
      <c r="N507" s="17"/>
      <c r="O507" s="17"/>
      <c r="P507" s="17"/>
      <c r="Q507" s="17"/>
      <c r="R507" s="17"/>
      <c r="S507" s="18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8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8"/>
      <c r="AV507" s="17"/>
      <c r="AW507" s="17"/>
      <c r="AX507" s="17"/>
      <c r="AY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/>
      <c r="N508" s="17"/>
      <c r="O508" s="17"/>
      <c r="P508" s="17"/>
      <c r="Q508" s="17"/>
      <c r="R508" s="17"/>
      <c r="S508" s="18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8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8"/>
      <c r="AV508" s="17"/>
      <c r="AW508" s="17"/>
      <c r="AX508" s="17"/>
      <c r="AY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8"/>
      <c r="N509" s="17"/>
      <c r="O509" s="17"/>
      <c r="P509" s="17"/>
      <c r="Q509" s="17"/>
      <c r="R509" s="17"/>
      <c r="S509" s="18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8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8"/>
      <c r="AV509" s="17"/>
      <c r="AW509" s="17"/>
      <c r="AX509" s="17"/>
      <c r="AY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/>
      <c r="N510" s="17"/>
      <c r="O510" s="17"/>
      <c r="P510" s="17"/>
      <c r="Q510" s="17"/>
      <c r="R510" s="17"/>
      <c r="S510" s="18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8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8"/>
      <c r="AV510" s="17"/>
      <c r="AW510" s="17"/>
      <c r="AX510" s="17"/>
      <c r="AY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8"/>
      <c r="N511" s="17"/>
      <c r="O511" s="17"/>
      <c r="P511" s="17"/>
      <c r="Q511" s="17"/>
      <c r="R511" s="17"/>
      <c r="S511" s="18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8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8"/>
      <c r="AV511" s="17"/>
      <c r="AW511" s="17"/>
      <c r="AX511" s="17"/>
      <c r="AY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/>
      <c r="N512" s="17"/>
      <c r="O512" s="17"/>
      <c r="P512" s="17"/>
      <c r="Q512" s="17"/>
      <c r="R512" s="17"/>
      <c r="S512" s="18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8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8"/>
      <c r="AV512" s="17"/>
      <c r="AW512" s="17"/>
      <c r="AX512" s="17"/>
      <c r="AY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/>
      <c r="N513" s="17"/>
      <c r="O513" s="17"/>
      <c r="P513" s="17"/>
      <c r="Q513" s="17"/>
      <c r="R513" s="17"/>
      <c r="S513" s="18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8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8"/>
      <c r="AV513" s="17"/>
      <c r="AW513" s="17"/>
      <c r="AX513" s="17"/>
      <c r="AY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/>
      <c r="N514" s="17"/>
      <c r="O514" s="17"/>
      <c r="P514" s="17"/>
      <c r="Q514" s="17"/>
      <c r="R514" s="17"/>
      <c r="S514" s="18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8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8"/>
      <c r="AV514" s="17"/>
      <c r="AW514" s="17"/>
      <c r="AX514" s="17"/>
      <c r="AY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/>
      <c r="N515" s="17"/>
      <c r="O515" s="17"/>
      <c r="P515" s="17"/>
      <c r="Q515" s="17"/>
      <c r="R515" s="17"/>
      <c r="S515" s="18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8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8"/>
      <c r="AV515" s="17"/>
      <c r="AW515" s="17"/>
      <c r="AX515" s="17"/>
      <c r="AY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/>
      <c r="N516" s="17"/>
      <c r="O516" s="17"/>
      <c r="P516" s="17"/>
      <c r="Q516" s="17"/>
      <c r="R516" s="17"/>
      <c r="S516" s="18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8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8"/>
      <c r="AV516" s="17"/>
      <c r="AW516" s="17"/>
      <c r="AX516" s="17"/>
      <c r="AY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8"/>
      <c r="N517" s="17"/>
      <c r="O517" s="17"/>
      <c r="P517" s="17"/>
      <c r="Q517" s="17"/>
      <c r="R517" s="17"/>
      <c r="S517" s="18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8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8"/>
      <c r="AV517" s="17"/>
      <c r="AW517" s="17"/>
      <c r="AX517" s="17"/>
      <c r="AY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8"/>
      <c r="N518" s="17"/>
      <c r="O518" s="17"/>
      <c r="P518" s="17"/>
      <c r="Q518" s="17"/>
      <c r="R518" s="17"/>
      <c r="S518" s="18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8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8"/>
      <c r="AV518" s="17"/>
      <c r="AW518" s="17"/>
      <c r="AX518" s="17"/>
      <c r="AY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8"/>
      <c r="N519" s="17"/>
      <c r="O519" s="17"/>
      <c r="P519" s="17"/>
      <c r="Q519" s="17"/>
      <c r="R519" s="17"/>
      <c r="S519" s="18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8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8"/>
      <c r="AV519" s="17"/>
      <c r="AW519" s="17"/>
      <c r="AX519" s="17"/>
      <c r="AY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/>
      <c r="N520" s="17"/>
      <c r="O520" s="17"/>
      <c r="P520" s="17"/>
      <c r="Q520" s="17"/>
      <c r="R520" s="17"/>
      <c r="S520" s="18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8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8"/>
      <c r="AV520" s="17"/>
      <c r="AW520" s="17"/>
      <c r="AX520" s="17"/>
      <c r="AY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8"/>
      <c r="N521" s="17"/>
      <c r="O521" s="17"/>
      <c r="P521" s="17"/>
      <c r="Q521" s="17"/>
      <c r="R521" s="17"/>
      <c r="S521" s="18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8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8"/>
      <c r="AV521" s="17"/>
      <c r="AW521" s="17"/>
      <c r="AX521" s="17"/>
      <c r="AY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8"/>
      <c r="N522" s="17"/>
      <c r="O522" s="17"/>
      <c r="P522" s="17"/>
      <c r="Q522" s="17"/>
      <c r="R522" s="17"/>
      <c r="S522" s="18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8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8"/>
      <c r="AV522" s="17"/>
      <c r="AW522" s="17"/>
      <c r="AX522" s="17"/>
      <c r="AY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8"/>
      <c r="N523" s="17"/>
      <c r="O523" s="17"/>
      <c r="P523" s="17"/>
      <c r="Q523" s="17"/>
      <c r="R523" s="17"/>
      <c r="S523" s="18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8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8"/>
      <c r="AV523" s="17"/>
      <c r="AW523" s="17"/>
      <c r="AX523" s="17"/>
      <c r="AY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8"/>
      <c r="N524" s="17"/>
      <c r="O524" s="17"/>
      <c r="P524" s="17"/>
      <c r="Q524" s="17"/>
      <c r="R524" s="17"/>
      <c r="S524" s="18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8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8"/>
      <c r="AV524" s="17"/>
      <c r="AW524" s="17"/>
      <c r="AX524" s="17"/>
      <c r="AY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7"/>
      <c r="O525" s="17"/>
      <c r="P525" s="17"/>
      <c r="Q525" s="17"/>
      <c r="R525" s="17"/>
      <c r="S525" s="18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8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8"/>
      <c r="AV525" s="17"/>
      <c r="AW525" s="17"/>
      <c r="AX525" s="17"/>
      <c r="AY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7"/>
      <c r="O526" s="17"/>
      <c r="P526" s="17"/>
      <c r="Q526" s="17"/>
      <c r="R526" s="17"/>
      <c r="S526" s="18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8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8"/>
      <c r="AV526" s="17"/>
      <c r="AW526" s="17"/>
      <c r="AX526" s="17"/>
      <c r="AY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7"/>
      <c r="O527" s="17"/>
      <c r="P527" s="17"/>
      <c r="Q527" s="17"/>
      <c r="R527" s="17"/>
      <c r="S527" s="18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8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8"/>
      <c r="AV527" s="17"/>
      <c r="AW527" s="17"/>
      <c r="AX527" s="17"/>
      <c r="AY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7"/>
      <c r="O528" s="17"/>
      <c r="P528" s="17"/>
      <c r="Q528" s="17"/>
      <c r="R528" s="17"/>
      <c r="S528" s="18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8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8"/>
      <c r="AV528" s="17"/>
      <c r="AW528" s="17"/>
      <c r="AX528" s="17"/>
      <c r="AY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7"/>
      <c r="O529" s="17"/>
      <c r="P529" s="17"/>
      <c r="Q529" s="17"/>
      <c r="R529" s="17"/>
      <c r="S529" s="18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8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8"/>
      <c r="AV529" s="17"/>
      <c r="AW529" s="17"/>
      <c r="AX529" s="17"/>
      <c r="AY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7"/>
      <c r="O530" s="17"/>
      <c r="P530" s="17"/>
      <c r="Q530" s="17"/>
      <c r="R530" s="17"/>
      <c r="S530" s="18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8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8"/>
      <c r="AV530" s="17"/>
      <c r="AW530" s="17"/>
      <c r="AX530" s="17"/>
      <c r="AY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7"/>
      <c r="O531" s="17"/>
      <c r="P531" s="17"/>
      <c r="Q531" s="17"/>
      <c r="R531" s="17"/>
      <c r="S531" s="18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8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8"/>
      <c r="AV531" s="17"/>
      <c r="AW531" s="17"/>
      <c r="AX531" s="17"/>
      <c r="AY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7"/>
      <c r="O532" s="17"/>
      <c r="P532" s="17"/>
      <c r="Q532" s="17"/>
      <c r="R532" s="17"/>
      <c r="S532" s="18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8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8"/>
      <c r="AV532" s="17"/>
      <c r="AW532" s="17"/>
      <c r="AX532" s="17"/>
      <c r="AY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7"/>
      <c r="O533" s="17"/>
      <c r="P533" s="17"/>
      <c r="Q533" s="17"/>
      <c r="R533" s="17"/>
      <c r="S533" s="18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8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8"/>
      <c r="AV533" s="17"/>
      <c r="AW533" s="17"/>
      <c r="AX533" s="17"/>
      <c r="AY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7"/>
      <c r="O534" s="17"/>
      <c r="P534" s="17"/>
      <c r="Q534" s="17"/>
      <c r="R534" s="17"/>
      <c r="S534" s="18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8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8"/>
      <c r="AV534" s="17"/>
      <c r="AW534" s="17"/>
      <c r="AX534" s="17"/>
      <c r="AY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8"/>
      <c r="N535" s="17"/>
      <c r="O535" s="17"/>
      <c r="P535" s="17"/>
      <c r="Q535" s="17"/>
      <c r="R535" s="17"/>
      <c r="S535" s="18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8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8"/>
      <c r="AV535" s="17"/>
      <c r="AW535" s="17"/>
      <c r="AX535" s="17"/>
      <c r="AY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8"/>
      <c r="N536" s="17"/>
      <c r="O536" s="17"/>
      <c r="P536" s="17"/>
      <c r="Q536" s="17"/>
      <c r="R536" s="17"/>
      <c r="S536" s="18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8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8"/>
      <c r="AV536" s="17"/>
      <c r="AW536" s="17"/>
      <c r="AX536" s="17"/>
      <c r="AY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8"/>
      <c r="N537" s="17"/>
      <c r="O537" s="17"/>
      <c r="P537" s="17"/>
      <c r="Q537" s="17"/>
      <c r="R537" s="17"/>
      <c r="S537" s="18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8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8"/>
      <c r="AV537" s="17"/>
      <c r="AW537" s="17"/>
      <c r="AX537" s="17"/>
      <c r="AY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/>
      <c r="N538" s="17"/>
      <c r="O538" s="17"/>
      <c r="P538" s="17"/>
      <c r="Q538" s="17"/>
      <c r="R538" s="17"/>
      <c r="S538" s="18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8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8"/>
      <c r="AV538" s="17"/>
      <c r="AW538" s="17"/>
      <c r="AX538" s="17"/>
      <c r="AY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7"/>
      <c r="O539" s="17"/>
      <c r="P539" s="17"/>
      <c r="Q539" s="17"/>
      <c r="R539" s="17"/>
      <c r="S539" s="18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8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8"/>
      <c r="AV539" s="17"/>
      <c r="AW539" s="17"/>
      <c r="AX539" s="17"/>
      <c r="AY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7"/>
      <c r="O540" s="17"/>
      <c r="P540" s="17"/>
      <c r="Q540" s="17"/>
      <c r="R540" s="17"/>
      <c r="S540" s="18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8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8"/>
      <c r="AV540" s="17"/>
      <c r="AW540" s="17"/>
      <c r="AX540" s="17"/>
      <c r="AY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/>
      <c r="N541" s="17"/>
      <c r="O541" s="17"/>
      <c r="P541" s="17"/>
      <c r="Q541" s="17"/>
      <c r="R541" s="17"/>
      <c r="S541" s="18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8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8"/>
      <c r="AV541" s="17"/>
      <c r="AW541" s="17"/>
      <c r="AX541" s="17"/>
      <c r="AY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8"/>
      <c r="N542" s="17"/>
      <c r="O542" s="17"/>
      <c r="P542" s="17"/>
      <c r="Q542" s="17"/>
      <c r="R542" s="17"/>
      <c r="S542" s="18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8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8"/>
      <c r="AV542" s="17"/>
      <c r="AW542" s="17"/>
      <c r="AX542" s="17"/>
      <c r="AY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8"/>
      <c r="N543" s="17"/>
      <c r="O543" s="17"/>
      <c r="P543" s="17"/>
      <c r="Q543" s="17"/>
      <c r="R543" s="17"/>
      <c r="S543" s="18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8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8"/>
      <c r="AV543" s="17"/>
      <c r="AW543" s="17"/>
      <c r="AX543" s="17"/>
      <c r="AY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8"/>
      <c r="N544" s="17"/>
      <c r="O544" s="17"/>
      <c r="P544" s="17"/>
      <c r="Q544" s="17"/>
      <c r="R544" s="17"/>
      <c r="S544" s="18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8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8"/>
      <c r="AV544" s="17"/>
      <c r="AW544" s="17"/>
      <c r="AX544" s="17"/>
      <c r="AY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/>
      <c r="N545" s="17"/>
      <c r="O545" s="17"/>
      <c r="P545" s="17"/>
      <c r="Q545" s="17"/>
      <c r="R545" s="17"/>
      <c r="S545" s="18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8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8"/>
      <c r="AV545" s="17"/>
      <c r="AW545" s="17"/>
      <c r="AX545" s="17"/>
      <c r="AY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8"/>
      <c r="N546" s="17"/>
      <c r="O546" s="17"/>
      <c r="P546" s="17"/>
      <c r="Q546" s="17"/>
      <c r="R546" s="17"/>
      <c r="S546" s="18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8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8"/>
      <c r="AV546" s="17"/>
      <c r="AW546" s="17"/>
      <c r="AX546" s="17"/>
      <c r="AY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8"/>
      <c r="N547" s="17"/>
      <c r="O547" s="17"/>
      <c r="P547" s="17"/>
      <c r="Q547" s="17"/>
      <c r="R547" s="17"/>
      <c r="S547" s="18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8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8"/>
      <c r="AV547" s="17"/>
      <c r="AW547" s="17"/>
      <c r="AX547" s="17"/>
      <c r="AY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8"/>
      <c r="N548" s="17"/>
      <c r="O548" s="17"/>
      <c r="P548" s="17"/>
      <c r="Q548" s="17"/>
      <c r="R548" s="17"/>
      <c r="S548" s="18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8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8"/>
      <c r="AV548" s="17"/>
      <c r="AW548" s="17"/>
      <c r="AX548" s="17"/>
      <c r="AY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8"/>
      <c r="N549" s="17"/>
      <c r="O549" s="17"/>
      <c r="P549" s="17"/>
      <c r="Q549" s="17"/>
      <c r="R549" s="17"/>
      <c r="S549" s="18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8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8"/>
      <c r="AV549" s="17"/>
      <c r="AW549" s="17"/>
      <c r="AX549" s="17"/>
      <c r="AY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8"/>
      <c r="N550" s="17"/>
      <c r="O550" s="17"/>
      <c r="P550" s="17"/>
      <c r="Q550" s="17"/>
      <c r="R550" s="17"/>
      <c r="S550" s="18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8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8"/>
      <c r="AV550" s="17"/>
      <c r="AW550" s="17"/>
      <c r="AX550" s="17"/>
      <c r="AY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8"/>
      <c r="N551" s="17"/>
      <c r="O551" s="17"/>
      <c r="P551" s="17"/>
      <c r="Q551" s="17"/>
      <c r="R551" s="17"/>
      <c r="S551" s="18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8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8"/>
      <c r="AV551" s="17"/>
      <c r="AW551" s="17"/>
      <c r="AX551" s="17"/>
      <c r="AY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8"/>
      <c r="N552" s="17"/>
      <c r="O552" s="17"/>
      <c r="P552" s="17"/>
      <c r="Q552" s="17"/>
      <c r="R552" s="17"/>
      <c r="S552" s="18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8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8"/>
      <c r="AV552" s="17"/>
      <c r="AW552" s="17"/>
      <c r="AX552" s="17"/>
      <c r="AY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/>
      <c r="N553" s="17"/>
      <c r="O553" s="17"/>
      <c r="P553" s="17"/>
      <c r="Q553" s="17"/>
      <c r="R553" s="17"/>
      <c r="S553" s="18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8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8"/>
      <c r="AV553" s="17"/>
      <c r="AW553" s="17"/>
      <c r="AX553" s="17"/>
      <c r="AY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8"/>
      <c r="N554" s="17"/>
      <c r="O554" s="17"/>
      <c r="P554" s="17"/>
      <c r="Q554" s="17"/>
      <c r="R554" s="17"/>
      <c r="S554" s="18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8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8"/>
      <c r="AV554" s="17"/>
      <c r="AW554" s="17"/>
      <c r="AX554" s="17"/>
      <c r="AY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8"/>
      <c r="N555" s="17"/>
      <c r="O555" s="17"/>
      <c r="P555" s="17"/>
      <c r="Q555" s="17"/>
      <c r="R555" s="17"/>
      <c r="S555" s="18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8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8"/>
      <c r="AV555" s="17"/>
      <c r="AW555" s="17"/>
      <c r="AX555" s="17"/>
      <c r="AY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/>
      <c r="N556" s="17"/>
      <c r="O556" s="17"/>
      <c r="P556" s="17"/>
      <c r="Q556" s="17"/>
      <c r="R556" s="17"/>
      <c r="S556" s="18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8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8"/>
      <c r="AV556" s="17"/>
      <c r="AW556" s="17"/>
      <c r="AX556" s="17"/>
      <c r="AY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/>
      <c r="N557" s="17"/>
      <c r="O557" s="17"/>
      <c r="P557" s="17"/>
      <c r="Q557" s="17"/>
      <c r="R557" s="17"/>
      <c r="S557" s="18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8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8"/>
      <c r="AV557" s="17"/>
      <c r="AW557" s="17"/>
      <c r="AX557" s="17"/>
      <c r="AY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/>
      <c r="N558" s="17"/>
      <c r="O558" s="17"/>
      <c r="P558" s="17"/>
      <c r="Q558" s="17"/>
      <c r="R558" s="17"/>
      <c r="S558" s="18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8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8"/>
      <c r="AV558" s="17"/>
      <c r="AW558" s="17"/>
      <c r="AX558" s="17"/>
      <c r="AY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8"/>
      <c r="N559" s="17"/>
      <c r="O559" s="17"/>
      <c r="P559" s="17"/>
      <c r="Q559" s="17"/>
      <c r="R559" s="17"/>
      <c r="S559" s="18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8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8"/>
      <c r="AV559" s="17"/>
      <c r="AW559" s="17"/>
      <c r="AX559" s="17"/>
      <c r="AY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8"/>
      <c r="N560" s="17"/>
      <c r="O560" s="17"/>
      <c r="P560" s="17"/>
      <c r="Q560" s="17"/>
      <c r="R560" s="17"/>
      <c r="S560" s="18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8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8"/>
      <c r="AV560" s="17"/>
      <c r="AW560" s="17"/>
      <c r="AX560" s="17"/>
      <c r="AY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8"/>
      <c r="N561" s="17"/>
      <c r="O561" s="17"/>
      <c r="P561" s="17"/>
      <c r="Q561" s="17"/>
      <c r="R561" s="17"/>
      <c r="S561" s="18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8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8"/>
      <c r="AV561" s="17"/>
      <c r="AW561" s="17"/>
      <c r="AX561" s="17"/>
      <c r="AY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8"/>
      <c r="N562" s="17"/>
      <c r="O562" s="17"/>
      <c r="P562" s="17"/>
      <c r="Q562" s="17"/>
      <c r="R562" s="17"/>
      <c r="S562" s="18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8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8"/>
      <c r="AV562" s="17"/>
      <c r="AW562" s="17"/>
      <c r="AX562" s="17"/>
      <c r="AY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/>
      <c r="N563" s="17"/>
      <c r="O563" s="17"/>
      <c r="P563" s="17"/>
      <c r="Q563" s="17"/>
      <c r="R563" s="17"/>
      <c r="S563" s="18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8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8"/>
      <c r="AV563" s="17"/>
      <c r="AW563" s="17"/>
      <c r="AX563" s="17"/>
      <c r="AY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8"/>
      <c r="N564" s="17"/>
      <c r="O564" s="17"/>
      <c r="P564" s="17"/>
      <c r="Q564" s="17"/>
      <c r="R564" s="17"/>
      <c r="S564" s="18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8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8"/>
      <c r="AV564" s="17"/>
      <c r="AW564" s="17"/>
      <c r="AX564" s="17"/>
      <c r="AY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8"/>
      <c r="N565" s="17"/>
      <c r="O565" s="17"/>
      <c r="P565" s="17"/>
      <c r="Q565" s="17"/>
      <c r="R565" s="17"/>
      <c r="S565" s="18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8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8"/>
      <c r="AV565" s="17"/>
      <c r="AW565" s="17"/>
      <c r="AX565" s="17"/>
      <c r="AY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8"/>
      <c r="N566" s="17"/>
      <c r="O566" s="17"/>
      <c r="P566" s="17"/>
      <c r="Q566" s="17"/>
      <c r="R566" s="17"/>
      <c r="S566" s="18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8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8"/>
      <c r="AV566" s="17"/>
      <c r="AW566" s="17"/>
      <c r="AX566" s="17"/>
      <c r="AY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/>
      <c r="N567" s="17"/>
      <c r="O567" s="17"/>
      <c r="P567" s="17"/>
      <c r="Q567" s="17"/>
      <c r="R567" s="17"/>
      <c r="S567" s="18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8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8"/>
      <c r="AV567" s="17"/>
      <c r="AW567" s="17"/>
      <c r="AX567" s="17"/>
      <c r="AY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8"/>
      <c r="N568" s="17"/>
      <c r="O568" s="17"/>
      <c r="P568" s="17"/>
      <c r="Q568" s="17"/>
      <c r="R568" s="17"/>
      <c r="S568" s="18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8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8"/>
      <c r="AV568" s="17"/>
      <c r="AW568" s="17"/>
      <c r="AX568" s="17"/>
      <c r="AY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/>
      <c r="N569" s="17"/>
      <c r="O569" s="17"/>
      <c r="P569" s="17"/>
      <c r="Q569" s="17"/>
      <c r="R569" s="17"/>
      <c r="S569" s="18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8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8"/>
      <c r="AV569" s="17"/>
      <c r="AW569" s="17"/>
      <c r="AX569" s="17"/>
      <c r="AY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/>
      <c r="N570" s="17"/>
      <c r="O570" s="17"/>
      <c r="P570" s="17"/>
      <c r="Q570" s="17"/>
      <c r="R570" s="17"/>
      <c r="S570" s="18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8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8"/>
      <c r="AV570" s="17"/>
      <c r="AW570" s="17"/>
      <c r="AX570" s="17"/>
      <c r="AY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8"/>
      <c r="N571" s="17"/>
      <c r="O571" s="17"/>
      <c r="P571" s="17"/>
      <c r="Q571" s="17"/>
      <c r="R571" s="17"/>
      <c r="S571" s="18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8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8"/>
      <c r="AV571" s="17"/>
      <c r="AW571" s="17"/>
      <c r="AX571" s="17"/>
      <c r="AY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/>
      <c r="N572" s="17"/>
      <c r="O572" s="17"/>
      <c r="P572" s="17"/>
      <c r="Q572" s="17"/>
      <c r="R572" s="17"/>
      <c r="S572" s="18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8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8"/>
      <c r="AV572" s="17"/>
      <c r="AW572" s="17"/>
      <c r="AX572" s="17"/>
      <c r="AY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8"/>
      <c r="N573" s="17"/>
      <c r="O573" s="17"/>
      <c r="P573" s="17"/>
      <c r="Q573" s="17"/>
      <c r="R573" s="17"/>
      <c r="S573" s="18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8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8"/>
      <c r="AV573" s="17"/>
      <c r="AW573" s="17"/>
      <c r="AX573" s="17"/>
      <c r="AY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8"/>
      <c r="N574" s="17"/>
      <c r="O574" s="17"/>
      <c r="P574" s="17"/>
      <c r="Q574" s="17"/>
      <c r="R574" s="17"/>
      <c r="S574" s="18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8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8"/>
      <c r="AV574" s="17"/>
      <c r="AW574" s="17"/>
      <c r="AX574" s="17"/>
      <c r="AY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8"/>
      <c r="N575" s="17"/>
      <c r="O575" s="17"/>
      <c r="P575" s="17"/>
      <c r="Q575" s="17"/>
      <c r="R575" s="17"/>
      <c r="S575" s="18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8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8"/>
      <c r="AV575" s="17"/>
      <c r="AW575" s="17"/>
      <c r="AX575" s="17"/>
      <c r="AY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8"/>
      <c r="N576" s="17"/>
      <c r="O576" s="17"/>
      <c r="P576" s="17"/>
      <c r="Q576" s="17"/>
      <c r="R576" s="17"/>
      <c r="S576" s="18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8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8"/>
      <c r="AV576" s="17"/>
      <c r="AW576" s="17"/>
      <c r="AX576" s="17"/>
      <c r="AY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8"/>
      <c r="N577" s="17"/>
      <c r="O577" s="17"/>
      <c r="P577" s="17"/>
      <c r="Q577" s="17"/>
      <c r="R577" s="17"/>
      <c r="S577" s="18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8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8"/>
      <c r="AV577" s="17"/>
      <c r="AW577" s="17"/>
      <c r="AX577" s="17"/>
      <c r="AY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/>
      <c r="N578" s="17"/>
      <c r="O578" s="17"/>
      <c r="P578" s="17"/>
      <c r="Q578" s="17"/>
      <c r="R578" s="17"/>
      <c r="S578" s="18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8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8"/>
      <c r="AV578" s="17"/>
      <c r="AW578" s="17"/>
      <c r="AX578" s="17"/>
      <c r="AY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8"/>
      <c r="N579" s="17"/>
      <c r="O579" s="17"/>
      <c r="P579" s="17"/>
      <c r="Q579" s="17"/>
      <c r="R579" s="17"/>
      <c r="S579" s="18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8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8"/>
      <c r="AV579" s="17"/>
      <c r="AW579" s="17"/>
      <c r="AX579" s="17"/>
      <c r="AY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8"/>
      <c r="N580" s="17"/>
      <c r="O580" s="17"/>
      <c r="P580" s="17"/>
      <c r="Q580" s="17"/>
      <c r="R580" s="17"/>
      <c r="S580" s="18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8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8"/>
      <c r="AV580" s="17"/>
      <c r="AW580" s="17"/>
      <c r="AX580" s="17"/>
      <c r="AY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8"/>
      <c r="N581" s="17"/>
      <c r="O581" s="17"/>
      <c r="P581" s="17"/>
      <c r="Q581" s="17"/>
      <c r="R581" s="17"/>
      <c r="S581" s="18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8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8"/>
      <c r="AV581" s="17"/>
      <c r="AW581" s="17"/>
      <c r="AX581" s="17"/>
      <c r="AY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8"/>
      <c r="N582" s="17"/>
      <c r="O582" s="17"/>
      <c r="P582" s="17"/>
      <c r="Q582" s="17"/>
      <c r="R582" s="17"/>
      <c r="S582" s="18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8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8"/>
      <c r="AV582" s="17"/>
      <c r="AW582" s="17"/>
      <c r="AX582" s="17"/>
      <c r="AY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8"/>
      <c r="N583" s="17"/>
      <c r="O583" s="17"/>
      <c r="P583" s="17"/>
      <c r="Q583" s="17"/>
      <c r="R583" s="17"/>
      <c r="S583" s="18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8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8"/>
      <c r="AV583" s="17"/>
      <c r="AW583" s="17"/>
      <c r="AX583" s="17"/>
      <c r="AY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8"/>
      <c r="N584" s="17"/>
      <c r="O584" s="17"/>
      <c r="P584" s="17"/>
      <c r="Q584" s="17"/>
      <c r="R584" s="17"/>
      <c r="S584" s="18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8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8"/>
      <c r="AV584" s="17"/>
      <c r="AW584" s="17"/>
      <c r="AX584" s="17"/>
      <c r="AY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8"/>
      <c r="N585" s="17"/>
      <c r="O585" s="17"/>
      <c r="P585" s="17"/>
      <c r="Q585" s="17"/>
      <c r="R585" s="17"/>
      <c r="S585" s="18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8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8"/>
      <c r="AV585" s="17"/>
      <c r="AW585" s="17"/>
      <c r="AX585" s="17"/>
      <c r="AY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8"/>
      <c r="N586" s="17"/>
      <c r="O586" s="17"/>
      <c r="P586" s="17"/>
      <c r="Q586" s="17"/>
      <c r="R586" s="17"/>
      <c r="S586" s="18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8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8"/>
      <c r="AV586" s="17"/>
      <c r="AW586" s="17"/>
      <c r="AX586" s="17"/>
      <c r="AY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8"/>
      <c r="N587" s="17"/>
      <c r="O587" s="17"/>
      <c r="P587" s="17"/>
      <c r="Q587" s="17"/>
      <c r="R587" s="17"/>
      <c r="S587" s="18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8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8"/>
      <c r="AV587" s="17"/>
      <c r="AW587" s="17"/>
      <c r="AX587" s="17"/>
      <c r="AY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/>
      <c r="N588" s="17"/>
      <c r="O588" s="17"/>
      <c r="P588" s="17"/>
      <c r="Q588" s="17"/>
      <c r="R588" s="17"/>
      <c r="S588" s="18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8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8"/>
      <c r="AV588" s="17"/>
      <c r="AW588" s="17"/>
      <c r="AX588" s="17"/>
      <c r="AY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8"/>
      <c r="N589" s="17"/>
      <c r="O589" s="17"/>
      <c r="P589" s="17"/>
      <c r="Q589" s="17"/>
      <c r="R589" s="17"/>
      <c r="S589" s="18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8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8"/>
      <c r="AV589" s="17"/>
      <c r="AW589" s="17"/>
      <c r="AX589" s="17"/>
      <c r="AY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8"/>
      <c r="N590" s="17"/>
      <c r="O590" s="17"/>
      <c r="P590" s="17"/>
      <c r="Q590" s="17"/>
      <c r="R590" s="17"/>
      <c r="S590" s="18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8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8"/>
      <c r="AV590" s="17"/>
      <c r="AW590" s="17"/>
      <c r="AX590" s="17"/>
      <c r="AY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8"/>
      <c r="N591" s="17"/>
      <c r="O591" s="17"/>
      <c r="P591" s="17"/>
      <c r="Q591" s="17"/>
      <c r="R591" s="17"/>
      <c r="S591" s="18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8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8"/>
      <c r="AV591" s="17"/>
      <c r="AW591" s="17"/>
      <c r="AX591" s="17"/>
      <c r="AY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/>
      <c r="N592" s="17"/>
      <c r="O592" s="17"/>
      <c r="P592" s="17"/>
      <c r="Q592" s="17"/>
      <c r="R592" s="17"/>
      <c r="S592" s="18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8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8"/>
      <c r="AV592" s="17"/>
      <c r="AW592" s="17"/>
      <c r="AX592" s="17"/>
      <c r="AY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8"/>
      <c r="N593" s="17"/>
      <c r="O593" s="17"/>
      <c r="P593" s="17"/>
      <c r="Q593" s="17"/>
      <c r="R593" s="17"/>
      <c r="S593" s="18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8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8"/>
      <c r="AV593" s="17"/>
      <c r="AW593" s="17"/>
      <c r="AX593" s="17"/>
      <c r="AY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8"/>
      <c r="N594" s="17"/>
      <c r="O594" s="17"/>
      <c r="P594" s="17"/>
      <c r="Q594" s="17"/>
      <c r="R594" s="17"/>
      <c r="S594" s="18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8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8"/>
      <c r="AV594" s="17"/>
      <c r="AW594" s="17"/>
      <c r="AX594" s="17"/>
      <c r="AY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/>
      <c r="N595" s="17"/>
      <c r="O595" s="17"/>
      <c r="P595" s="17"/>
      <c r="Q595" s="17"/>
      <c r="R595" s="17"/>
      <c r="S595" s="18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8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8"/>
      <c r="AV595" s="17"/>
      <c r="AW595" s="17"/>
      <c r="AX595" s="17"/>
      <c r="AY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8"/>
      <c r="N596" s="17"/>
      <c r="O596" s="17"/>
      <c r="P596" s="17"/>
      <c r="Q596" s="17"/>
      <c r="R596" s="17"/>
      <c r="S596" s="18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8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8"/>
      <c r="AV596" s="17"/>
      <c r="AW596" s="17"/>
      <c r="AX596" s="17"/>
      <c r="AY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/>
      <c r="N597" s="17"/>
      <c r="O597" s="17"/>
      <c r="P597" s="17"/>
      <c r="Q597" s="17"/>
      <c r="R597" s="17"/>
      <c r="S597" s="18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8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8"/>
      <c r="AV597" s="17"/>
      <c r="AW597" s="17"/>
      <c r="AX597" s="17"/>
      <c r="AY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8"/>
      <c r="N598" s="17"/>
      <c r="O598" s="17"/>
      <c r="P598" s="17"/>
      <c r="Q598" s="17"/>
      <c r="R598" s="17"/>
      <c r="S598" s="18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8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8"/>
      <c r="AV598" s="17"/>
      <c r="AW598" s="17"/>
      <c r="AX598" s="17"/>
      <c r="AY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8"/>
      <c r="N599" s="17"/>
      <c r="O599" s="17"/>
      <c r="P599" s="17"/>
      <c r="Q599" s="17"/>
      <c r="R599" s="17"/>
      <c r="S599" s="18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8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8"/>
      <c r="AV599" s="17"/>
      <c r="AW599" s="17"/>
      <c r="AX599" s="17"/>
      <c r="AY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8"/>
      <c r="N600" s="17"/>
      <c r="O600" s="17"/>
      <c r="P600" s="17"/>
      <c r="Q600" s="17"/>
      <c r="R600" s="17"/>
      <c r="S600" s="18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8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8"/>
      <c r="AV600" s="17"/>
      <c r="AW600" s="17"/>
      <c r="AX600" s="17"/>
      <c r="AY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8"/>
      <c r="N601" s="17"/>
      <c r="O601" s="17"/>
      <c r="P601" s="17"/>
      <c r="Q601" s="17"/>
      <c r="R601" s="17"/>
      <c r="S601" s="18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8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8"/>
      <c r="AV601" s="17"/>
      <c r="AW601" s="17"/>
      <c r="AX601" s="17"/>
      <c r="AY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/>
      <c r="N602" s="17"/>
      <c r="O602" s="17"/>
      <c r="P602" s="17"/>
      <c r="Q602" s="17"/>
      <c r="R602" s="17"/>
      <c r="S602" s="18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8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8"/>
      <c r="AV602" s="17"/>
      <c r="AW602" s="17"/>
      <c r="AX602" s="17"/>
      <c r="AY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8"/>
      <c r="N603" s="17"/>
      <c r="O603" s="17"/>
      <c r="P603" s="17"/>
      <c r="Q603" s="17"/>
      <c r="R603" s="17"/>
      <c r="S603" s="18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8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8"/>
      <c r="AV603" s="17"/>
      <c r="AW603" s="17"/>
      <c r="AX603" s="17"/>
      <c r="AY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/>
      <c r="N604" s="17"/>
      <c r="O604" s="17"/>
      <c r="P604" s="17"/>
      <c r="Q604" s="17"/>
      <c r="R604" s="17"/>
      <c r="S604" s="18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8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8"/>
      <c r="AV604" s="17"/>
      <c r="AW604" s="17"/>
      <c r="AX604" s="17"/>
      <c r="AY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8"/>
      <c r="N605" s="17"/>
      <c r="O605" s="17"/>
      <c r="P605" s="17"/>
      <c r="Q605" s="17"/>
      <c r="R605" s="17"/>
      <c r="S605" s="18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8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8"/>
      <c r="AV605" s="17"/>
      <c r="AW605" s="17"/>
      <c r="AX605" s="17"/>
      <c r="AY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8"/>
      <c r="N606" s="17"/>
      <c r="O606" s="17"/>
      <c r="P606" s="17"/>
      <c r="Q606" s="17"/>
      <c r="R606" s="17"/>
      <c r="S606" s="18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8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8"/>
      <c r="AV606" s="17"/>
      <c r="AW606" s="17"/>
      <c r="AX606" s="17"/>
      <c r="AY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8"/>
      <c r="N607" s="17"/>
      <c r="O607" s="17"/>
      <c r="P607" s="17"/>
      <c r="Q607" s="17"/>
      <c r="R607" s="17"/>
      <c r="S607" s="18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8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8"/>
      <c r="AV607" s="17"/>
      <c r="AW607" s="17"/>
      <c r="AX607" s="17"/>
      <c r="AY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/>
      <c r="N608" s="17"/>
      <c r="O608" s="17"/>
      <c r="P608" s="17"/>
      <c r="Q608" s="17"/>
      <c r="R608" s="17"/>
      <c r="S608" s="18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8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8"/>
      <c r="AV608" s="17"/>
      <c r="AW608" s="17"/>
      <c r="AX608" s="17"/>
      <c r="AY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8"/>
      <c r="N609" s="17"/>
      <c r="O609" s="17"/>
      <c r="P609" s="17"/>
      <c r="Q609" s="17"/>
      <c r="R609" s="17"/>
      <c r="S609" s="18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8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8"/>
      <c r="AV609" s="17"/>
      <c r="AW609" s="17"/>
      <c r="AX609" s="17"/>
      <c r="AY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8"/>
      <c r="N610" s="17"/>
      <c r="O610" s="17"/>
      <c r="P610" s="17"/>
      <c r="Q610" s="17"/>
      <c r="R610" s="17"/>
      <c r="S610" s="18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8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8"/>
      <c r="AV610" s="17"/>
      <c r="AW610" s="17"/>
      <c r="AX610" s="17"/>
      <c r="AY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8"/>
      <c r="N611" s="17"/>
      <c r="O611" s="17"/>
      <c r="P611" s="17"/>
      <c r="Q611" s="17"/>
      <c r="R611" s="17"/>
      <c r="S611" s="18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8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8"/>
      <c r="AV611" s="17"/>
      <c r="AW611" s="17"/>
      <c r="AX611" s="17"/>
      <c r="AY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8"/>
      <c r="N612" s="17"/>
      <c r="O612" s="17"/>
      <c r="P612" s="17"/>
      <c r="Q612" s="17"/>
      <c r="R612" s="17"/>
      <c r="S612" s="18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8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8"/>
      <c r="AV612" s="17"/>
      <c r="AW612" s="17"/>
      <c r="AX612" s="17"/>
      <c r="AY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8"/>
      <c r="N613" s="17"/>
      <c r="O613" s="17"/>
      <c r="P613" s="17"/>
      <c r="Q613" s="17"/>
      <c r="R613" s="17"/>
      <c r="S613" s="18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8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8"/>
      <c r="AV613" s="17"/>
      <c r="AW613" s="17"/>
      <c r="AX613" s="17"/>
      <c r="AY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8"/>
      <c r="N614" s="17"/>
      <c r="O614" s="17"/>
      <c r="P614" s="17"/>
      <c r="Q614" s="17"/>
      <c r="R614" s="17"/>
      <c r="S614" s="18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8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8"/>
      <c r="AV614" s="17"/>
      <c r="AW614" s="17"/>
      <c r="AX614" s="17"/>
      <c r="AY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/>
      <c r="N615" s="17"/>
      <c r="O615" s="17"/>
      <c r="P615" s="17"/>
      <c r="Q615" s="17"/>
      <c r="R615" s="17"/>
      <c r="S615" s="18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8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8"/>
      <c r="AV615" s="17"/>
      <c r="AW615" s="17"/>
      <c r="AX615" s="17"/>
      <c r="AY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/>
      <c r="N616" s="17"/>
      <c r="O616" s="17"/>
      <c r="P616" s="17"/>
      <c r="Q616" s="17"/>
      <c r="R616" s="17"/>
      <c r="S616" s="18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8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8"/>
      <c r="AV616" s="17"/>
      <c r="AW616" s="17"/>
      <c r="AX616" s="17"/>
      <c r="AY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/>
      <c r="N617" s="17"/>
      <c r="O617" s="17"/>
      <c r="P617" s="17"/>
      <c r="Q617" s="17"/>
      <c r="R617" s="17"/>
      <c r="S617" s="18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8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8"/>
      <c r="AV617" s="17"/>
      <c r="AW617" s="17"/>
      <c r="AX617" s="17"/>
      <c r="AY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/>
      <c r="N618" s="17"/>
      <c r="O618" s="17"/>
      <c r="P618" s="17"/>
      <c r="Q618" s="17"/>
      <c r="R618" s="17"/>
      <c r="S618" s="18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8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8"/>
      <c r="AV618" s="17"/>
      <c r="AW618" s="17"/>
      <c r="AX618" s="17"/>
      <c r="AY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/>
      <c r="N619" s="17"/>
      <c r="O619" s="17"/>
      <c r="P619" s="17"/>
      <c r="Q619" s="17"/>
      <c r="R619" s="17"/>
      <c r="S619" s="18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8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8"/>
      <c r="AV619" s="17"/>
      <c r="AW619" s="17"/>
      <c r="AX619" s="17"/>
      <c r="AY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8"/>
      <c r="N620" s="17"/>
      <c r="O620" s="17"/>
      <c r="P620" s="17"/>
      <c r="Q620" s="17"/>
      <c r="R620" s="17"/>
      <c r="S620" s="18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8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8"/>
      <c r="AV620" s="17"/>
      <c r="AW620" s="17"/>
      <c r="AX620" s="17"/>
      <c r="AY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8"/>
      <c r="N621" s="17"/>
      <c r="O621" s="17"/>
      <c r="P621" s="17"/>
      <c r="Q621" s="17"/>
      <c r="R621" s="17"/>
      <c r="S621" s="18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8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8"/>
      <c r="AV621" s="17"/>
      <c r="AW621" s="17"/>
      <c r="AX621" s="17"/>
      <c r="AY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8"/>
      <c r="N622" s="17"/>
      <c r="O622" s="17"/>
      <c r="P622" s="17"/>
      <c r="Q622" s="17"/>
      <c r="R622" s="17"/>
      <c r="S622" s="18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8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8"/>
      <c r="AV622" s="17"/>
      <c r="AW622" s="17"/>
      <c r="AX622" s="17"/>
      <c r="AY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/>
      <c r="N623" s="17"/>
      <c r="O623" s="17"/>
      <c r="P623" s="17"/>
      <c r="Q623" s="17"/>
      <c r="R623" s="17"/>
      <c r="S623" s="18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8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8"/>
      <c r="AV623" s="17"/>
      <c r="AW623" s="17"/>
      <c r="AX623" s="17"/>
      <c r="AY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8"/>
      <c r="N624" s="17"/>
      <c r="O624" s="17"/>
      <c r="P624" s="17"/>
      <c r="Q624" s="17"/>
      <c r="R624" s="17"/>
      <c r="S624" s="18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8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8"/>
      <c r="AV624" s="17"/>
      <c r="AW624" s="17"/>
      <c r="AX624" s="17"/>
      <c r="AY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8"/>
      <c r="N625" s="17"/>
      <c r="O625" s="17"/>
      <c r="P625" s="17"/>
      <c r="Q625" s="17"/>
      <c r="R625" s="17"/>
      <c r="S625" s="18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8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8"/>
      <c r="AV625" s="17"/>
      <c r="AW625" s="17"/>
      <c r="AX625" s="17"/>
      <c r="AY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7"/>
      <c r="O626" s="17"/>
      <c r="P626" s="17"/>
      <c r="Q626" s="17"/>
      <c r="R626" s="17"/>
      <c r="S626" s="18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8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8"/>
      <c r="AV626" s="17"/>
      <c r="AW626" s="17"/>
      <c r="AX626" s="17"/>
      <c r="AY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8"/>
      <c r="N627" s="17"/>
      <c r="O627" s="17"/>
      <c r="P627" s="17"/>
      <c r="Q627" s="17"/>
      <c r="R627" s="17"/>
      <c r="S627" s="18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8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8"/>
      <c r="AV627" s="17"/>
      <c r="AW627" s="17"/>
      <c r="AX627" s="17"/>
      <c r="AY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8"/>
      <c r="N628" s="17"/>
      <c r="O628" s="17"/>
      <c r="P628" s="17"/>
      <c r="Q628" s="17"/>
      <c r="R628" s="17"/>
      <c r="S628" s="18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8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8"/>
      <c r="AV628" s="17"/>
      <c r="AW628" s="17"/>
      <c r="AX628" s="17"/>
      <c r="AY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8"/>
      <c r="N629" s="17"/>
      <c r="O629" s="17"/>
      <c r="P629" s="17"/>
      <c r="Q629" s="17"/>
      <c r="R629" s="17"/>
      <c r="S629" s="18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8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8"/>
      <c r="AV629" s="17"/>
      <c r="AW629" s="17"/>
      <c r="AX629" s="17"/>
      <c r="AY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8"/>
      <c r="N630" s="17"/>
      <c r="O630" s="17"/>
      <c r="P630" s="17"/>
      <c r="Q630" s="17"/>
      <c r="R630" s="17"/>
      <c r="S630" s="18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8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8"/>
      <c r="AV630" s="17"/>
      <c r="AW630" s="17"/>
      <c r="AX630" s="17"/>
      <c r="AY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/>
      <c r="N631" s="17"/>
      <c r="O631" s="17"/>
      <c r="P631" s="17"/>
      <c r="Q631" s="17"/>
      <c r="R631" s="17"/>
      <c r="S631" s="18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8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8"/>
      <c r="AV631" s="17"/>
      <c r="AW631" s="17"/>
      <c r="AX631" s="17"/>
      <c r="AY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8"/>
      <c r="N632" s="17"/>
      <c r="O632" s="17"/>
      <c r="P632" s="17"/>
      <c r="Q632" s="17"/>
      <c r="R632" s="17"/>
      <c r="S632" s="18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8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8"/>
      <c r="AV632" s="17"/>
      <c r="AW632" s="17"/>
      <c r="AX632" s="17"/>
      <c r="AY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/>
      <c r="N633" s="17"/>
      <c r="O633" s="17"/>
      <c r="P633" s="17"/>
      <c r="Q633" s="17"/>
      <c r="R633" s="17"/>
      <c r="S633" s="18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8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8"/>
      <c r="AV633" s="17"/>
      <c r="AW633" s="17"/>
      <c r="AX633" s="17"/>
      <c r="AY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/>
      <c r="N634" s="17"/>
      <c r="O634" s="17"/>
      <c r="P634" s="17"/>
      <c r="Q634" s="17"/>
      <c r="R634" s="17"/>
      <c r="S634" s="18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8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8"/>
      <c r="AV634" s="17"/>
      <c r="AW634" s="17"/>
      <c r="AX634" s="17"/>
      <c r="AY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/>
      <c r="N635" s="17"/>
      <c r="O635" s="17"/>
      <c r="P635" s="17"/>
      <c r="Q635" s="17"/>
      <c r="R635" s="17"/>
      <c r="S635" s="18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8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8"/>
      <c r="AV635" s="17"/>
      <c r="AW635" s="17"/>
      <c r="AX635" s="17"/>
      <c r="AY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8"/>
      <c r="N636" s="17"/>
      <c r="O636" s="17"/>
      <c r="P636" s="17"/>
      <c r="Q636" s="17"/>
      <c r="R636" s="17"/>
      <c r="S636" s="18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8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8"/>
      <c r="AV636" s="17"/>
      <c r="AW636" s="17"/>
      <c r="AX636" s="17"/>
      <c r="AY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8"/>
      <c r="N637" s="17"/>
      <c r="O637" s="17"/>
      <c r="P637" s="17"/>
      <c r="Q637" s="17"/>
      <c r="R637" s="17"/>
      <c r="S637" s="18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8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8"/>
      <c r="AV637" s="17"/>
      <c r="AW637" s="17"/>
      <c r="AX637" s="17"/>
      <c r="AY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8"/>
      <c r="N638" s="17"/>
      <c r="O638" s="17"/>
      <c r="P638" s="17"/>
      <c r="Q638" s="17"/>
      <c r="R638" s="17"/>
      <c r="S638" s="18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8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8"/>
      <c r="AV638" s="17"/>
      <c r="AW638" s="17"/>
      <c r="AX638" s="17"/>
      <c r="AY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8"/>
      <c r="N639" s="17"/>
      <c r="O639" s="17"/>
      <c r="P639" s="17"/>
      <c r="Q639" s="17"/>
      <c r="R639" s="17"/>
      <c r="S639" s="18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8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8"/>
      <c r="AV639" s="17"/>
      <c r="AW639" s="17"/>
      <c r="AX639" s="17"/>
      <c r="AY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/>
      <c r="N640" s="17"/>
      <c r="O640" s="17"/>
      <c r="P640" s="17"/>
      <c r="Q640" s="17"/>
      <c r="R640" s="17"/>
      <c r="S640" s="18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8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8"/>
      <c r="AV640" s="17"/>
      <c r="AW640" s="17"/>
      <c r="AX640" s="17"/>
      <c r="AY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8"/>
      <c r="N641" s="17"/>
      <c r="O641" s="17"/>
      <c r="P641" s="17"/>
      <c r="Q641" s="17"/>
      <c r="R641" s="17"/>
      <c r="S641" s="18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8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8"/>
      <c r="AV641" s="17"/>
      <c r="AW641" s="17"/>
      <c r="AX641" s="17"/>
      <c r="AY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8"/>
      <c r="N642" s="17"/>
      <c r="O642" s="17"/>
      <c r="P642" s="17"/>
      <c r="Q642" s="17"/>
      <c r="R642" s="17"/>
      <c r="S642" s="18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8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8"/>
      <c r="AV642" s="17"/>
      <c r="AW642" s="17"/>
      <c r="AX642" s="17"/>
      <c r="AY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8"/>
      <c r="N643" s="17"/>
      <c r="O643" s="17"/>
      <c r="P643" s="17"/>
      <c r="Q643" s="17"/>
      <c r="R643" s="17"/>
      <c r="S643" s="18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8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8"/>
      <c r="AV643" s="17"/>
      <c r="AW643" s="17"/>
      <c r="AX643" s="17"/>
      <c r="AY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/>
      <c r="N644" s="17"/>
      <c r="O644" s="17"/>
      <c r="P644" s="17"/>
      <c r="Q644" s="17"/>
      <c r="R644" s="17"/>
      <c r="S644" s="18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8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8"/>
      <c r="AV644" s="17"/>
      <c r="AW644" s="17"/>
      <c r="AX644" s="17"/>
      <c r="AY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8"/>
      <c r="N645" s="17"/>
      <c r="O645" s="17"/>
      <c r="P645" s="17"/>
      <c r="Q645" s="17"/>
      <c r="R645" s="17"/>
      <c r="S645" s="18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8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8"/>
      <c r="AV645" s="17"/>
      <c r="AW645" s="17"/>
      <c r="AX645" s="17"/>
      <c r="AY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8"/>
      <c r="N646" s="17"/>
      <c r="O646" s="17"/>
      <c r="P646" s="17"/>
      <c r="Q646" s="17"/>
      <c r="R646" s="17"/>
      <c r="S646" s="18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8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8"/>
      <c r="AV646" s="17"/>
      <c r="AW646" s="17"/>
      <c r="AX646" s="17"/>
      <c r="AY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/>
      <c r="N647" s="17"/>
      <c r="O647" s="17"/>
      <c r="P647" s="17"/>
      <c r="Q647" s="17"/>
      <c r="R647" s="17"/>
      <c r="S647" s="18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8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8"/>
      <c r="AV647" s="17"/>
      <c r="AW647" s="17"/>
      <c r="AX647" s="17"/>
      <c r="AY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8"/>
      <c r="N648" s="17"/>
      <c r="O648" s="17"/>
      <c r="P648" s="17"/>
      <c r="Q648" s="17"/>
      <c r="R648" s="17"/>
      <c r="S648" s="18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8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8"/>
      <c r="AV648" s="17"/>
      <c r="AW648" s="17"/>
      <c r="AX648" s="17"/>
      <c r="AY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8"/>
      <c r="N649" s="17"/>
      <c r="O649" s="17"/>
      <c r="P649" s="17"/>
      <c r="Q649" s="17"/>
      <c r="R649" s="17"/>
      <c r="S649" s="18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8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8"/>
      <c r="AV649" s="17"/>
      <c r="AW649" s="17"/>
      <c r="AX649" s="17"/>
      <c r="AY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8"/>
      <c r="N650" s="17"/>
      <c r="O650" s="17"/>
      <c r="P650" s="17"/>
      <c r="Q650" s="17"/>
      <c r="R650" s="17"/>
      <c r="S650" s="18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8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8"/>
      <c r="AV650" s="17"/>
      <c r="AW650" s="17"/>
      <c r="AX650" s="17"/>
      <c r="AY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8"/>
      <c r="N651" s="17"/>
      <c r="O651" s="17"/>
      <c r="P651" s="17"/>
      <c r="Q651" s="17"/>
      <c r="R651" s="17"/>
      <c r="S651" s="18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8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8"/>
      <c r="AV651" s="17"/>
      <c r="AW651" s="17"/>
      <c r="AX651" s="17"/>
      <c r="AY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8"/>
      <c r="N652" s="17"/>
      <c r="O652" s="17"/>
      <c r="P652" s="17"/>
      <c r="Q652" s="17"/>
      <c r="R652" s="17"/>
      <c r="S652" s="18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8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8"/>
      <c r="AV652" s="17"/>
      <c r="AW652" s="17"/>
      <c r="AX652" s="17"/>
      <c r="AY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8"/>
      <c r="N653" s="17"/>
      <c r="O653" s="17"/>
      <c r="P653" s="17"/>
      <c r="Q653" s="17"/>
      <c r="R653" s="17"/>
      <c r="S653" s="18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8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8"/>
      <c r="AV653" s="17"/>
      <c r="AW653" s="17"/>
      <c r="AX653" s="17"/>
      <c r="AY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8"/>
      <c r="N654" s="17"/>
      <c r="O654" s="17"/>
      <c r="P654" s="17"/>
      <c r="Q654" s="17"/>
      <c r="R654" s="17"/>
      <c r="S654" s="18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8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8"/>
      <c r="AV654" s="17"/>
      <c r="AW654" s="17"/>
      <c r="AX654" s="17"/>
      <c r="AY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8"/>
      <c r="N655" s="17"/>
      <c r="O655" s="17"/>
      <c r="P655" s="17"/>
      <c r="Q655" s="17"/>
      <c r="R655" s="17"/>
      <c r="S655" s="18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8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8"/>
      <c r="AV655" s="17"/>
      <c r="AW655" s="17"/>
      <c r="AX655" s="17"/>
      <c r="AY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8"/>
      <c r="N656" s="17"/>
      <c r="O656" s="17"/>
      <c r="P656" s="17"/>
      <c r="Q656" s="17"/>
      <c r="R656" s="17"/>
      <c r="S656" s="18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8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8"/>
      <c r="AV656" s="17"/>
      <c r="AW656" s="17"/>
      <c r="AX656" s="17"/>
      <c r="AY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8"/>
      <c r="N657" s="17"/>
      <c r="O657" s="17"/>
      <c r="P657" s="17"/>
      <c r="Q657" s="17"/>
      <c r="R657" s="17"/>
      <c r="S657" s="18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8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8"/>
      <c r="AV657" s="17"/>
      <c r="AW657" s="17"/>
      <c r="AX657" s="17"/>
      <c r="AY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8"/>
      <c r="N658" s="17"/>
      <c r="O658" s="17"/>
      <c r="P658" s="17"/>
      <c r="Q658" s="17"/>
      <c r="R658" s="17"/>
      <c r="S658" s="18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8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8"/>
      <c r="AV658" s="17"/>
      <c r="AW658" s="17"/>
      <c r="AX658" s="17"/>
      <c r="AY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8"/>
      <c r="N659" s="17"/>
      <c r="O659" s="17"/>
      <c r="P659" s="17"/>
      <c r="Q659" s="17"/>
      <c r="R659" s="17"/>
      <c r="S659" s="18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8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8"/>
      <c r="AV659" s="17"/>
      <c r="AW659" s="17"/>
      <c r="AX659" s="17"/>
      <c r="AY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8"/>
      <c r="N660" s="17"/>
      <c r="O660" s="17"/>
      <c r="P660" s="17"/>
      <c r="Q660" s="17"/>
      <c r="R660" s="17"/>
      <c r="S660" s="18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8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8"/>
      <c r="AV660" s="17"/>
      <c r="AW660" s="17"/>
      <c r="AX660" s="17"/>
      <c r="AY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8"/>
      <c r="N661" s="17"/>
      <c r="O661" s="17"/>
      <c r="P661" s="17"/>
      <c r="Q661" s="17"/>
      <c r="R661" s="17"/>
      <c r="S661" s="18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8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8"/>
      <c r="AV661" s="17"/>
      <c r="AW661" s="17"/>
      <c r="AX661" s="17"/>
      <c r="AY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/>
      <c r="N662" s="17"/>
      <c r="O662" s="17"/>
      <c r="P662" s="17"/>
      <c r="Q662" s="17"/>
      <c r="R662" s="17"/>
      <c r="S662" s="18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8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8"/>
      <c r="AV662" s="17"/>
      <c r="AW662" s="17"/>
      <c r="AX662" s="17"/>
      <c r="AY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8"/>
      <c r="N663" s="17"/>
      <c r="O663" s="17"/>
      <c r="P663" s="17"/>
      <c r="Q663" s="17"/>
      <c r="R663" s="17"/>
      <c r="S663" s="18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8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8"/>
      <c r="AV663" s="17"/>
      <c r="AW663" s="17"/>
      <c r="AX663" s="17"/>
      <c r="AY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8"/>
      <c r="N664" s="17"/>
      <c r="O664" s="17"/>
      <c r="P664" s="17"/>
      <c r="Q664" s="17"/>
      <c r="R664" s="17"/>
      <c r="S664" s="18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8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8"/>
      <c r="AV664" s="17"/>
      <c r="AW664" s="17"/>
      <c r="AX664" s="17"/>
      <c r="AY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/>
      <c r="N665" s="17"/>
      <c r="O665" s="17"/>
      <c r="P665" s="17"/>
      <c r="Q665" s="17"/>
      <c r="R665" s="17"/>
      <c r="S665" s="18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8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8"/>
      <c r="AV665" s="17"/>
      <c r="AW665" s="17"/>
      <c r="AX665" s="17"/>
      <c r="AY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8"/>
      <c r="N666" s="17"/>
      <c r="O666" s="17"/>
      <c r="P666" s="17"/>
      <c r="Q666" s="17"/>
      <c r="R666" s="17"/>
      <c r="S666" s="18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8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8"/>
      <c r="AV666" s="17"/>
      <c r="AW666" s="17"/>
      <c r="AX666" s="17"/>
      <c r="AY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8"/>
      <c r="N667" s="17"/>
      <c r="O667" s="17"/>
      <c r="P667" s="17"/>
      <c r="Q667" s="17"/>
      <c r="R667" s="17"/>
      <c r="S667" s="18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8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8"/>
      <c r="AV667" s="17"/>
      <c r="AW667" s="17"/>
      <c r="AX667" s="17"/>
      <c r="AY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8"/>
      <c r="N668" s="17"/>
      <c r="O668" s="17"/>
      <c r="P668" s="17"/>
      <c r="Q668" s="17"/>
      <c r="R668" s="17"/>
      <c r="S668" s="18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8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8"/>
      <c r="AV668" s="17"/>
      <c r="AW668" s="17"/>
      <c r="AX668" s="17"/>
      <c r="AY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8"/>
      <c r="N669" s="17"/>
      <c r="O669" s="17"/>
      <c r="P669" s="17"/>
      <c r="Q669" s="17"/>
      <c r="R669" s="17"/>
      <c r="S669" s="18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8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8"/>
      <c r="AV669" s="17"/>
      <c r="AW669" s="17"/>
      <c r="AX669" s="17"/>
      <c r="AY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8"/>
      <c r="N670" s="17"/>
      <c r="O670" s="17"/>
      <c r="P670" s="17"/>
      <c r="Q670" s="17"/>
      <c r="R670" s="17"/>
      <c r="S670" s="18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8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8"/>
      <c r="AV670" s="17"/>
      <c r="AW670" s="17"/>
      <c r="AX670" s="17"/>
      <c r="AY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8"/>
      <c r="N671" s="17"/>
      <c r="O671" s="17"/>
      <c r="P671" s="17"/>
      <c r="Q671" s="17"/>
      <c r="R671" s="17"/>
      <c r="S671" s="18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8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8"/>
      <c r="AV671" s="17"/>
      <c r="AW671" s="17"/>
      <c r="AX671" s="17"/>
      <c r="AY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/>
      <c r="N672" s="17"/>
      <c r="O672" s="17"/>
      <c r="P672" s="17"/>
      <c r="Q672" s="17"/>
      <c r="R672" s="17"/>
      <c r="S672" s="18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8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8"/>
      <c r="AV672" s="17"/>
      <c r="AW672" s="17"/>
      <c r="AX672" s="17"/>
      <c r="AY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8"/>
      <c r="N673" s="17"/>
      <c r="O673" s="17"/>
      <c r="P673" s="17"/>
      <c r="Q673" s="17"/>
      <c r="R673" s="17"/>
      <c r="S673" s="18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8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8"/>
      <c r="AV673" s="17"/>
      <c r="AW673" s="17"/>
      <c r="AX673" s="17"/>
      <c r="AY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8"/>
      <c r="N674" s="17"/>
      <c r="O674" s="17"/>
      <c r="P674" s="17"/>
      <c r="Q674" s="17"/>
      <c r="R674" s="17"/>
      <c r="S674" s="18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8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8"/>
      <c r="AV674" s="17"/>
      <c r="AW674" s="17"/>
      <c r="AX674" s="17"/>
      <c r="AY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/>
      <c r="N675" s="17"/>
      <c r="O675" s="17"/>
      <c r="P675" s="17"/>
      <c r="Q675" s="17"/>
      <c r="R675" s="17"/>
      <c r="S675" s="18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8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8"/>
      <c r="AV675" s="17"/>
      <c r="AW675" s="17"/>
      <c r="AX675" s="17"/>
      <c r="AY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8"/>
      <c r="N676" s="17"/>
      <c r="O676" s="17"/>
      <c r="P676" s="17"/>
      <c r="Q676" s="17"/>
      <c r="R676" s="17"/>
      <c r="S676" s="18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8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8"/>
      <c r="AV676" s="17"/>
      <c r="AW676" s="17"/>
      <c r="AX676" s="17"/>
      <c r="AY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8"/>
      <c r="N677" s="17"/>
      <c r="O677" s="17"/>
      <c r="P677" s="17"/>
      <c r="Q677" s="17"/>
      <c r="R677" s="17"/>
      <c r="S677" s="18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8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8"/>
      <c r="AV677" s="17"/>
      <c r="AW677" s="17"/>
      <c r="AX677" s="17"/>
      <c r="AY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/>
      <c r="N678" s="17"/>
      <c r="O678" s="17"/>
      <c r="P678" s="17"/>
      <c r="Q678" s="17"/>
      <c r="R678" s="17"/>
      <c r="S678" s="18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8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8"/>
      <c r="AV678" s="17"/>
      <c r="AW678" s="17"/>
      <c r="AX678" s="17"/>
      <c r="AY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/>
      <c r="N679" s="17"/>
      <c r="O679" s="17"/>
      <c r="P679" s="17"/>
      <c r="Q679" s="17"/>
      <c r="R679" s="17"/>
      <c r="S679" s="18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8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8"/>
      <c r="AV679" s="17"/>
      <c r="AW679" s="17"/>
      <c r="AX679" s="17"/>
      <c r="AY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8"/>
      <c r="N680" s="17"/>
      <c r="O680" s="17"/>
      <c r="P680" s="17"/>
      <c r="Q680" s="17"/>
      <c r="R680" s="17"/>
      <c r="S680" s="18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8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8"/>
      <c r="AV680" s="17"/>
      <c r="AW680" s="17"/>
      <c r="AX680" s="17"/>
      <c r="AY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8"/>
      <c r="N681" s="17"/>
      <c r="O681" s="17"/>
      <c r="P681" s="17"/>
      <c r="Q681" s="17"/>
      <c r="R681" s="17"/>
      <c r="S681" s="18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8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8"/>
      <c r="AV681" s="17"/>
      <c r="AW681" s="17"/>
      <c r="AX681" s="17"/>
      <c r="AY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8"/>
      <c r="N682" s="17"/>
      <c r="O682" s="17"/>
      <c r="P682" s="17"/>
      <c r="Q682" s="17"/>
      <c r="R682" s="17"/>
      <c r="S682" s="18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8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8"/>
      <c r="AV682" s="17"/>
      <c r="AW682" s="17"/>
      <c r="AX682" s="17"/>
      <c r="AY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8"/>
      <c r="N683" s="17"/>
      <c r="O683" s="17"/>
      <c r="P683" s="17"/>
      <c r="Q683" s="17"/>
      <c r="R683" s="17"/>
      <c r="S683" s="18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8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8"/>
      <c r="AV683" s="17"/>
      <c r="AW683" s="17"/>
      <c r="AX683" s="17"/>
      <c r="AY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8"/>
      <c r="N684" s="17"/>
      <c r="O684" s="17"/>
      <c r="P684" s="17"/>
      <c r="Q684" s="17"/>
      <c r="R684" s="17"/>
      <c r="S684" s="18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8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8"/>
      <c r="AV684" s="17"/>
      <c r="AW684" s="17"/>
      <c r="AX684" s="17"/>
      <c r="AY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8"/>
      <c r="N685" s="17"/>
      <c r="O685" s="17"/>
      <c r="P685" s="17"/>
      <c r="Q685" s="17"/>
      <c r="R685" s="17"/>
      <c r="S685" s="18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8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8"/>
      <c r="AV685" s="17"/>
      <c r="AW685" s="17"/>
      <c r="AX685" s="17"/>
      <c r="AY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/>
      <c r="N686" s="17"/>
      <c r="O686" s="17"/>
      <c r="P686" s="17"/>
      <c r="Q686" s="17"/>
      <c r="R686" s="17"/>
      <c r="S686" s="18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8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8"/>
      <c r="AV686" s="17"/>
      <c r="AW686" s="17"/>
      <c r="AX686" s="17"/>
      <c r="AY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8"/>
      <c r="N687" s="17"/>
      <c r="O687" s="17"/>
      <c r="P687" s="17"/>
      <c r="Q687" s="17"/>
      <c r="R687" s="17"/>
      <c r="S687" s="18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8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8"/>
      <c r="AV687" s="17"/>
      <c r="AW687" s="17"/>
      <c r="AX687" s="17"/>
      <c r="AY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8"/>
      <c r="N688" s="17"/>
      <c r="O688" s="17"/>
      <c r="P688" s="17"/>
      <c r="Q688" s="17"/>
      <c r="R688" s="17"/>
      <c r="S688" s="18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8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8"/>
      <c r="AV688" s="17"/>
      <c r="AW688" s="17"/>
      <c r="AX688" s="17"/>
      <c r="AY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/>
      <c r="N689" s="17"/>
      <c r="O689" s="17"/>
      <c r="P689" s="17"/>
      <c r="Q689" s="17"/>
      <c r="R689" s="17"/>
      <c r="S689" s="18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8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8"/>
      <c r="AV689" s="17"/>
      <c r="AW689" s="17"/>
      <c r="AX689" s="17"/>
      <c r="AY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8"/>
      <c r="N690" s="17"/>
      <c r="O690" s="17"/>
      <c r="P690" s="17"/>
      <c r="Q690" s="17"/>
      <c r="R690" s="17"/>
      <c r="S690" s="18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8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8"/>
      <c r="AV690" s="17"/>
      <c r="AW690" s="17"/>
      <c r="AX690" s="17"/>
      <c r="AY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/>
      <c r="N691" s="17"/>
      <c r="O691" s="17"/>
      <c r="P691" s="17"/>
      <c r="Q691" s="17"/>
      <c r="R691" s="17"/>
      <c r="S691" s="18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8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8"/>
      <c r="AV691" s="17"/>
      <c r="AW691" s="17"/>
      <c r="AX691" s="17"/>
      <c r="AY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8"/>
      <c r="N692" s="17"/>
      <c r="O692" s="17"/>
      <c r="P692" s="17"/>
      <c r="Q692" s="17"/>
      <c r="R692" s="17"/>
      <c r="S692" s="18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8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8"/>
      <c r="AV692" s="17"/>
      <c r="AW692" s="17"/>
      <c r="AX692" s="17"/>
      <c r="AY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8"/>
      <c r="N693" s="17"/>
      <c r="O693" s="17"/>
      <c r="P693" s="17"/>
      <c r="Q693" s="17"/>
      <c r="R693" s="17"/>
      <c r="S693" s="18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8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8"/>
      <c r="AV693" s="17"/>
      <c r="AW693" s="17"/>
      <c r="AX693" s="17"/>
      <c r="AY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8"/>
      <c r="N694" s="17"/>
      <c r="O694" s="17"/>
      <c r="P694" s="17"/>
      <c r="Q694" s="17"/>
      <c r="R694" s="17"/>
      <c r="S694" s="18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8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8"/>
      <c r="AV694" s="17"/>
      <c r="AW694" s="17"/>
      <c r="AX694" s="17"/>
      <c r="AY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8"/>
      <c r="N695" s="17"/>
      <c r="O695" s="17"/>
      <c r="P695" s="17"/>
      <c r="Q695" s="17"/>
      <c r="R695" s="17"/>
      <c r="S695" s="18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8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8"/>
      <c r="AV695" s="17"/>
      <c r="AW695" s="17"/>
      <c r="AX695" s="17"/>
      <c r="AY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8"/>
      <c r="N696" s="17"/>
      <c r="O696" s="17"/>
      <c r="P696" s="17"/>
      <c r="Q696" s="17"/>
      <c r="R696" s="17"/>
      <c r="S696" s="18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8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8"/>
      <c r="AV696" s="17"/>
      <c r="AW696" s="17"/>
      <c r="AX696" s="17"/>
      <c r="AY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/>
      <c r="N697" s="17"/>
      <c r="O697" s="17"/>
      <c r="P697" s="17"/>
      <c r="Q697" s="17"/>
      <c r="R697" s="17"/>
      <c r="S697" s="18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8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8"/>
      <c r="AV697" s="17"/>
      <c r="AW697" s="17"/>
      <c r="AX697" s="17"/>
      <c r="AY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8"/>
      <c r="N698" s="17"/>
      <c r="O698" s="17"/>
      <c r="P698" s="17"/>
      <c r="Q698" s="17"/>
      <c r="R698" s="17"/>
      <c r="S698" s="18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8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8"/>
      <c r="AV698" s="17"/>
      <c r="AW698" s="17"/>
      <c r="AX698" s="17"/>
      <c r="AY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/>
      <c r="N699" s="17"/>
      <c r="O699" s="17"/>
      <c r="P699" s="17"/>
      <c r="Q699" s="17"/>
      <c r="R699" s="17"/>
      <c r="S699" s="18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8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8"/>
      <c r="AV699" s="17"/>
      <c r="AW699" s="17"/>
      <c r="AX699" s="17"/>
      <c r="AY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8"/>
      <c r="N700" s="17"/>
      <c r="O700" s="17"/>
      <c r="P700" s="17"/>
      <c r="Q700" s="17"/>
      <c r="R700" s="17"/>
      <c r="S700" s="18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8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8"/>
      <c r="AV700" s="17"/>
      <c r="AW700" s="17"/>
      <c r="AX700" s="17"/>
      <c r="AY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8"/>
      <c r="N701" s="17"/>
      <c r="O701" s="17"/>
      <c r="P701" s="17"/>
      <c r="Q701" s="17"/>
      <c r="R701" s="17"/>
      <c r="S701" s="18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8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8"/>
      <c r="AV701" s="17"/>
      <c r="AW701" s="17"/>
      <c r="AX701" s="17"/>
      <c r="AY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8"/>
      <c r="N702" s="17"/>
      <c r="O702" s="17"/>
      <c r="P702" s="17"/>
      <c r="Q702" s="17"/>
      <c r="R702" s="17"/>
      <c r="S702" s="18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8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8"/>
      <c r="AV702" s="17"/>
      <c r="AW702" s="17"/>
      <c r="AX702" s="17"/>
      <c r="AY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/>
      <c r="N703" s="17"/>
      <c r="O703" s="17"/>
      <c r="P703" s="17"/>
      <c r="Q703" s="17"/>
      <c r="R703" s="17"/>
      <c r="S703" s="18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8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8"/>
      <c r="AV703" s="17"/>
      <c r="AW703" s="17"/>
      <c r="AX703" s="17"/>
      <c r="AY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/>
      <c r="N704" s="17"/>
      <c r="O704" s="17"/>
      <c r="P704" s="17"/>
      <c r="Q704" s="17"/>
      <c r="R704" s="17"/>
      <c r="S704" s="18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8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8"/>
      <c r="AV704" s="17"/>
      <c r="AW704" s="17"/>
      <c r="AX704" s="17"/>
      <c r="AY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8"/>
      <c r="N705" s="17"/>
      <c r="O705" s="17"/>
      <c r="P705" s="17"/>
      <c r="Q705" s="17"/>
      <c r="R705" s="17"/>
      <c r="S705" s="18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8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8"/>
      <c r="AV705" s="17"/>
      <c r="AW705" s="17"/>
      <c r="AX705" s="17"/>
      <c r="AY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8"/>
      <c r="N706" s="17"/>
      <c r="O706" s="17"/>
      <c r="P706" s="17"/>
      <c r="Q706" s="17"/>
      <c r="R706" s="17"/>
      <c r="S706" s="18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8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8"/>
      <c r="AV706" s="17"/>
      <c r="AW706" s="17"/>
      <c r="AX706" s="17"/>
      <c r="AY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8"/>
      <c r="N707" s="17"/>
      <c r="O707" s="17"/>
      <c r="P707" s="17"/>
      <c r="Q707" s="17"/>
      <c r="R707" s="17"/>
      <c r="S707" s="18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8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8"/>
      <c r="AV707" s="17"/>
      <c r="AW707" s="17"/>
      <c r="AX707" s="17"/>
      <c r="AY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8"/>
      <c r="N708" s="17"/>
      <c r="O708" s="17"/>
      <c r="P708" s="17"/>
      <c r="Q708" s="17"/>
      <c r="R708" s="17"/>
      <c r="S708" s="18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8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8"/>
      <c r="AV708" s="17"/>
      <c r="AW708" s="17"/>
      <c r="AX708" s="17"/>
      <c r="AY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8"/>
      <c r="N709" s="17"/>
      <c r="O709" s="17"/>
      <c r="P709" s="17"/>
      <c r="Q709" s="17"/>
      <c r="R709" s="17"/>
      <c r="S709" s="18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8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8"/>
      <c r="AV709" s="17"/>
      <c r="AW709" s="17"/>
      <c r="AX709" s="17"/>
      <c r="AY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/>
      <c r="N710" s="17"/>
      <c r="O710" s="17"/>
      <c r="P710" s="17"/>
      <c r="Q710" s="17"/>
      <c r="R710" s="17"/>
      <c r="S710" s="18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8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8"/>
      <c r="AV710" s="17"/>
      <c r="AW710" s="17"/>
      <c r="AX710" s="17"/>
      <c r="AY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8"/>
      <c r="N711" s="17"/>
      <c r="O711" s="17"/>
      <c r="P711" s="17"/>
      <c r="Q711" s="17"/>
      <c r="R711" s="17"/>
      <c r="S711" s="18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8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8"/>
      <c r="AV711" s="17"/>
      <c r="AW711" s="17"/>
      <c r="AX711" s="17"/>
      <c r="AY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8"/>
      <c r="N712" s="17"/>
      <c r="O712" s="17"/>
      <c r="P712" s="17"/>
      <c r="Q712" s="17"/>
      <c r="R712" s="17"/>
      <c r="S712" s="18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8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8"/>
      <c r="AV712" s="17"/>
      <c r="AW712" s="17"/>
      <c r="AX712" s="17"/>
      <c r="AY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/>
      <c r="N713" s="17"/>
      <c r="O713" s="17"/>
      <c r="P713" s="17"/>
      <c r="Q713" s="17"/>
      <c r="R713" s="17"/>
      <c r="S713" s="18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8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8"/>
      <c r="AV713" s="17"/>
      <c r="AW713" s="17"/>
      <c r="AX713" s="17"/>
      <c r="AY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/>
      <c r="N714" s="17"/>
      <c r="O714" s="17"/>
      <c r="P714" s="17"/>
      <c r="Q714" s="17"/>
      <c r="R714" s="17"/>
      <c r="S714" s="18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8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8"/>
      <c r="AV714" s="17"/>
      <c r="AW714" s="17"/>
      <c r="AX714" s="17"/>
      <c r="AY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/>
      <c r="N715" s="17"/>
      <c r="O715" s="17"/>
      <c r="P715" s="17"/>
      <c r="Q715" s="17"/>
      <c r="R715" s="17"/>
      <c r="S715" s="18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8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8"/>
      <c r="AV715" s="17"/>
      <c r="AW715" s="17"/>
      <c r="AX715" s="17"/>
      <c r="AY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8"/>
      <c r="N716" s="17"/>
      <c r="O716" s="17"/>
      <c r="P716" s="17"/>
      <c r="Q716" s="17"/>
      <c r="R716" s="17"/>
      <c r="S716" s="18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8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8"/>
      <c r="AV716" s="17"/>
      <c r="AW716" s="17"/>
      <c r="AX716" s="17"/>
      <c r="AY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8"/>
      <c r="N717" s="17"/>
      <c r="O717" s="17"/>
      <c r="P717" s="17"/>
      <c r="Q717" s="17"/>
      <c r="R717" s="17"/>
      <c r="S717" s="18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8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8"/>
      <c r="AV717" s="17"/>
      <c r="AW717" s="17"/>
      <c r="AX717" s="17"/>
      <c r="AY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8"/>
      <c r="N718" s="17"/>
      <c r="O718" s="17"/>
      <c r="P718" s="17"/>
      <c r="Q718" s="17"/>
      <c r="R718" s="17"/>
      <c r="S718" s="18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8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8"/>
      <c r="AV718" s="17"/>
      <c r="AW718" s="17"/>
      <c r="AX718" s="17"/>
      <c r="AY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8"/>
      <c r="N719" s="17"/>
      <c r="O719" s="17"/>
      <c r="P719" s="17"/>
      <c r="Q719" s="17"/>
      <c r="R719" s="17"/>
      <c r="S719" s="18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8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8"/>
      <c r="AV719" s="17"/>
      <c r="AW719" s="17"/>
      <c r="AX719" s="17"/>
      <c r="AY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8"/>
      <c r="N720" s="17"/>
      <c r="O720" s="17"/>
      <c r="P720" s="17"/>
      <c r="Q720" s="17"/>
      <c r="R720" s="17"/>
      <c r="S720" s="18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8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8"/>
      <c r="AV720" s="17"/>
      <c r="AW720" s="17"/>
      <c r="AX720" s="17"/>
      <c r="AY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8"/>
      <c r="N721" s="17"/>
      <c r="O721" s="17"/>
      <c r="P721" s="17"/>
      <c r="Q721" s="17"/>
      <c r="R721" s="17"/>
      <c r="S721" s="18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8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8"/>
      <c r="AV721" s="17"/>
      <c r="AW721" s="17"/>
      <c r="AX721" s="17"/>
      <c r="AY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/>
      <c r="N722" s="17"/>
      <c r="O722" s="17"/>
      <c r="P722" s="17"/>
      <c r="Q722" s="17"/>
      <c r="R722" s="17"/>
      <c r="S722" s="18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8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8"/>
      <c r="AV722" s="17"/>
      <c r="AW722" s="17"/>
      <c r="AX722" s="17"/>
      <c r="AY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8"/>
      <c r="N723" s="17"/>
      <c r="O723" s="17"/>
      <c r="P723" s="17"/>
      <c r="Q723" s="17"/>
      <c r="R723" s="17"/>
      <c r="S723" s="18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8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8"/>
      <c r="AV723" s="17"/>
      <c r="AW723" s="17"/>
      <c r="AX723" s="17"/>
      <c r="AY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/>
      <c r="N724" s="17"/>
      <c r="O724" s="17"/>
      <c r="P724" s="17"/>
      <c r="Q724" s="17"/>
      <c r="R724" s="17"/>
      <c r="S724" s="18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8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8"/>
      <c r="AV724" s="17"/>
      <c r="AW724" s="17"/>
      <c r="AX724" s="17"/>
      <c r="AY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8"/>
      <c r="N725" s="17"/>
      <c r="O725" s="17"/>
      <c r="P725" s="17"/>
      <c r="Q725" s="17"/>
      <c r="R725" s="17"/>
      <c r="S725" s="18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8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8"/>
      <c r="AV725" s="17"/>
      <c r="AW725" s="17"/>
      <c r="AX725" s="17"/>
      <c r="AY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8"/>
      <c r="N726" s="17"/>
      <c r="O726" s="17"/>
      <c r="P726" s="17"/>
      <c r="Q726" s="17"/>
      <c r="R726" s="17"/>
      <c r="S726" s="18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8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8"/>
      <c r="AV726" s="17"/>
      <c r="AW726" s="17"/>
      <c r="AX726" s="17"/>
      <c r="AY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8"/>
      <c r="N727" s="17"/>
      <c r="O727" s="17"/>
      <c r="P727" s="17"/>
      <c r="Q727" s="17"/>
      <c r="R727" s="17"/>
      <c r="S727" s="18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8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8"/>
      <c r="AV727" s="17"/>
      <c r="AW727" s="17"/>
      <c r="AX727" s="17"/>
      <c r="AY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8"/>
      <c r="N728" s="17"/>
      <c r="O728" s="17"/>
      <c r="P728" s="17"/>
      <c r="Q728" s="17"/>
      <c r="R728" s="17"/>
      <c r="S728" s="18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8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8"/>
      <c r="AV728" s="17"/>
      <c r="AW728" s="17"/>
      <c r="AX728" s="17"/>
      <c r="AY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8"/>
      <c r="N729" s="17"/>
      <c r="O729" s="17"/>
      <c r="P729" s="17"/>
      <c r="Q729" s="17"/>
      <c r="R729" s="17"/>
      <c r="S729" s="18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8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8"/>
      <c r="AV729" s="17"/>
      <c r="AW729" s="17"/>
      <c r="AX729" s="17"/>
      <c r="AY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8"/>
      <c r="N730" s="17"/>
      <c r="O730" s="17"/>
      <c r="P730" s="17"/>
      <c r="Q730" s="17"/>
      <c r="R730" s="17"/>
      <c r="S730" s="18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8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8"/>
      <c r="AV730" s="17"/>
      <c r="AW730" s="17"/>
      <c r="AX730" s="17"/>
      <c r="AY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/>
      <c r="N731" s="17"/>
      <c r="O731" s="17"/>
      <c r="P731" s="17"/>
      <c r="Q731" s="17"/>
      <c r="R731" s="17"/>
      <c r="S731" s="18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8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8"/>
      <c r="AV731" s="17"/>
      <c r="AW731" s="17"/>
      <c r="AX731" s="17"/>
      <c r="AY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8"/>
      <c r="N732" s="17"/>
      <c r="O732" s="17"/>
      <c r="P732" s="17"/>
      <c r="Q732" s="17"/>
      <c r="R732" s="17"/>
      <c r="S732" s="18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8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8"/>
      <c r="AV732" s="17"/>
      <c r="AW732" s="17"/>
      <c r="AX732" s="17"/>
      <c r="AY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/>
      <c r="N733" s="17"/>
      <c r="O733" s="17"/>
      <c r="P733" s="17"/>
      <c r="Q733" s="17"/>
      <c r="R733" s="17"/>
      <c r="S733" s="18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8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8"/>
      <c r="AV733" s="17"/>
      <c r="AW733" s="17"/>
      <c r="AX733" s="17"/>
      <c r="AY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8"/>
      <c r="N734" s="17"/>
      <c r="O734" s="17"/>
      <c r="P734" s="17"/>
      <c r="Q734" s="17"/>
      <c r="R734" s="17"/>
      <c r="S734" s="18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8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8"/>
      <c r="AV734" s="17"/>
      <c r="AW734" s="17"/>
      <c r="AX734" s="17"/>
      <c r="AY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/>
      <c r="N735" s="17"/>
      <c r="O735" s="17"/>
      <c r="P735" s="17"/>
      <c r="Q735" s="17"/>
      <c r="R735" s="17"/>
      <c r="S735" s="18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8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8"/>
      <c r="AV735" s="17"/>
      <c r="AW735" s="17"/>
      <c r="AX735" s="17"/>
      <c r="AY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8"/>
      <c r="N736" s="17"/>
      <c r="O736" s="17"/>
      <c r="P736" s="17"/>
      <c r="Q736" s="17"/>
      <c r="R736" s="17"/>
      <c r="S736" s="18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8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8"/>
      <c r="AV736" s="17"/>
      <c r="AW736" s="17"/>
      <c r="AX736" s="17"/>
      <c r="AY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/>
      <c r="N737" s="17"/>
      <c r="O737" s="17"/>
      <c r="P737" s="17"/>
      <c r="Q737" s="17"/>
      <c r="R737" s="17"/>
      <c r="S737" s="18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8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8"/>
      <c r="AV737" s="17"/>
      <c r="AW737" s="17"/>
      <c r="AX737" s="17"/>
      <c r="AY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8"/>
      <c r="N738" s="17"/>
      <c r="O738" s="17"/>
      <c r="P738" s="17"/>
      <c r="Q738" s="17"/>
      <c r="R738" s="17"/>
      <c r="S738" s="18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8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8"/>
      <c r="AV738" s="17"/>
      <c r="AW738" s="17"/>
      <c r="AX738" s="17"/>
      <c r="AY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8"/>
      <c r="N739" s="17"/>
      <c r="O739" s="17"/>
      <c r="P739" s="17"/>
      <c r="Q739" s="17"/>
      <c r="R739" s="17"/>
      <c r="S739" s="18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8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8"/>
      <c r="AV739" s="17"/>
      <c r="AW739" s="17"/>
      <c r="AX739" s="17"/>
      <c r="AY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8"/>
      <c r="N740" s="17"/>
      <c r="O740" s="17"/>
      <c r="P740" s="17"/>
      <c r="Q740" s="17"/>
      <c r="R740" s="17"/>
      <c r="S740" s="18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8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8"/>
      <c r="AV740" s="17"/>
      <c r="AW740" s="17"/>
      <c r="AX740" s="17"/>
      <c r="AY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/>
      <c r="N741" s="17"/>
      <c r="O741" s="17"/>
      <c r="P741" s="17"/>
      <c r="Q741" s="17"/>
      <c r="R741" s="17"/>
      <c r="S741" s="18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8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8"/>
      <c r="AV741" s="17"/>
      <c r="AW741" s="17"/>
      <c r="AX741" s="17"/>
      <c r="AY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8"/>
      <c r="N742" s="17"/>
      <c r="O742" s="17"/>
      <c r="P742" s="17"/>
      <c r="Q742" s="17"/>
      <c r="R742" s="17"/>
      <c r="S742" s="18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8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8"/>
      <c r="AV742" s="17"/>
      <c r="AW742" s="17"/>
      <c r="AX742" s="17"/>
      <c r="AY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/>
      <c r="N743" s="17"/>
      <c r="O743" s="17"/>
      <c r="P743" s="17"/>
      <c r="Q743" s="17"/>
      <c r="R743" s="17"/>
      <c r="S743" s="18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8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8"/>
      <c r="AV743" s="17"/>
      <c r="AW743" s="17"/>
      <c r="AX743" s="17"/>
      <c r="AY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/>
      <c r="N744" s="17"/>
      <c r="O744" s="17"/>
      <c r="P744" s="17"/>
      <c r="Q744" s="17"/>
      <c r="R744" s="17"/>
      <c r="S744" s="18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8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8"/>
      <c r="AV744" s="17"/>
      <c r="AW744" s="17"/>
      <c r="AX744" s="17"/>
      <c r="AY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8"/>
      <c r="N745" s="17"/>
      <c r="O745" s="17"/>
      <c r="P745" s="17"/>
      <c r="Q745" s="17"/>
      <c r="R745" s="17"/>
      <c r="S745" s="18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8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8"/>
      <c r="AV745" s="17"/>
      <c r="AW745" s="17"/>
      <c r="AX745" s="17"/>
      <c r="AY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8"/>
      <c r="N746" s="17"/>
      <c r="O746" s="17"/>
      <c r="P746" s="17"/>
      <c r="Q746" s="17"/>
      <c r="R746" s="17"/>
      <c r="S746" s="18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8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8"/>
      <c r="AV746" s="17"/>
      <c r="AW746" s="17"/>
      <c r="AX746" s="17"/>
      <c r="AY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8"/>
      <c r="N747" s="17"/>
      <c r="O747" s="17"/>
      <c r="P747" s="17"/>
      <c r="Q747" s="17"/>
      <c r="R747" s="17"/>
      <c r="S747" s="18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8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8"/>
      <c r="AV747" s="17"/>
      <c r="AW747" s="17"/>
      <c r="AX747" s="17"/>
      <c r="AY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/>
      <c r="N748" s="17"/>
      <c r="O748" s="17"/>
      <c r="P748" s="17"/>
      <c r="Q748" s="17"/>
      <c r="R748" s="17"/>
      <c r="S748" s="18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8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8"/>
      <c r="AV748" s="17"/>
      <c r="AW748" s="17"/>
      <c r="AX748" s="17"/>
      <c r="AY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8"/>
      <c r="N749" s="17"/>
      <c r="O749" s="17"/>
      <c r="P749" s="17"/>
      <c r="Q749" s="17"/>
      <c r="R749" s="17"/>
      <c r="S749" s="18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8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8"/>
      <c r="AV749" s="17"/>
      <c r="AW749" s="17"/>
      <c r="AX749" s="17"/>
      <c r="AY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8"/>
      <c r="N750" s="17"/>
      <c r="O750" s="17"/>
      <c r="P750" s="17"/>
      <c r="Q750" s="17"/>
      <c r="R750" s="17"/>
      <c r="S750" s="18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8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8"/>
      <c r="AV750" s="17"/>
      <c r="AW750" s="17"/>
      <c r="AX750" s="17"/>
      <c r="AY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8"/>
      <c r="N751" s="17"/>
      <c r="O751" s="17"/>
      <c r="P751" s="17"/>
      <c r="Q751" s="17"/>
      <c r="R751" s="17"/>
      <c r="S751" s="18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8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8"/>
      <c r="AV751" s="17"/>
      <c r="AW751" s="17"/>
      <c r="AX751" s="17"/>
      <c r="AY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/>
      <c r="N752" s="17"/>
      <c r="O752" s="17"/>
      <c r="P752" s="17"/>
      <c r="Q752" s="17"/>
      <c r="R752" s="17"/>
      <c r="S752" s="18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8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8"/>
      <c r="AV752" s="17"/>
      <c r="AW752" s="17"/>
      <c r="AX752" s="17"/>
      <c r="AY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8"/>
      <c r="N753" s="17"/>
      <c r="O753" s="17"/>
      <c r="P753" s="17"/>
      <c r="Q753" s="17"/>
      <c r="R753" s="17"/>
      <c r="S753" s="18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8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8"/>
      <c r="AV753" s="17"/>
      <c r="AW753" s="17"/>
      <c r="AX753" s="17"/>
      <c r="AY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/>
      <c r="N754" s="17"/>
      <c r="O754" s="17"/>
      <c r="P754" s="17"/>
      <c r="Q754" s="17"/>
      <c r="R754" s="17"/>
      <c r="S754" s="18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8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8"/>
      <c r="AV754" s="17"/>
      <c r="AW754" s="17"/>
      <c r="AX754" s="17"/>
      <c r="AY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8"/>
      <c r="N755" s="17"/>
      <c r="O755" s="17"/>
      <c r="P755" s="17"/>
      <c r="Q755" s="17"/>
      <c r="R755" s="17"/>
      <c r="S755" s="18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8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8"/>
      <c r="AV755" s="17"/>
      <c r="AW755" s="17"/>
      <c r="AX755" s="17"/>
      <c r="AY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/>
      <c r="N756" s="17"/>
      <c r="O756" s="17"/>
      <c r="P756" s="17"/>
      <c r="Q756" s="17"/>
      <c r="R756" s="17"/>
      <c r="S756" s="18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8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8"/>
      <c r="AV756" s="17"/>
      <c r="AW756" s="17"/>
      <c r="AX756" s="17"/>
      <c r="AY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/>
      <c r="N757" s="17"/>
      <c r="O757" s="17"/>
      <c r="P757" s="17"/>
      <c r="Q757" s="17"/>
      <c r="R757" s="17"/>
      <c r="S757" s="18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8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8"/>
      <c r="AV757" s="17"/>
      <c r="AW757" s="17"/>
      <c r="AX757" s="17"/>
      <c r="AY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8"/>
      <c r="N758" s="17"/>
      <c r="O758" s="17"/>
      <c r="P758" s="17"/>
      <c r="Q758" s="17"/>
      <c r="R758" s="17"/>
      <c r="S758" s="18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8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8"/>
      <c r="AV758" s="17"/>
      <c r="AW758" s="17"/>
      <c r="AX758" s="17"/>
      <c r="AY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8"/>
      <c r="N759" s="17"/>
      <c r="O759" s="17"/>
      <c r="P759" s="17"/>
      <c r="Q759" s="17"/>
      <c r="R759" s="17"/>
      <c r="S759" s="18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8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8"/>
      <c r="AV759" s="17"/>
      <c r="AW759" s="17"/>
      <c r="AX759" s="17"/>
      <c r="AY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8"/>
      <c r="N760" s="17"/>
      <c r="O760" s="17"/>
      <c r="P760" s="17"/>
      <c r="Q760" s="17"/>
      <c r="R760" s="17"/>
      <c r="S760" s="18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8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8"/>
      <c r="AV760" s="17"/>
      <c r="AW760" s="17"/>
      <c r="AX760" s="17"/>
      <c r="AY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/>
      <c r="N761" s="17"/>
      <c r="O761" s="17"/>
      <c r="P761" s="17"/>
      <c r="Q761" s="17"/>
      <c r="R761" s="17"/>
      <c r="S761" s="18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8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8"/>
      <c r="AV761" s="17"/>
      <c r="AW761" s="17"/>
      <c r="AX761" s="17"/>
      <c r="AY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8"/>
      <c r="N762" s="17"/>
      <c r="O762" s="17"/>
      <c r="P762" s="17"/>
      <c r="Q762" s="17"/>
      <c r="R762" s="17"/>
      <c r="S762" s="18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8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8"/>
      <c r="AV762" s="17"/>
      <c r="AW762" s="17"/>
      <c r="AX762" s="17"/>
      <c r="AY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8"/>
      <c r="N763" s="17"/>
      <c r="O763" s="17"/>
      <c r="P763" s="17"/>
      <c r="Q763" s="17"/>
      <c r="R763" s="17"/>
      <c r="S763" s="18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8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8"/>
      <c r="AV763" s="17"/>
      <c r="AW763" s="17"/>
      <c r="AX763" s="17"/>
      <c r="AY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8"/>
      <c r="N764" s="17"/>
      <c r="O764" s="17"/>
      <c r="P764" s="17"/>
      <c r="Q764" s="17"/>
      <c r="R764" s="17"/>
      <c r="S764" s="18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8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8"/>
      <c r="AV764" s="17"/>
      <c r="AW764" s="17"/>
      <c r="AX764" s="17"/>
      <c r="AY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8"/>
      <c r="N765" s="17"/>
      <c r="O765" s="17"/>
      <c r="P765" s="17"/>
      <c r="Q765" s="17"/>
      <c r="R765" s="17"/>
      <c r="S765" s="18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8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8"/>
      <c r="AV765" s="17"/>
      <c r="AW765" s="17"/>
      <c r="AX765" s="17"/>
      <c r="AY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8"/>
      <c r="N766" s="17"/>
      <c r="O766" s="17"/>
      <c r="P766" s="17"/>
      <c r="Q766" s="17"/>
      <c r="R766" s="17"/>
      <c r="S766" s="18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8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8"/>
      <c r="AV766" s="17"/>
      <c r="AW766" s="17"/>
      <c r="AX766" s="17"/>
      <c r="AY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8"/>
      <c r="N767" s="17"/>
      <c r="O767" s="17"/>
      <c r="P767" s="17"/>
      <c r="Q767" s="17"/>
      <c r="R767" s="17"/>
      <c r="S767" s="18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8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8"/>
      <c r="AV767" s="17"/>
      <c r="AW767" s="17"/>
      <c r="AX767" s="17"/>
      <c r="AY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8"/>
      <c r="N768" s="17"/>
      <c r="O768" s="17"/>
      <c r="P768" s="17"/>
      <c r="Q768" s="17"/>
      <c r="R768" s="17"/>
      <c r="S768" s="18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8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8"/>
      <c r="AV768" s="17"/>
      <c r="AW768" s="17"/>
      <c r="AX768" s="17"/>
      <c r="AY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8"/>
      <c r="N769" s="17"/>
      <c r="O769" s="17"/>
      <c r="P769" s="17"/>
      <c r="Q769" s="17"/>
      <c r="R769" s="17"/>
      <c r="S769" s="18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8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8"/>
      <c r="AV769" s="17"/>
      <c r="AW769" s="17"/>
      <c r="AX769" s="17"/>
      <c r="AY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8"/>
      <c r="N770" s="17"/>
      <c r="O770" s="17"/>
      <c r="P770" s="17"/>
      <c r="Q770" s="17"/>
      <c r="R770" s="17"/>
      <c r="S770" s="18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8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8"/>
      <c r="AV770" s="17"/>
      <c r="AW770" s="17"/>
      <c r="AX770" s="17"/>
      <c r="AY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8"/>
      <c r="N771" s="17"/>
      <c r="O771" s="17"/>
      <c r="P771" s="17"/>
      <c r="Q771" s="17"/>
      <c r="R771" s="17"/>
      <c r="S771" s="18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8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8"/>
      <c r="AV771" s="17"/>
      <c r="AW771" s="17"/>
      <c r="AX771" s="17"/>
      <c r="AY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8"/>
      <c r="N772" s="17"/>
      <c r="O772" s="17"/>
      <c r="P772" s="17"/>
      <c r="Q772" s="17"/>
      <c r="R772" s="17"/>
      <c r="S772" s="18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8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8"/>
      <c r="AV772" s="17"/>
      <c r="AW772" s="17"/>
      <c r="AX772" s="17"/>
      <c r="AY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8"/>
      <c r="N773" s="17"/>
      <c r="O773" s="17"/>
      <c r="P773" s="17"/>
      <c r="Q773" s="17"/>
      <c r="R773" s="17"/>
      <c r="S773" s="18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8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8"/>
      <c r="AV773" s="17"/>
      <c r="AW773" s="17"/>
      <c r="AX773" s="17"/>
      <c r="AY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8"/>
      <c r="N774" s="17"/>
      <c r="O774" s="17"/>
      <c r="P774" s="17"/>
      <c r="Q774" s="17"/>
      <c r="R774" s="17"/>
      <c r="S774" s="18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8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8"/>
      <c r="AV774" s="17"/>
      <c r="AW774" s="17"/>
      <c r="AX774" s="17"/>
      <c r="AY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8"/>
      <c r="N775" s="17"/>
      <c r="O775" s="17"/>
      <c r="P775" s="17"/>
      <c r="Q775" s="17"/>
      <c r="R775" s="17"/>
      <c r="S775" s="18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8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8"/>
      <c r="AV775" s="17"/>
      <c r="AW775" s="17"/>
      <c r="AX775" s="17"/>
      <c r="AY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8"/>
      <c r="N776" s="17"/>
      <c r="O776" s="17"/>
      <c r="P776" s="17"/>
      <c r="Q776" s="17"/>
      <c r="R776" s="17"/>
      <c r="S776" s="18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8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8"/>
      <c r="AV776" s="17"/>
      <c r="AW776" s="17"/>
      <c r="AX776" s="17"/>
      <c r="AY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8"/>
      <c r="N777" s="17"/>
      <c r="O777" s="17"/>
      <c r="P777" s="17"/>
      <c r="Q777" s="17"/>
      <c r="R777" s="17"/>
      <c r="S777" s="18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8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8"/>
      <c r="AV777" s="17"/>
      <c r="AW777" s="17"/>
      <c r="AX777" s="17"/>
      <c r="AY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8"/>
      <c r="N778" s="17"/>
      <c r="O778" s="17"/>
      <c r="P778" s="17"/>
      <c r="Q778" s="17"/>
      <c r="R778" s="17"/>
      <c r="S778" s="18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8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8"/>
      <c r="AV778" s="17"/>
      <c r="AW778" s="17"/>
      <c r="AX778" s="17"/>
      <c r="AY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/>
      <c r="N779" s="17"/>
      <c r="O779" s="17"/>
      <c r="P779" s="17"/>
      <c r="Q779" s="17"/>
      <c r="R779" s="17"/>
      <c r="S779" s="18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8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8"/>
      <c r="AV779" s="17"/>
      <c r="AW779" s="17"/>
      <c r="AX779" s="17"/>
      <c r="AY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/>
      <c r="N780" s="17"/>
      <c r="O780" s="17"/>
      <c r="P780" s="17"/>
      <c r="Q780" s="17"/>
      <c r="R780" s="17"/>
      <c r="S780" s="18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8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8"/>
      <c r="AV780" s="17"/>
      <c r="AW780" s="17"/>
      <c r="AX780" s="17"/>
      <c r="AY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8"/>
      <c r="N781" s="17"/>
      <c r="O781" s="17"/>
      <c r="P781" s="17"/>
      <c r="Q781" s="17"/>
      <c r="R781" s="17"/>
      <c r="S781" s="18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8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8"/>
      <c r="AV781" s="17"/>
      <c r="AW781" s="17"/>
      <c r="AX781" s="17"/>
      <c r="AY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8"/>
      <c r="N782" s="17"/>
      <c r="O782" s="17"/>
      <c r="P782" s="17"/>
      <c r="Q782" s="17"/>
      <c r="R782" s="17"/>
      <c r="S782" s="18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8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8"/>
      <c r="AV782" s="17"/>
      <c r="AW782" s="17"/>
      <c r="AX782" s="17"/>
      <c r="AY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8"/>
      <c r="N783" s="17"/>
      <c r="O783" s="17"/>
      <c r="P783" s="17"/>
      <c r="Q783" s="17"/>
      <c r="R783" s="17"/>
      <c r="S783" s="18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8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8"/>
      <c r="AV783" s="17"/>
      <c r="AW783" s="17"/>
      <c r="AX783" s="17"/>
      <c r="AY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/>
      <c r="N784" s="17"/>
      <c r="O784" s="17"/>
      <c r="P784" s="17"/>
      <c r="Q784" s="17"/>
      <c r="R784" s="17"/>
      <c r="S784" s="18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8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8"/>
      <c r="AV784" s="17"/>
      <c r="AW784" s="17"/>
      <c r="AX784" s="17"/>
      <c r="AY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8"/>
      <c r="N785" s="17"/>
      <c r="O785" s="17"/>
      <c r="P785" s="17"/>
      <c r="Q785" s="17"/>
      <c r="R785" s="17"/>
      <c r="S785" s="18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8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8"/>
      <c r="AV785" s="17"/>
      <c r="AW785" s="17"/>
      <c r="AX785" s="17"/>
      <c r="AY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/>
      <c r="N786" s="17"/>
      <c r="O786" s="17"/>
      <c r="P786" s="17"/>
      <c r="Q786" s="17"/>
      <c r="R786" s="17"/>
      <c r="S786" s="18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8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8"/>
      <c r="AV786" s="17"/>
      <c r="AW786" s="17"/>
      <c r="AX786" s="17"/>
      <c r="AY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8"/>
      <c r="N787" s="17"/>
      <c r="O787" s="17"/>
      <c r="P787" s="17"/>
      <c r="Q787" s="17"/>
      <c r="R787" s="17"/>
      <c r="S787" s="18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8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8"/>
      <c r="AV787" s="17"/>
      <c r="AW787" s="17"/>
      <c r="AX787" s="17"/>
      <c r="AY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8"/>
      <c r="N788" s="17"/>
      <c r="O788" s="17"/>
      <c r="P788" s="17"/>
      <c r="Q788" s="17"/>
      <c r="R788" s="17"/>
      <c r="S788" s="18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8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8"/>
      <c r="AV788" s="17"/>
      <c r="AW788" s="17"/>
      <c r="AX788" s="17"/>
      <c r="AY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/>
      <c r="N789" s="17"/>
      <c r="O789" s="17"/>
      <c r="P789" s="17"/>
      <c r="Q789" s="17"/>
      <c r="R789" s="17"/>
      <c r="S789" s="18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8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8"/>
      <c r="AV789" s="17"/>
      <c r="AW789" s="17"/>
      <c r="AX789" s="17"/>
      <c r="AY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/>
      <c r="N790" s="17"/>
      <c r="O790" s="17"/>
      <c r="P790" s="17"/>
      <c r="Q790" s="17"/>
      <c r="R790" s="17"/>
      <c r="S790" s="18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8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8"/>
      <c r="AV790" s="17"/>
      <c r="AW790" s="17"/>
      <c r="AX790" s="17"/>
      <c r="AY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/>
      <c r="N791" s="17"/>
      <c r="O791" s="17"/>
      <c r="P791" s="17"/>
      <c r="Q791" s="17"/>
      <c r="R791" s="17"/>
      <c r="S791" s="18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8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8"/>
      <c r="AV791" s="17"/>
      <c r="AW791" s="17"/>
      <c r="AX791" s="17"/>
      <c r="AY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8"/>
      <c r="N792" s="17"/>
      <c r="O792" s="17"/>
      <c r="P792" s="17"/>
      <c r="Q792" s="17"/>
      <c r="R792" s="17"/>
      <c r="S792" s="18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8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8"/>
      <c r="AV792" s="17"/>
      <c r="AW792" s="17"/>
      <c r="AX792" s="17"/>
      <c r="AY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/>
      <c r="N793" s="17"/>
      <c r="O793" s="17"/>
      <c r="P793" s="17"/>
      <c r="Q793" s="17"/>
      <c r="R793" s="17"/>
      <c r="S793" s="18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8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8"/>
      <c r="AV793" s="17"/>
      <c r="AW793" s="17"/>
      <c r="AX793" s="17"/>
      <c r="AY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8"/>
      <c r="N794" s="17"/>
      <c r="O794" s="17"/>
      <c r="P794" s="17"/>
      <c r="Q794" s="17"/>
      <c r="R794" s="17"/>
      <c r="S794" s="18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8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8"/>
      <c r="AV794" s="17"/>
      <c r="AW794" s="17"/>
      <c r="AX794" s="17"/>
      <c r="AY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8"/>
      <c r="N795" s="17"/>
      <c r="O795" s="17"/>
      <c r="P795" s="17"/>
      <c r="Q795" s="17"/>
      <c r="R795" s="17"/>
      <c r="S795" s="18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8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8"/>
      <c r="AV795" s="17"/>
      <c r="AW795" s="17"/>
      <c r="AX795" s="17"/>
      <c r="AY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/>
      <c r="N796" s="17"/>
      <c r="O796" s="17"/>
      <c r="P796" s="17"/>
      <c r="Q796" s="17"/>
      <c r="R796" s="17"/>
      <c r="S796" s="18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8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8"/>
      <c r="AV796" s="17"/>
      <c r="AW796" s="17"/>
      <c r="AX796" s="17"/>
      <c r="AY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8"/>
      <c r="N797" s="17"/>
      <c r="O797" s="17"/>
      <c r="P797" s="17"/>
      <c r="Q797" s="17"/>
      <c r="R797" s="17"/>
      <c r="S797" s="18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8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8"/>
      <c r="AV797" s="17"/>
      <c r="AW797" s="17"/>
      <c r="AX797" s="17"/>
      <c r="AY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8"/>
      <c r="N798" s="17"/>
      <c r="O798" s="17"/>
      <c r="P798" s="17"/>
      <c r="Q798" s="17"/>
      <c r="R798" s="17"/>
      <c r="S798" s="18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8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8"/>
      <c r="AV798" s="17"/>
      <c r="AW798" s="17"/>
      <c r="AX798" s="17"/>
      <c r="AY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8"/>
      <c r="N799" s="17"/>
      <c r="O799" s="17"/>
      <c r="P799" s="17"/>
      <c r="Q799" s="17"/>
      <c r="R799" s="17"/>
      <c r="S799" s="18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8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8"/>
      <c r="AV799" s="17"/>
      <c r="AW799" s="17"/>
      <c r="AX799" s="17"/>
      <c r="AY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8"/>
      <c r="N800" s="17"/>
      <c r="O800" s="17"/>
      <c r="P800" s="17"/>
      <c r="Q800" s="17"/>
      <c r="R800" s="17"/>
      <c r="S800" s="18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8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8"/>
      <c r="AV800" s="17"/>
      <c r="AW800" s="17"/>
      <c r="AX800" s="17"/>
      <c r="AY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/>
      <c r="N801" s="17"/>
      <c r="O801" s="17"/>
      <c r="P801" s="17"/>
      <c r="Q801" s="17"/>
      <c r="R801" s="17"/>
      <c r="S801" s="18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8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8"/>
      <c r="AV801" s="17"/>
      <c r="AW801" s="17"/>
      <c r="AX801" s="17"/>
      <c r="AY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8"/>
      <c r="N802" s="17"/>
      <c r="O802" s="17"/>
      <c r="P802" s="17"/>
      <c r="Q802" s="17"/>
      <c r="R802" s="17"/>
      <c r="S802" s="18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8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8"/>
      <c r="AV802" s="17"/>
      <c r="AW802" s="17"/>
      <c r="AX802" s="17"/>
      <c r="AY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/>
      <c r="N803" s="17"/>
      <c r="O803" s="17"/>
      <c r="P803" s="17"/>
      <c r="Q803" s="17"/>
      <c r="R803" s="17"/>
      <c r="S803" s="18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8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8"/>
      <c r="AV803" s="17"/>
      <c r="AW803" s="17"/>
      <c r="AX803" s="17"/>
      <c r="AY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/>
      <c r="N804" s="17"/>
      <c r="O804" s="17"/>
      <c r="P804" s="17"/>
      <c r="Q804" s="17"/>
      <c r="R804" s="17"/>
      <c r="S804" s="18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8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8"/>
      <c r="AV804" s="17"/>
      <c r="AW804" s="17"/>
      <c r="AX804" s="17"/>
      <c r="AY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8"/>
      <c r="N805" s="17"/>
      <c r="O805" s="17"/>
      <c r="P805" s="17"/>
      <c r="Q805" s="17"/>
      <c r="R805" s="17"/>
      <c r="S805" s="18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8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8"/>
      <c r="AV805" s="17"/>
      <c r="AW805" s="17"/>
      <c r="AX805" s="17"/>
      <c r="AY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/>
      <c r="N806" s="17"/>
      <c r="O806" s="17"/>
      <c r="P806" s="17"/>
      <c r="Q806" s="17"/>
      <c r="R806" s="17"/>
      <c r="S806" s="18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8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8"/>
      <c r="AV806" s="17"/>
      <c r="AW806" s="17"/>
      <c r="AX806" s="17"/>
      <c r="AY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8"/>
      <c r="N807" s="17"/>
      <c r="O807" s="17"/>
      <c r="P807" s="17"/>
      <c r="Q807" s="17"/>
      <c r="R807" s="17"/>
      <c r="S807" s="18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8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8"/>
      <c r="AV807" s="17"/>
      <c r="AW807" s="17"/>
      <c r="AX807" s="17"/>
      <c r="AY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8"/>
      <c r="N808" s="17"/>
      <c r="O808" s="17"/>
      <c r="P808" s="17"/>
      <c r="Q808" s="17"/>
      <c r="R808" s="17"/>
      <c r="S808" s="18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8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8"/>
      <c r="AV808" s="17"/>
      <c r="AW808" s="17"/>
      <c r="AX808" s="17"/>
      <c r="AY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8"/>
      <c r="N809" s="17"/>
      <c r="O809" s="17"/>
      <c r="P809" s="17"/>
      <c r="Q809" s="17"/>
      <c r="R809" s="17"/>
      <c r="S809" s="18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8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8"/>
      <c r="AV809" s="17"/>
      <c r="AW809" s="17"/>
      <c r="AX809" s="17"/>
      <c r="AY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/>
      <c r="N810" s="17"/>
      <c r="O810" s="17"/>
      <c r="P810" s="17"/>
      <c r="Q810" s="17"/>
      <c r="R810" s="17"/>
      <c r="S810" s="18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8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8"/>
      <c r="AV810" s="17"/>
      <c r="AW810" s="17"/>
      <c r="AX810" s="17"/>
      <c r="AY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/>
      <c r="N811" s="17"/>
      <c r="O811" s="17"/>
      <c r="P811" s="17"/>
      <c r="Q811" s="17"/>
      <c r="R811" s="17"/>
      <c r="S811" s="18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8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8"/>
      <c r="AV811" s="17"/>
      <c r="AW811" s="17"/>
      <c r="AX811" s="17"/>
      <c r="AY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8"/>
      <c r="N812" s="17"/>
      <c r="O812" s="17"/>
      <c r="P812" s="17"/>
      <c r="Q812" s="17"/>
      <c r="R812" s="17"/>
      <c r="S812" s="18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8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8"/>
      <c r="AV812" s="17"/>
      <c r="AW812" s="17"/>
      <c r="AX812" s="17"/>
      <c r="AY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8"/>
      <c r="N813" s="17"/>
      <c r="O813" s="17"/>
      <c r="P813" s="17"/>
      <c r="Q813" s="17"/>
      <c r="R813" s="17"/>
      <c r="S813" s="18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8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8"/>
      <c r="AV813" s="17"/>
      <c r="AW813" s="17"/>
      <c r="AX813" s="17"/>
      <c r="AY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8"/>
      <c r="N814" s="17"/>
      <c r="O814" s="17"/>
      <c r="P814" s="17"/>
      <c r="Q814" s="17"/>
      <c r="R814" s="17"/>
      <c r="S814" s="18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8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8"/>
      <c r="AV814" s="17"/>
      <c r="AW814" s="17"/>
      <c r="AX814" s="17"/>
      <c r="AY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/>
      <c r="N815" s="17"/>
      <c r="O815" s="17"/>
      <c r="P815" s="17"/>
      <c r="Q815" s="17"/>
      <c r="R815" s="17"/>
      <c r="S815" s="18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8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8"/>
      <c r="AV815" s="17"/>
      <c r="AW815" s="17"/>
      <c r="AX815" s="17"/>
      <c r="AY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8"/>
      <c r="N816" s="17"/>
      <c r="O816" s="17"/>
      <c r="P816" s="17"/>
      <c r="Q816" s="17"/>
      <c r="R816" s="17"/>
      <c r="S816" s="18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8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8"/>
      <c r="AV816" s="17"/>
      <c r="AW816" s="17"/>
      <c r="AX816" s="17"/>
      <c r="AY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8"/>
      <c r="N817" s="17"/>
      <c r="O817" s="17"/>
      <c r="P817" s="17"/>
      <c r="Q817" s="17"/>
      <c r="R817" s="17"/>
      <c r="S817" s="18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8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8"/>
      <c r="AV817" s="17"/>
      <c r="AW817" s="17"/>
      <c r="AX817" s="17"/>
      <c r="AY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8"/>
      <c r="N818" s="17"/>
      <c r="O818" s="17"/>
      <c r="P818" s="17"/>
      <c r="Q818" s="17"/>
      <c r="R818" s="17"/>
      <c r="S818" s="18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8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8"/>
      <c r="AV818" s="17"/>
      <c r="AW818" s="17"/>
      <c r="AX818" s="17"/>
      <c r="AY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8"/>
      <c r="N819" s="17"/>
      <c r="O819" s="17"/>
      <c r="P819" s="17"/>
      <c r="Q819" s="17"/>
      <c r="R819" s="17"/>
      <c r="S819" s="18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8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8"/>
      <c r="AV819" s="17"/>
      <c r="AW819" s="17"/>
      <c r="AX819" s="17"/>
      <c r="AY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8"/>
      <c r="N820" s="17"/>
      <c r="O820" s="17"/>
      <c r="P820" s="17"/>
      <c r="Q820" s="17"/>
      <c r="R820" s="17"/>
      <c r="S820" s="18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8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8"/>
      <c r="AV820" s="17"/>
      <c r="AW820" s="17"/>
      <c r="AX820" s="17"/>
      <c r="AY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/>
      <c r="N821" s="17"/>
      <c r="O821" s="17"/>
      <c r="P821" s="17"/>
      <c r="Q821" s="17"/>
      <c r="R821" s="17"/>
      <c r="S821" s="18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8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8"/>
      <c r="AV821" s="17"/>
      <c r="AW821" s="17"/>
      <c r="AX821" s="17"/>
      <c r="AY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8"/>
      <c r="N822" s="17"/>
      <c r="O822" s="17"/>
      <c r="P822" s="17"/>
      <c r="Q822" s="17"/>
      <c r="R822" s="17"/>
      <c r="S822" s="18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8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8"/>
      <c r="AV822" s="17"/>
      <c r="AW822" s="17"/>
      <c r="AX822" s="17"/>
      <c r="AY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8"/>
      <c r="N823" s="17"/>
      <c r="O823" s="17"/>
      <c r="P823" s="17"/>
      <c r="Q823" s="17"/>
      <c r="R823" s="17"/>
      <c r="S823" s="18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8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8"/>
      <c r="AV823" s="17"/>
      <c r="AW823" s="17"/>
      <c r="AX823" s="17"/>
      <c r="AY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8"/>
      <c r="N824" s="17"/>
      <c r="O824" s="17"/>
      <c r="P824" s="17"/>
      <c r="Q824" s="17"/>
      <c r="R824" s="17"/>
      <c r="S824" s="18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8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8"/>
      <c r="AV824" s="17"/>
      <c r="AW824" s="17"/>
      <c r="AX824" s="17"/>
      <c r="AY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8"/>
      <c r="N825" s="17"/>
      <c r="O825" s="17"/>
      <c r="P825" s="17"/>
      <c r="Q825" s="17"/>
      <c r="R825" s="17"/>
      <c r="S825" s="18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8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8"/>
      <c r="AV825" s="17"/>
      <c r="AW825" s="17"/>
      <c r="AX825" s="17"/>
      <c r="AY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8"/>
      <c r="N826" s="17"/>
      <c r="O826" s="17"/>
      <c r="P826" s="17"/>
      <c r="Q826" s="17"/>
      <c r="R826" s="17"/>
      <c r="S826" s="18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8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8"/>
      <c r="AV826" s="17"/>
      <c r="AW826" s="17"/>
      <c r="AX826" s="17"/>
      <c r="AY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/>
      <c r="N827" s="17"/>
      <c r="O827" s="17"/>
      <c r="P827" s="17"/>
      <c r="Q827" s="17"/>
      <c r="R827" s="17"/>
      <c r="S827" s="18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8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8"/>
      <c r="AV827" s="17"/>
      <c r="AW827" s="17"/>
      <c r="AX827" s="17"/>
      <c r="AY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8"/>
      <c r="N828" s="17"/>
      <c r="O828" s="17"/>
      <c r="P828" s="17"/>
      <c r="Q828" s="17"/>
      <c r="R828" s="17"/>
      <c r="S828" s="18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8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8"/>
      <c r="AV828" s="17"/>
      <c r="AW828" s="17"/>
      <c r="AX828" s="17"/>
      <c r="AY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8"/>
      <c r="N829" s="17"/>
      <c r="O829" s="17"/>
      <c r="P829" s="17"/>
      <c r="Q829" s="17"/>
      <c r="R829" s="17"/>
      <c r="S829" s="18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8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8"/>
      <c r="AV829" s="17"/>
      <c r="AW829" s="17"/>
      <c r="AX829" s="17"/>
      <c r="AY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8"/>
      <c r="N830" s="17"/>
      <c r="O830" s="17"/>
      <c r="P830" s="17"/>
      <c r="Q830" s="17"/>
      <c r="R830" s="17"/>
      <c r="S830" s="18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8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8"/>
      <c r="AV830" s="17"/>
      <c r="AW830" s="17"/>
      <c r="AX830" s="17"/>
      <c r="AY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8"/>
      <c r="N831" s="17"/>
      <c r="O831" s="17"/>
      <c r="P831" s="17"/>
      <c r="Q831" s="17"/>
      <c r="R831" s="17"/>
      <c r="S831" s="18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8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8"/>
      <c r="AV831" s="17"/>
      <c r="AW831" s="17"/>
      <c r="AX831" s="17"/>
      <c r="AY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8"/>
      <c r="N832" s="17"/>
      <c r="O832" s="17"/>
      <c r="P832" s="17"/>
      <c r="Q832" s="17"/>
      <c r="R832" s="17"/>
      <c r="S832" s="18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8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8"/>
      <c r="AV832" s="17"/>
      <c r="AW832" s="17"/>
      <c r="AX832" s="17"/>
      <c r="AY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8"/>
      <c r="N833" s="17"/>
      <c r="O833" s="17"/>
      <c r="P833" s="17"/>
      <c r="Q833" s="17"/>
      <c r="R833" s="17"/>
      <c r="S833" s="18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8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8"/>
      <c r="AV833" s="17"/>
      <c r="AW833" s="17"/>
      <c r="AX833" s="17"/>
      <c r="AY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8"/>
      <c r="N834" s="17"/>
      <c r="O834" s="17"/>
      <c r="P834" s="17"/>
      <c r="Q834" s="17"/>
      <c r="R834" s="17"/>
      <c r="S834" s="18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8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8"/>
      <c r="AV834" s="17"/>
      <c r="AW834" s="17"/>
      <c r="AX834" s="17"/>
      <c r="AY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8"/>
      <c r="N835" s="17"/>
      <c r="O835" s="17"/>
      <c r="P835" s="17"/>
      <c r="Q835" s="17"/>
      <c r="R835" s="17"/>
      <c r="S835" s="18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8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8"/>
      <c r="AV835" s="17"/>
      <c r="AW835" s="17"/>
      <c r="AX835" s="17"/>
      <c r="AY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/>
      <c r="N836" s="17"/>
      <c r="O836" s="17"/>
      <c r="P836" s="17"/>
      <c r="Q836" s="17"/>
      <c r="R836" s="17"/>
      <c r="S836" s="18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8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8"/>
      <c r="AV836" s="17"/>
      <c r="AW836" s="17"/>
      <c r="AX836" s="17"/>
      <c r="AY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8"/>
      <c r="N837" s="17"/>
      <c r="O837" s="17"/>
      <c r="P837" s="17"/>
      <c r="Q837" s="17"/>
      <c r="R837" s="17"/>
      <c r="S837" s="18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8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8"/>
      <c r="AV837" s="17"/>
      <c r="AW837" s="17"/>
      <c r="AX837" s="17"/>
      <c r="AY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8"/>
      <c r="N838" s="17"/>
      <c r="O838" s="17"/>
      <c r="P838" s="17"/>
      <c r="Q838" s="17"/>
      <c r="R838" s="17"/>
      <c r="S838" s="18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8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8"/>
      <c r="AV838" s="17"/>
      <c r="AW838" s="17"/>
      <c r="AX838" s="17"/>
      <c r="AY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8"/>
      <c r="N839" s="17"/>
      <c r="O839" s="17"/>
      <c r="P839" s="17"/>
      <c r="Q839" s="17"/>
      <c r="R839" s="17"/>
      <c r="S839" s="18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8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8"/>
      <c r="AV839" s="17"/>
      <c r="AW839" s="17"/>
      <c r="AX839" s="17"/>
      <c r="AY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/>
      <c r="N840" s="17"/>
      <c r="O840" s="17"/>
      <c r="P840" s="17"/>
      <c r="Q840" s="17"/>
      <c r="R840" s="17"/>
      <c r="S840" s="18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8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8"/>
      <c r="AV840" s="17"/>
      <c r="AW840" s="17"/>
      <c r="AX840" s="17"/>
      <c r="AY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/>
      <c r="N841" s="17"/>
      <c r="O841" s="17"/>
      <c r="P841" s="17"/>
      <c r="Q841" s="17"/>
      <c r="R841" s="17"/>
      <c r="S841" s="18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8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8"/>
      <c r="AV841" s="17"/>
      <c r="AW841" s="17"/>
      <c r="AX841" s="17"/>
      <c r="AY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8"/>
      <c r="N842" s="17"/>
      <c r="O842" s="17"/>
      <c r="P842" s="17"/>
      <c r="Q842" s="17"/>
      <c r="R842" s="17"/>
      <c r="S842" s="18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8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8"/>
      <c r="AV842" s="17"/>
      <c r="AW842" s="17"/>
      <c r="AX842" s="17"/>
      <c r="AY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8"/>
      <c r="N843" s="17"/>
      <c r="O843" s="17"/>
      <c r="P843" s="17"/>
      <c r="Q843" s="17"/>
      <c r="R843" s="17"/>
      <c r="S843" s="18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8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8"/>
      <c r="AV843" s="17"/>
      <c r="AW843" s="17"/>
      <c r="AX843" s="17"/>
      <c r="AY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/>
      <c r="N844" s="17"/>
      <c r="O844" s="17"/>
      <c r="P844" s="17"/>
      <c r="Q844" s="17"/>
      <c r="R844" s="17"/>
      <c r="S844" s="18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8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8"/>
      <c r="AV844" s="17"/>
      <c r="AW844" s="17"/>
      <c r="AX844" s="17"/>
      <c r="AY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8"/>
      <c r="N845" s="17"/>
      <c r="O845" s="17"/>
      <c r="P845" s="17"/>
      <c r="Q845" s="17"/>
      <c r="R845" s="17"/>
      <c r="S845" s="18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8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8"/>
      <c r="AV845" s="17"/>
      <c r="AW845" s="17"/>
      <c r="AX845" s="17"/>
      <c r="AY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/>
      <c r="N846" s="17"/>
      <c r="O846" s="17"/>
      <c r="P846" s="17"/>
      <c r="Q846" s="17"/>
      <c r="R846" s="17"/>
      <c r="S846" s="18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8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8"/>
      <c r="AV846" s="17"/>
      <c r="AW846" s="17"/>
      <c r="AX846" s="17"/>
      <c r="AY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8"/>
      <c r="N847" s="17"/>
      <c r="O847" s="17"/>
      <c r="P847" s="17"/>
      <c r="Q847" s="17"/>
      <c r="R847" s="17"/>
      <c r="S847" s="18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8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8"/>
      <c r="AV847" s="17"/>
      <c r="AW847" s="17"/>
      <c r="AX847" s="17"/>
      <c r="AY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8"/>
      <c r="N848" s="17"/>
      <c r="O848" s="17"/>
      <c r="P848" s="17"/>
      <c r="Q848" s="17"/>
      <c r="R848" s="17"/>
      <c r="S848" s="18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8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8"/>
      <c r="AV848" s="17"/>
      <c r="AW848" s="17"/>
      <c r="AX848" s="17"/>
      <c r="AY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/>
      <c r="N849" s="17"/>
      <c r="O849" s="17"/>
      <c r="P849" s="17"/>
      <c r="Q849" s="17"/>
      <c r="R849" s="17"/>
      <c r="S849" s="18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8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8"/>
      <c r="AV849" s="17"/>
      <c r="AW849" s="17"/>
      <c r="AX849" s="17"/>
      <c r="AY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/>
      <c r="N850" s="17"/>
      <c r="O850" s="17"/>
      <c r="P850" s="17"/>
      <c r="Q850" s="17"/>
      <c r="R850" s="17"/>
      <c r="S850" s="18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8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8"/>
      <c r="AV850" s="17"/>
      <c r="AW850" s="17"/>
      <c r="AX850" s="17"/>
      <c r="AY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8"/>
      <c r="N851" s="17"/>
      <c r="O851" s="17"/>
      <c r="P851" s="17"/>
      <c r="Q851" s="17"/>
      <c r="R851" s="17"/>
      <c r="S851" s="18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8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8"/>
      <c r="AV851" s="17"/>
      <c r="AW851" s="17"/>
      <c r="AX851" s="17"/>
      <c r="AY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8"/>
      <c r="N852" s="17"/>
      <c r="O852" s="17"/>
      <c r="P852" s="17"/>
      <c r="Q852" s="17"/>
      <c r="R852" s="17"/>
      <c r="S852" s="18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8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8"/>
      <c r="AV852" s="17"/>
      <c r="AW852" s="17"/>
      <c r="AX852" s="17"/>
      <c r="AY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/>
      <c r="N853" s="17"/>
      <c r="O853" s="17"/>
      <c r="P853" s="17"/>
      <c r="Q853" s="17"/>
      <c r="R853" s="17"/>
      <c r="S853" s="18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8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8"/>
      <c r="AV853" s="17"/>
      <c r="AW853" s="17"/>
      <c r="AX853" s="17"/>
      <c r="AY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/>
      <c r="N854" s="17"/>
      <c r="O854" s="17"/>
      <c r="P854" s="17"/>
      <c r="Q854" s="17"/>
      <c r="R854" s="17"/>
      <c r="S854" s="18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8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8"/>
      <c r="AV854" s="17"/>
      <c r="AW854" s="17"/>
      <c r="AX854" s="17"/>
      <c r="AY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8"/>
      <c r="N855" s="17"/>
      <c r="O855" s="17"/>
      <c r="P855" s="17"/>
      <c r="Q855" s="17"/>
      <c r="R855" s="17"/>
      <c r="S855" s="18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8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8"/>
      <c r="AV855" s="17"/>
      <c r="AW855" s="17"/>
      <c r="AX855" s="17"/>
      <c r="AY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8"/>
      <c r="N856" s="17"/>
      <c r="O856" s="17"/>
      <c r="P856" s="17"/>
      <c r="Q856" s="17"/>
      <c r="R856" s="17"/>
      <c r="S856" s="18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8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8"/>
      <c r="AV856" s="17"/>
      <c r="AW856" s="17"/>
      <c r="AX856" s="17"/>
      <c r="AY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8"/>
      <c r="N857" s="17"/>
      <c r="O857" s="17"/>
      <c r="P857" s="17"/>
      <c r="Q857" s="17"/>
      <c r="R857" s="17"/>
      <c r="S857" s="18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8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8"/>
      <c r="AV857" s="17"/>
      <c r="AW857" s="17"/>
      <c r="AX857" s="17"/>
      <c r="AY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8"/>
      <c r="N858" s="17"/>
      <c r="O858" s="17"/>
      <c r="P858" s="17"/>
      <c r="Q858" s="17"/>
      <c r="R858" s="17"/>
      <c r="S858" s="18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8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8"/>
      <c r="AV858" s="17"/>
      <c r="AW858" s="17"/>
      <c r="AX858" s="17"/>
      <c r="AY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/>
      <c r="N859" s="17"/>
      <c r="O859" s="17"/>
      <c r="P859" s="17"/>
      <c r="Q859" s="17"/>
      <c r="R859" s="17"/>
      <c r="S859" s="18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8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8"/>
      <c r="AV859" s="17"/>
      <c r="AW859" s="17"/>
      <c r="AX859" s="17"/>
      <c r="AY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/>
      <c r="N860" s="17"/>
      <c r="O860" s="17"/>
      <c r="P860" s="17"/>
      <c r="Q860" s="17"/>
      <c r="R860" s="17"/>
      <c r="S860" s="18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8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8"/>
      <c r="AV860" s="17"/>
      <c r="AW860" s="17"/>
      <c r="AX860" s="17"/>
      <c r="AY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/>
      <c r="N861" s="17"/>
      <c r="O861" s="17"/>
      <c r="P861" s="17"/>
      <c r="Q861" s="17"/>
      <c r="R861" s="17"/>
      <c r="S861" s="18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8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8"/>
      <c r="AV861" s="17"/>
      <c r="AW861" s="17"/>
      <c r="AX861" s="17"/>
      <c r="AY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8"/>
      <c r="N862" s="17"/>
      <c r="O862" s="17"/>
      <c r="P862" s="17"/>
      <c r="Q862" s="17"/>
      <c r="R862" s="17"/>
      <c r="S862" s="18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8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8"/>
      <c r="AV862" s="17"/>
      <c r="AW862" s="17"/>
      <c r="AX862" s="17"/>
      <c r="AY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/>
      <c r="N863" s="17"/>
      <c r="O863" s="17"/>
      <c r="P863" s="17"/>
      <c r="Q863" s="17"/>
      <c r="R863" s="17"/>
      <c r="S863" s="18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8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8"/>
      <c r="AV863" s="17"/>
      <c r="AW863" s="17"/>
      <c r="AX863" s="17"/>
      <c r="AY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/>
      <c r="N864" s="17"/>
      <c r="O864" s="17"/>
      <c r="P864" s="17"/>
      <c r="Q864" s="17"/>
      <c r="R864" s="17"/>
      <c r="S864" s="18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8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8"/>
      <c r="AV864" s="17"/>
      <c r="AW864" s="17"/>
      <c r="AX864" s="17"/>
      <c r="AY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8"/>
      <c r="N865" s="17"/>
      <c r="O865" s="17"/>
      <c r="P865" s="17"/>
      <c r="Q865" s="17"/>
      <c r="R865" s="17"/>
      <c r="S865" s="18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8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8"/>
      <c r="AV865" s="17"/>
      <c r="AW865" s="17"/>
      <c r="AX865" s="17"/>
      <c r="AY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8"/>
      <c r="N866" s="17"/>
      <c r="O866" s="17"/>
      <c r="P866" s="17"/>
      <c r="Q866" s="17"/>
      <c r="R866" s="17"/>
      <c r="S866" s="18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8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8"/>
      <c r="AV866" s="17"/>
      <c r="AW866" s="17"/>
      <c r="AX866" s="17"/>
      <c r="AY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/>
      <c r="N867" s="17"/>
      <c r="O867" s="17"/>
      <c r="P867" s="17"/>
      <c r="Q867" s="17"/>
      <c r="R867" s="17"/>
      <c r="S867" s="18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8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8"/>
      <c r="AV867" s="17"/>
      <c r="AW867" s="17"/>
      <c r="AX867" s="17"/>
      <c r="AY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8"/>
      <c r="N868" s="17"/>
      <c r="O868" s="17"/>
      <c r="P868" s="17"/>
      <c r="Q868" s="17"/>
      <c r="R868" s="17"/>
      <c r="S868" s="18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8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8"/>
      <c r="AV868" s="17"/>
      <c r="AW868" s="17"/>
      <c r="AX868" s="17"/>
      <c r="AY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8"/>
      <c r="N869" s="17"/>
      <c r="O869" s="17"/>
      <c r="P869" s="17"/>
      <c r="Q869" s="17"/>
      <c r="R869" s="17"/>
      <c r="S869" s="18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8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8"/>
      <c r="AV869" s="17"/>
      <c r="AW869" s="17"/>
      <c r="AX869" s="17"/>
      <c r="AY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8"/>
      <c r="N870" s="17"/>
      <c r="O870" s="17"/>
      <c r="P870" s="17"/>
      <c r="Q870" s="17"/>
      <c r="R870" s="17"/>
      <c r="S870" s="18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8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8"/>
      <c r="AV870" s="17"/>
      <c r="AW870" s="17"/>
      <c r="AX870" s="17"/>
      <c r="AY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/>
      <c r="N871" s="17"/>
      <c r="O871" s="17"/>
      <c r="P871" s="17"/>
      <c r="Q871" s="17"/>
      <c r="R871" s="17"/>
      <c r="S871" s="18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8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8"/>
      <c r="AV871" s="17"/>
      <c r="AW871" s="17"/>
      <c r="AX871" s="17"/>
      <c r="AY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8"/>
      <c r="N872" s="17"/>
      <c r="O872" s="17"/>
      <c r="P872" s="17"/>
      <c r="Q872" s="17"/>
      <c r="R872" s="17"/>
      <c r="S872" s="18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8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8"/>
      <c r="AV872" s="17"/>
      <c r="AW872" s="17"/>
      <c r="AX872" s="17"/>
      <c r="AY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8"/>
      <c r="N873" s="17"/>
      <c r="O873" s="17"/>
      <c r="P873" s="17"/>
      <c r="Q873" s="17"/>
      <c r="R873" s="17"/>
      <c r="S873" s="18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8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8"/>
      <c r="AV873" s="17"/>
      <c r="AW873" s="17"/>
      <c r="AX873" s="17"/>
      <c r="AY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/>
      <c r="N874" s="17"/>
      <c r="O874" s="17"/>
      <c r="P874" s="17"/>
      <c r="Q874" s="17"/>
      <c r="R874" s="17"/>
      <c r="S874" s="18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8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8"/>
      <c r="AV874" s="17"/>
      <c r="AW874" s="17"/>
      <c r="AX874" s="17"/>
      <c r="AY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8"/>
      <c r="N875" s="17"/>
      <c r="O875" s="17"/>
      <c r="P875" s="17"/>
      <c r="Q875" s="17"/>
      <c r="R875" s="17"/>
      <c r="S875" s="18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8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8"/>
      <c r="AV875" s="17"/>
      <c r="AW875" s="17"/>
      <c r="AX875" s="17"/>
      <c r="AY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/>
      <c r="N876" s="17"/>
      <c r="O876" s="17"/>
      <c r="P876" s="17"/>
      <c r="Q876" s="17"/>
      <c r="R876" s="17"/>
      <c r="S876" s="18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8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8"/>
      <c r="AV876" s="17"/>
      <c r="AW876" s="17"/>
      <c r="AX876" s="17"/>
      <c r="AY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8"/>
      <c r="N877" s="17"/>
      <c r="O877" s="17"/>
      <c r="P877" s="17"/>
      <c r="Q877" s="17"/>
      <c r="R877" s="17"/>
      <c r="S877" s="18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8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8"/>
      <c r="AV877" s="17"/>
      <c r="AW877" s="17"/>
      <c r="AX877" s="17"/>
      <c r="AY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/>
      <c r="N878" s="17"/>
      <c r="O878" s="17"/>
      <c r="P878" s="17"/>
      <c r="Q878" s="17"/>
      <c r="R878" s="17"/>
      <c r="S878" s="18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8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8"/>
      <c r="AV878" s="17"/>
      <c r="AW878" s="17"/>
      <c r="AX878" s="17"/>
      <c r="AY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8"/>
      <c r="N879" s="17"/>
      <c r="O879" s="17"/>
      <c r="P879" s="17"/>
      <c r="Q879" s="17"/>
      <c r="R879" s="17"/>
      <c r="S879" s="18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8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8"/>
      <c r="AV879" s="17"/>
      <c r="AW879" s="17"/>
      <c r="AX879" s="17"/>
      <c r="AY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8"/>
      <c r="N880" s="17"/>
      <c r="O880" s="17"/>
      <c r="P880" s="17"/>
      <c r="Q880" s="17"/>
      <c r="R880" s="17"/>
      <c r="S880" s="18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8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8"/>
      <c r="AV880" s="17"/>
      <c r="AW880" s="17"/>
      <c r="AX880" s="17"/>
      <c r="AY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8"/>
      <c r="N881" s="17"/>
      <c r="O881" s="17"/>
      <c r="P881" s="17"/>
      <c r="Q881" s="17"/>
      <c r="R881" s="17"/>
      <c r="S881" s="18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8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8"/>
      <c r="AV881" s="17"/>
      <c r="AW881" s="17"/>
      <c r="AX881" s="17"/>
      <c r="AY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8"/>
      <c r="N882" s="17"/>
      <c r="O882" s="17"/>
      <c r="P882" s="17"/>
      <c r="Q882" s="17"/>
      <c r="R882" s="17"/>
      <c r="S882" s="18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8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8"/>
      <c r="AV882" s="17"/>
      <c r="AW882" s="17"/>
      <c r="AX882" s="17"/>
      <c r="AY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8"/>
      <c r="N883" s="17"/>
      <c r="O883" s="17"/>
      <c r="P883" s="17"/>
      <c r="Q883" s="17"/>
      <c r="R883" s="17"/>
      <c r="S883" s="18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8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8"/>
      <c r="AV883" s="17"/>
      <c r="AW883" s="17"/>
      <c r="AX883" s="17"/>
      <c r="AY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8"/>
      <c r="N884" s="17"/>
      <c r="O884" s="17"/>
      <c r="P884" s="17"/>
      <c r="Q884" s="17"/>
      <c r="R884" s="17"/>
      <c r="S884" s="18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8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8"/>
      <c r="AV884" s="17"/>
      <c r="AW884" s="17"/>
      <c r="AX884" s="17"/>
      <c r="AY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/>
      <c r="N885" s="17"/>
      <c r="O885" s="17"/>
      <c r="P885" s="17"/>
      <c r="Q885" s="17"/>
      <c r="R885" s="17"/>
      <c r="S885" s="18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8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8"/>
      <c r="AV885" s="17"/>
      <c r="AW885" s="17"/>
      <c r="AX885" s="17"/>
      <c r="AY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/>
      <c r="N886" s="17"/>
      <c r="O886" s="17"/>
      <c r="P886" s="17"/>
      <c r="Q886" s="17"/>
      <c r="R886" s="17"/>
      <c r="S886" s="18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8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8"/>
      <c r="AV886" s="17"/>
      <c r="AW886" s="17"/>
      <c r="AX886" s="17"/>
      <c r="AY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8"/>
      <c r="N887" s="17"/>
      <c r="O887" s="17"/>
      <c r="P887" s="17"/>
      <c r="Q887" s="17"/>
      <c r="R887" s="17"/>
      <c r="S887" s="18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8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8"/>
      <c r="AV887" s="17"/>
      <c r="AW887" s="17"/>
      <c r="AX887" s="17"/>
      <c r="AY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8"/>
      <c r="N888" s="17"/>
      <c r="O888" s="17"/>
      <c r="P888" s="17"/>
      <c r="Q888" s="17"/>
      <c r="R888" s="17"/>
      <c r="S888" s="18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8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8"/>
      <c r="AV888" s="17"/>
      <c r="AW888" s="17"/>
      <c r="AX888" s="17"/>
      <c r="AY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8"/>
      <c r="N889" s="17"/>
      <c r="O889" s="17"/>
      <c r="P889" s="17"/>
      <c r="Q889" s="17"/>
      <c r="R889" s="17"/>
      <c r="S889" s="18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8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8"/>
      <c r="AV889" s="17"/>
      <c r="AW889" s="17"/>
      <c r="AX889" s="17"/>
      <c r="AY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8"/>
      <c r="N890" s="17"/>
      <c r="O890" s="17"/>
      <c r="P890" s="17"/>
      <c r="Q890" s="17"/>
      <c r="R890" s="17"/>
      <c r="S890" s="18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8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8"/>
      <c r="AV890" s="17"/>
      <c r="AW890" s="17"/>
      <c r="AX890" s="17"/>
      <c r="AY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8"/>
      <c r="N891" s="17"/>
      <c r="O891" s="17"/>
      <c r="P891" s="17"/>
      <c r="Q891" s="17"/>
      <c r="R891" s="17"/>
      <c r="S891" s="18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8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8"/>
      <c r="AV891" s="17"/>
      <c r="AW891" s="17"/>
      <c r="AX891" s="17"/>
      <c r="AY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/>
      <c r="N892" s="17"/>
      <c r="O892" s="17"/>
      <c r="P892" s="17"/>
      <c r="Q892" s="17"/>
      <c r="R892" s="17"/>
      <c r="S892" s="18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8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8"/>
      <c r="AV892" s="17"/>
      <c r="AW892" s="17"/>
      <c r="AX892" s="17"/>
      <c r="AY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/>
      <c r="N893" s="17"/>
      <c r="O893" s="17"/>
      <c r="P893" s="17"/>
      <c r="Q893" s="17"/>
      <c r="R893" s="17"/>
      <c r="S893" s="18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8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8"/>
      <c r="AV893" s="17"/>
      <c r="AW893" s="17"/>
      <c r="AX893" s="17"/>
      <c r="AY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8"/>
      <c r="N894" s="17"/>
      <c r="O894" s="17"/>
      <c r="P894" s="17"/>
      <c r="Q894" s="17"/>
      <c r="R894" s="17"/>
      <c r="S894" s="18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8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8"/>
      <c r="AV894" s="17"/>
      <c r="AW894" s="17"/>
      <c r="AX894" s="17"/>
      <c r="AY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/>
      <c r="N895" s="17"/>
      <c r="O895" s="17"/>
      <c r="P895" s="17"/>
      <c r="Q895" s="17"/>
      <c r="R895" s="17"/>
      <c r="S895" s="18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8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8"/>
      <c r="AV895" s="17"/>
      <c r="AW895" s="17"/>
      <c r="AX895" s="17"/>
      <c r="AY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/>
      <c r="N896" s="17"/>
      <c r="O896" s="17"/>
      <c r="P896" s="17"/>
      <c r="Q896" s="17"/>
      <c r="R896" s="17"/>
      <c r="S896" s="18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8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8"/>
      <c r="AV896" s="17"/>
      <c r="AW896" s="17"/>
      <c r="AX896" s="17"/>
      <c r="AY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8"/>
      <c r="N897" s="17"/>
      <c r="O897" s="17"/>
      <c r="P897" s="17"/>
      <c r="Q897" s="17"/>
      <c r="R897" s="17"/>
      <c r="S897" s="18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8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8"/>
      <c r="AV897" s="17"/>
      <c r="AW897" s="17"/>
      <c r="AX897" s="17"/>
      <c r="AY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/>
      <c r="N898" s="17"/>
      <c r="O898" s="17"/>
      <c r="P898" s="17"/>
      <c r="Q898" s="17"/>
      <c r="R898" s="17"/>
      <c r="S898" s="18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8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8"/>
      <c r="AV898" s="17"/>
      <c r="AW898" s="17"/>
      <c r="AX898" s="17"/>
      <c r="AY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8"/>
      <c r="N899" s="17"/>
      <c r="O899" s="17"/>
      <c r="P899" s="17"/>
      <c r="Q899" s="17"/>
      <c r="R899" s="17"/>
      <c r="S899" s="18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8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8"/>
      <c r="AV899" s="17"/>
      <c r="AW899" s="17"/>
      <c r="AX899" s="17"/>
      <c r="AY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8"/>
      <c r="N900" s="17"/>
      <c r="O900" s="17"/>
      <c r="P900" s="17"/>
      <c r="Q900" s="17"/>
      <c r="R900" s="17"/>
      <c r="S900" s="18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8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8"/>
      <c r="AV900" s="17"/>
      <c r="AW900" s="17"/>
      <c r="AX900" s="17"/>
      <c r="AY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8"/>
      <c r="N901" s="17"/>
      <c r="O901" s="17"/>
      <c r="P901" s="17"/>
      <c r="Q901" s="17"/>
      <c r="R901" s="17"/>
      <c r="S901" s="18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8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8"/>
      <c r="AV901" s="17"/>
      <c r="AW901" s="17"/>
      <c r="AX901" s="17"/>
      <c r="AY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8"/>
      <c r="N902" s="17"/>
      <c r="O902" s="17"/>
      <c r="P902" s="17"/>
      <c r="Q902" s="17"/>
      <c r="R902" s="17"/>
      <c r="S902" s="18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8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8"/>
      <c r="AV902" s="17"/>
      <c r="AW902" s="17"/>
      <c r="AX902" s="17"/>
      <c r="AY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8"/>
      <c r="N903" s="17"/>
      <c r="O903" s="17"/>
      <c r="P903" s="17"/>
      <c r="Q903" s="17"/>
      <c r="R903" s="17"/>
      <c r="S903" s="18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8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8"/>
      <c r="AV903" s="17"/>
      <c r="AW903" s="17"/>
      <c r="AX903" s="17"/>
      <c r="AY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8"/>
      <c r="N904" s="17"/>
      <c r="O904" s="17"/>
      <c r="P904" s="17"/>
      <c r="Q904" s="17"/>
      <c r="R904" s="17"/>
      <c r="S904" s="18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8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8"/>
      <c r="AV904" s="17"/>
      <c r="AW904" s="17"/>
      <c r="AX904" s="17"/>
      <c r="AY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8"/>
      <c r="N905" s="17"/>
      <c r="O905" s="17"/>
      <c r="P905" s="17"/>
      <c r="Q905" s="17"/>
      <c r="R905" s="17"/>
      <c r="S905" s="18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8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8"/>
      <c r="AV905" s="17"/>
      <c r="AW905" s="17"/>
      <c r="AX905" s="17"/>
      <c r="AY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/>
      <c r="N906" s="17"/>
      <c r="O906" s="17"/>
      <c r="P906" s="17"/>
      <c r="Q906" s="17"/>
      <c r="R906" s="17"/>
      <c r="S906" s="18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8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8"/>
      <c r="AV906" s="17"/>
      <c r="AW906" s="17"/>
      <c r="AX906" s="17"/>
      <c r="AY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/>
      <c r="N907" s="17"/>
      <c r="O907" s="17"/>
      <c r="P907" s="17"/>
      <c r="Q907" s="17"/>
      <c r="R907" s="17"/>
      <c r="S907" s="18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8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8"/>
      <c r="AV907" s="17"/>
      <c r="AW907" s="17"/>
      <c r="AX907" s="17"/>
      <c r="AY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8"/>
      <c r="N908" s="17"/>
      <c r="O908" s="17"/>
      <c r="P908" s="17"/>
      <c r="Q908" s="17"/>
      <c r="R908" s="17"/>
      <c r="S908" s="18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8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8"/>
      <c r="AV908" s="17"/>
      <c r="AW908" s="17"/>
      <c r="AX908" s="17"/>
      <c r="AY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8"/>
      <c r="N909" s="17"/>
      <c r="O909" s="17"/>
      <c r="P909" s="17"/>
      <c r="Q909" s="17"/>
      <c r="R909" s="17"/>
      <c r="S909" s="18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8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8"/>
      <c r="AV909" s="17"/>
      <c r="AW909" s="17"/>
      <c r="AX909" s="17"/>
      <c r="AY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/>
      <c r="N910" s="17"/>
      <c r="O910" s="17"/>
      <c r="P910" s="17"/>
      <c r="Q910" s="17"/>
      <c r="R910" s="17"/>
      <c r="S910" s="18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8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8"/>
      <c r="AV910" s="17"/>
      <c r="AW910" s="17"/>
      <c r="AX910" s="17"/>
      <c r="AY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8"/>
      <c r="N911" s="17"/>
      <c r="O911" s="17"/>
      <c r="P911" s="17"/>
      <c r="Q911" s="17"/>
      <c r="R911" s="17"/>
      <c r="S911" s="18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8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8"/>
      <c r="AV911" s="17"/>
      <c r="AW911" s="17"/>
      <c r="AX911" s="17"/>
      <c r="AY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8"/>
      <c r="N912" s="17"/>
      <c r="O912" s="17"/>
      <c r="P912" s="17"/>
      <c r="Q912" s="17"/>
      <c r="R912" s="17"/>
      <c r="S912" s="18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8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8"/>
      <c r="AV912" s="17"/>
      <c r="AW912" s="17"/>
      <c r="AX912" s="17"/>
      <c r="AY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8"/>
      <c r="N913" s="17"/>
      <c r="O913" s="17"/>
      <c r="P913" s="17"/>
      <c r="Q913" s="17"/>
      <c r="R913" s="17"/>
      <c r="S913" s="18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8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8"/>
      <c r="AV913" s="17"/>
      <c r="AW913" s="17"/>
      <c r="AX913" s="17"/>
      <c r="AY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8"/>
      <c r="N914" s="17"/>
      <c r="O914" s="17"/>
      <c r="P914" s="17"/>
      <c r="Q914" s="17"/>
      <c r="R914" s="17"/>
      <c r="S914" s="18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8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8"/>
      <c r="AV914" s="17"/>
      <c r="AW914" s="17"/>
      <c r="AX914" s="17"/>
      <c r="AY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8"/>
      <c r="N915" s="17"/>
      <c r="O915" s="17"/>
      <c r="P915" s="17"/>
      <c r="Q915" s="17"/>
      <c r="R915" s="17"/>
      <c r="S915" s="18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8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8"/>
      <c r="AV915" s="17"/>
      <c r="AW915" s="17"/>
      <c r="AX915" s="17"/>
      <c r="AY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8"/>
      <c r="N916" s="17"/>
      <c r="O916" s="17"/>
      <c r="P916" s="17"/>
      <c r="Q916" s="17"/>
      <c r="R916" s="17"/>
      <c r="S916" s="18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8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8"/>
      <c r="AV916" s="17"/>
      <c r="AW916" s="17"/>
      <c r="AX916" s="17"/>
      <c r="AY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8"/>
      <c r="N917" s="17"/>
      <c r="O917" s="17"/>
      <c r="P917" s="17"/>
      <c r="Q917" s="17"/>
      <c r="R917" s="17"/>
      <c r="S917" s="18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8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8"/>
      <c r="AV917" s="17"/>
      <c r="AW917" s="17"/>
      <c r="AX917" s="17"/>
      <c r="AY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/>
      <c r="N918" s="17"/>
      <c r="O918" s="17"/>
      <c r="P918" s="17"/>
      <c r="Q918" s="17"/>
      <c r="R918" s="17"/>
      <c r="S918" s="18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8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8"/>
      <c r="AV918" s="17"/>
      <c r="AW918" s="17"/>
      <c r="AX918" s="17"/>
      <c r="AY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/>
      <c r="N919" s="17"/>
      <c r="O919" s="17"/>
      <c r="P919" s="17"/>
      <c r="Q919" s="17"/>
      <c r="R919" s="17"/>
      <c r="S919" s="18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8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8"/>
      <c r="AV919" s="17"/>
      <c r="AW919" s="17"/>
      <c r="AX919" s="17"/>
      <c r="AY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8"/>
      <c r="N920" s="17"/>
      <c r="O920" s="17"/>
      <c r="P920" s="17"/>
      <c r="Q920" s="17"/>
      <c r="R920" s="17"/>
      <c r="S920" s="18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8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8"/>
      <c r="AV920" s="17"/>
      <c r="AW920" s="17"/>
      <c r="AX920" s="17"/>
      <c r="AY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8"/>
      <c r="N921" s="17"/>
      <c r="O921" s="17"/>
      <c r="P921" s="17"/>
      <c r="Q921" s="17"/>
      <c r="R921" s="17"/>
      <c r="S921" s="18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8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8"/>
      <c r="AV921" s="17"/>
      <c r="AW921" s="17"/>
      <c r="AX921" s="17"/>
      <c r="AY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/>
      <c r="N922" s="17"/>
      <c r="O922" s="17"/>
      <c r="P922" s="17"/>
      <c r="Q922" s="17"/>
      <c r="R922" s="17"/>
      <c r="S922" s="18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8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8"/>
      <c r="AV922" s="17"/>
      <c r="AW922" s="17"/>
      <c r="AX922" s="17"/>
      <c r="AY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8"/>
      <c r="N923" s="17"/>
      <c r="O923" s="17"/>
      <c r="P923" s="17"/>
      <c r="Q923" s="17"/>
      <c r="R923" s="17"/>
      <c r="S923" s="18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8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8"/>
      <c r="AV923" s="17"/>
      <c r="AW923" s="17"/>
      <c r="AX923" s="17"/>
      <c r="AY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8"/>
      <c r="N924" s="17"/>
      <c r="O924" s="17"/>
      <c r="P924" s="17"/>
      <c r="Q924" s="17"/>
      <c r="R924" s="17"/>
      <c r="S924" s="18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8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8"/>
      <c r="AV924" s="17"/>
      <c r="AW924" s="17"/>
      <c r="AX924" s="17"/>
      <c r="AY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8"/>
      <c r="N925" s="17"/>
      <c r="O925" s="17"/>
      <c r="P925" s="17"/>
      <c r="Q925" s="17"/>
      <c r="R925" s="17"/>
      <c r="S925" s="18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8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8"/>
      <c r="AV925" s="17"/>
      <c r="AW925" s="17"/>
      <c r="AX925" s="17"/>
      <c r="AY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8"/>
      <c r="N926" s="17"/>
      <c r="O926" s="17"/>
      <c r="P926" s="17"/>
      <c r="Q926" s="17"/>
      <c r="R926" s="17"/>
      <c r="S926" s="18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8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8"/>
      <c r="AV926" s="17"/>
      <c r="AW926" s="17"/>
      <c r="AX926" s="17"/>
      <c r="AY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8"/>
      <c r="N927" s="17"/>
      <c r="O927" s="17"/>
      <c r="P927" s="17"/>
      <c r="Q927" s="17"/>
      <c r="R927" s="17"/>
      <c r="S927" s="18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8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8"/>
      <c r="AV927" s="17"/>
      <c r="AW927" s="17"/>
      <c r="AX927" s="17"/>
      <c r="AY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8"/>
      <c r="N928" s="17"/>
      <c r="O928" s="17"/>
      <c r="P928" s="17"/>
      <c r="Q928" s="17"/>
      <c r="R928" s="17"/>
      <c r="S928" s="18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8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8"/>
      <c r="AV928" s="17"/>
      <c r="AW928" s="17"/>
      <c r="AX928" s="17"/>
      <c r="AY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/>
      <c r="N929" s="17"/>
      <c r="O929" s="17"/>
      <c r="P929" s="17"/>
      <c r="Q929" s="17"/>
      <c r="R929" s="17"/>
      <c r="S929" s="18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8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8"/>
      <c r="AV929" s="17"/>
      <c r="AW929" s="17"/>
      <c r="AX929" s="17"/>
      <c r="AY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8"/>
      <c r="N930" s="17"/>
      <c r="O930" s="17"/>
      <c r="P930" s="17"/>
      <c r="Q930" s="17"/>
      <c r="R930" s="17"/>
      <c r="S930" s="18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8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8"/>
      <c r="AV930" s="17"/>
      <c r="AW930" s="17"/>
      <c r="AX930" s="17"/>
      <c r="AY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8"/>
      <c r="N931" s="17"/>
      <c r="O931" s="17"/>
      <c r="P931" s="17"/>
      <c r="Q931" s="17"/>
      <c r="R931" s="17"/>
      <c r="S931" s="18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8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8"/>
      <c r="AV931" s="17"/>
      <c r="AW931" s="17"/>
      <c r="AX931" s="17"/>
      <c r="AY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8"/>
      <c r="N932" s="17"/>
      <c r="O932" s="17"/>
      <c r="P932" s="17"/>
      <c r="Q932" s="17"/>
      <c r="R932" s="17"/>
      <c r="S932" s="18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8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8"/>
      <c r="AV932" s="17"/>
      <c r="AW932" s="17"/>
      <c r="AX932" s="17"/>
      <c r="AY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/>
      <c r="N933" s="17"/>
      <c r="O933" s="17"/>
      <c r="P933" s="17"/>
      <c r="Q933" s="17"/>
      <c r="R933" s="17"/>
      <c r="S933" s="18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8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8"/>
      <c r="AV933" s="17"/>
      <c r="AW933" s="17"/>
      <c r="AX933" s="17"/>
      <c r="AY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8"/>
      <c r="N934" s="17"/>
      <c r="O934" s="17"/>
      <c r="P934" s="17"/>
      <c r="Q934" s="17"/>
      <c r="R934" s="17"/>
      <c r="S934" s="18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8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8"/>
      <c r="AV934" s="17"/>
      <c r="AW934" s="17"/>
      <c r="AX934" s="17"/>
      <c r="AY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8"/>
      <c r="N935" s="17"/>
      <c r="O935" s="17"/>
      <c r="P935" s="17"/>
      <c r="Q935" s="17"/>
      <c r="R935" s="17"/>
      <c r="S935" s="18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8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8"/>
      <c r="AV935" s="17"/>
      <c r="AW935" s="17"/>
      <c r="AX935" s="17"/>
      <c r="AY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8"/>
      <c r="N936" s="17"/>
      <c r="O936" s="17"/>
      <c r="P936" s="17"/>
      <c r="Q936" s="17"/>
      <c r="R936" s="17"/>
      <c r="S936" s="18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8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8"/>
      <c r="AV936" s="17"/>
      <c r="AW936" s="17"/>
      <c r="AX936" s="17"/>
      <c r="AY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/>
      <c r="N937" s="17"/>
      <c r="O937" s="17"/>
      <c r="P937" s="17"/>
      <c r="Q937" s="17"/>
      <c r="R937" s="17"/>
      <c r="S937" s="18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8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8"/>
      <c r="AV937" s="17"/>
      <c r="AW937" s="17"/>
      <c r="AX937" s="17"/>
      <c r="AY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8"/>
      <c r="N938" s="17"/>
      <c r="O938" s="17"/>
      <c r="P938" s="17"/>
      <c r="Q938" s="17"/>
      <c r="R938" s="17"/>
      <c r="S938" s="18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8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8"/>
      <c r="AV938" s="17"/>
      <c r="AW938" s="17"/>
      <c r="AX938" s="17"/>
      <c r="AY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8"/>
      <c r="N939" s="17"/>
      <c r="O939" s="17"/>
      <c r="P939" s="17"/>
      <c r="Q939" s="17"/>
      <c r="R939" s="17"/>
      <c r="S939" s="18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8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8"/>
      <c r="AV939" s="17"/>
      <c r="AW939" s="17"/>
      <c r="AX939" s="17"/>
      <c r="AY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8"/>
      <c r="N940" s="17"/>
      <c r="O940" s="17"/>
      <c r="P940" s="17"/>
      <c r="Q940" s="17"/>
      <c r="R940" s="17"/>
      <c r="S940" s="18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8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8"/>
      <c r="AV940" s="17"/>
      <c r="AW940" s="17"/>
      <c r="AX940" s="17"/>
      <c r="AY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/>
      <c r="N941" s="17"/>
      <c r="O941" s="17"/>
      <c r="P941" s="17"/>
      <c r="Q941" s="17"/>
      <c r="R941" s="17"/>
      <c r="S941" s="18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8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8"/>
      <c r="AV941" s="17"/>
      <c r="AW941" s="17"/>
      <c r="AX941" s="17"/>
      <c r="AY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/>
      <c r="N942" s="17"/>
      <c r="O942" s="17"/>
      <c r="P942" s="17"/>
      <c r="Q942" s="17"/>
      <c r="R942" s="17"/>
      <c r="S942" s="18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8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8"/>
      <c r="AV942" s="17"/>
      <c r="AW942" s="17"/>
      <c r="AX942" s="17"/>
      <c r="AY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/>
      <c r="N943" s="17"/>
      <c r="O943" s="17"/>
      <c r="P943" s="17"/>
      <c r="Q943" s="17"/>
      <c r="R943" s="17"/>
      <c r="S943" s="18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8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8"/>
      <c r="AV943" s="17"/>
      <c r="AW943" s="17"/>
      <c r="AX943" s="17"/>
      <c r="AY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8"/>
      <c r="N944" s="17"/>
      <c r="O944" s="17"/>
      <c r="P944" s="17"/>
      <c r="Q944" s="17"/>
      <c r="R944" s="17"/>
      <c r="S944" s="18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8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8"/>
      <c r="AV944" s="17"/>
      <c r="AW944" s="17"/>
      <c r="AX944" s="17"/>
      <c r="AY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8"/>
      <c r="N945" s="17"/>
      <c r="O945" s="17"/>
      <c r="P945" s="17"/>
      <c r="Q945" s="17"/>
      <c r="R945" s="17"/>
      <c r="S945" s="18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8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8"/>
      <c r="AV945" s="17"/>
      <c r="AW945" s="17"/>
      <c r="AX945" s="17"/>
      <c r="AY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8"/>
      <c r="N946" s="17"/>
      <c r="O946" s="17"/>
      <c r="P946" s="17"/>
      <c r="Q946" s="17"/>
      <c r="R946" s="17"/>
      <c r="S946" s="18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8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8"/>
      <c r="AV946" s="17"/>
      <c r="AW946" s="17"/>
      <c r="AX946" s="17"/>
      <c r="AY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8"/>
      <c r="N947" s="17"/>
      <c r="O947" s="17"/>
      <c r="P947" s="17"/>
      <c r="Q947" s="17"/>
      <c r="R947" s="17"/>
      <c r="S947" s="18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8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8"/>
      <c r="AV947" s="17"/>
      <c r="AW947" s="17"/>
      <c r="AX947" s="17"/>
      <c r="AY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8"/>
      <c r="N948" s="17"/>
      <c r="O948" s="17"/>
      <c r="P948" s="17"/>
      <c r="Q948" s="17"/>
      <c r="R948" s="17"/>
      <c r="S948" s="18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8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8"/>
      <c r="AV948" s="17"/>
      <c r="AW948" s="17"/>
      <c r="AX948" s="17"/>
      <c r="AY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8"/>
      <c r="N949" s="17"/>
      <c r="O949" s="17"/>
      <c r="P949" s="17"/>
      <c r="Q949" s="17"/>
      <c r="R949" s="17"/>
      <c r="S949" s="18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8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8"/>
      <c r="AV949" s="17"/>
      <c r="AW949" s="17"/>
      <c r="AX949" s="17"/>
      <c r="AY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8"/>
      <c r="N950" s="17"/>
      <c r="O950" s="17"/>
      <c r="P950" s="17"/>
      <c r="Q950" s="17"/>
      <c r="R950" s="17"/>
      <c r="S950" s="18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8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8"/>
      <c r="AV950" s="17"/>
      <c r="AW950" s="17"/>
      <c r="AX950" s="17"/>
      <c r="AY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8"/>
      <c r="N951" s="17"/>
      <c r="O951" s="17"/>
      <c r="P951" s="17"/>
      <c r="Q951" s="17"/>
      <c r="R951" s="17"/>
      <c r="S951" s="18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8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8"/>
      <c r="AV951" s="17"/>
      <c r="AW951" s="17"/>
      <c r="AX951" s="17"/>
      <c r="AY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8"/>
      <c r="N952" s="17"/>
      <c r="O952" s="17"/>
      <c r="P952" s="17"/>
      <c r="Q952" s="17"/>
      <c r="R952" s="17"/>
      <c r="S952" s="18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8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8"/>
      <c r="AV952" s="17"/>
      <c r="AW952" s="17"/>
      <c r="AX952" s="17"/>
      <c r="AY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8"/>
      <c r="N953" s="17"/>
      <c r="O953" s="17"/>
      <c r="P953" s="17"/>
      <c r="Q953" s="17"/>
      <c r="R953" s="17"/>
      <c r="S953" s="18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8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8"/>
      <c r="AV953" s="17"/>
      <c r="AW953" s="17"/>
      <c r="AX953" s="17"/>
      <c r="AY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8"/>
      <c r="N954" s="17"/>
      <c r="O954" s="17"/>
      <c r="P954" s="17"/>
      <c r="Q954" s="17"/>
      <c r="R954" s="17"/>
      <c r="S954" s="18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8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8"/>
      <c r="AV954" s="17"/>
      <c r="AW954" s="17"/>
      <c r="AX954" s="17"/>
      <c r="AY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/>
      <c r="N955" s="17"/>
      <c r="O955" s="17"/>
      <c r="P955" s="17"/>
      <c r="Q955" s="17"/>
      <c r="R955" s="17"/>
      <c r="S955" s="18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8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8"/>
      <c r="AV955" s="17"/>
      <c r="AW955" s="17"/>
      <c r="AX955" s="17"/>
      <c r="AY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/>
      <c r="N956" s="17"/>
      <c r="O956" s="17"/>
      <c r="P956" s="17"/>
      <c r="Q956" s="17"/>
      <c r="R956" s="17"/>
      <c r="S956" s="18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8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8"/>
      <c r="AV956" s="17"/>
      <c r="AW956" s="17"/>
      <c r="AX956" s="17"/>
      <c r="AY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8"/>
      <c r="N957" s="17"/>
      <c r="O957" s="17"/>
      <c r="P957" s="17"/>
      <c r="Q957" s="17"/>
      <c r="R957" s="17"/>
      <c r="S957" s="18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8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8"/>
      <c r="AV957" s="17"/>
      <c r="AW957" s="17"/>
      <c r="AX957" s="17"/>
      <c r="AY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8"/>
      <c r="N958" s="17"/>
      <c r="O958" s="17"/>
      <c r="P958" s="17"/>
      <c r="Q958" s="17"/>
      <c r="R958" s="17"/>
      <c r="S958" s="18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8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8"/>
      <c r="AV958" s="17"/>
      <c r="AW958" s="17"/>
      <c r="AX958" s="17"/>
      <c r="AY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8"/>
      <c r="N959" s="17"/>
      <c r="O959" s="17"/>
      <c r="P959" s="17"/>
      <c r="Q959" s="17"/>
      <c r="R959" s="17"/>
      <c r="S959" s="18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8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8"/>
      <c r="AV959" s="17"/>
      <c r="AW959" s="17"/>
      <c r="AX959" s="17"/>
      <c r="AY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8"/>
      <c r="N960" s="17"/>
      <c r="O960" s="17"/>
      <c r="P960" s="17"/>
      <c r="Q960" s="17"/>
      <c r="R960" s="17"/>
      <c r="S960" s="18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8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8"/>
      <c r="AV960" s="17"/>
      <c r="AW960" s="17"/>
      <c r="AX960" s="17"/>
      <c r="AY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8"/>
      <c r="N961" s="17"/>
      <c r="O961" s="17"/>
      <c r="P961" s="17"/>
      <c r="Q961" s="17"/>
      <c r="R961" s="17"/>
      <c r="S961" s="18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8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8"/>
      <c r="AV961" s="17"/>
      <c r="AW961" s="17"/>
      <c r="AX961" s="17"/>
      <c r="AY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8"/>
      <c r="N962" s="17"/>
      <c r="O962" s="17"/>
      <c r="P962" s="17"/>
      <c r="Q962" s="17"/>
      <c r="R962" s="17"/>
      <c r="S962" s="18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8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8"/>
      <c r="AV962" s="17"/>
      <c r="AW962" s="17"/>
      <c r="AX962" s="17"/>
      <c r="AY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/>
      <c r="N963" s="17"/>
      <c r="O963" s="17"/>
      <c r="P963" s="17"/>
      <c r="Q963" s="17"/>
      <c r="R963" s="17"/>
      <c r="S963" s="18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8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8"/>
      <c r="AV963" s="17"/>
      <c r="AW963" s="17"/>
      <c r="AX963" s="17"/>
      <c r="AY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8"/>
      <c r="N964" s="17"/>
      <c r="O964" s="17"/>
      <c r="P964" s="17"/>
      <c r="Q964" s="17"/>
      <c r="R964" s="17"/>
      <c r="S964" s="18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8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8"/>
      <c r="AV964" s="17"/>
      <c r="AW964" s="17"/>
      <c r="AX964" s="17"/>
      <c r="AY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/>
      <c r="N965" s="17"/>
      <c r="O965" s="17"/>
      <c r="P965" s="17"/>
      <c r="Q965" s="17"/>
      <c r="R965" s="17"/>
      <c r="S965" s="18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8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8"/>
      <c r="AV965" s="17"/>
      <c r="AW965" s="17"/>
      <c r="AX965" s="17"/>
      <c r="AY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/>
      <c r="N966" s="17"/>
      <c r="O966" s="17"/>
      <c r="P966" s="17"/>
      <c r="Q966" s="17"/>
      <c r="R966" s="17"/>
      <c r="S966" s="18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8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8"/>
      <c r="AV966" s="17"/>
      <c r="AW966" s="17"/>
      <c r="AX966" s="17"/>
      <c r="AY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8"/>
      <c r="N967" s="17"/>
      <c r="O967" s="17"/>
      <c r="P967" s="17"/>
      <c r="Q967" s="17"/>
      <c r="R967" s="17"/>
      <c r="S967" s="18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8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8"/>
      <c r="AV967" s="17"/>
      <c r="AW967" s="17"/>
      <c r="AX967" s="17"/>
      <c r="AY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8"/>
      <c r="N968" s="17"/>
      <c r="O968" s="17"/>
      <c r="P968" s="17"/>
      <c r="Q968" s="17"/>
      <c r="R968" s="17"/>
      <c r="S968" s="18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8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8"/>
      <c r="AV968" s="17"/>
      <c r="AW968" s="17"/>
      <c r="AX968" s="17"/>
      <c r="AY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8"/>
      <c r="N969" s="17"/>
      <c r="O969" s="17"/>
      <c r="P969" s="17"/>
      <c r="Q969" s="17"/>
      <c r="R969" s="17"/>
      <c r="S969" s="18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8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8"/>
      <c r="AV969" s="17"/>
      <c r="AW969" s="17"/>
      <c r="AX969" s="17"/>
      <c r="AY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8"/>
      <c r="N970" s="17"/>
      <c r="O970" s="17"/>
      <c r="P970" s="17"/>
      <c r="Q970" s="17"/>
      <c r="R970" s="17"/>
      <c r="S970" s="18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8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8"/>
      <c r="AV970" s="17"/>
      <c r="AW970" s="17"/>
      <c r="AX970" s="17"/>
      <c r="AY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8"/>
      <c r="N971" s="17"/>
      <c r="O971" s="17"/>
      <c r="P971" s="17"/>
      <c r="Q971" s="17"/>
      <c r="R971" s="17"/>
      <c r="S971" s="18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8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8"/>
      <c r="AV971" s="17"/>
      <c r="AW971" s="17"/>
      <c r="AX971" s="17"/>
      <c r="AY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8"/>
      <c r="N972" s="17"/>
      <c r="O972" s="17"/>
      <c r="P972" s="17"/>
      <c r="Q972" s="17"/>
      <c r="R972" s="17"/>
      <c r="S972" s="18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8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8"/>
      <c r="AV972" s="17"/>
      <c r="AW972" s="17"/>
      <c r="AX972" s="17"/>
      <c r="AY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8"/>
      <c r="N973" s="17"/>
      <c r="O973" s="17"/>
      <c r="P973" s="17"/>
      <c r="Q973" s="17"/>
      <c r="R973" s="17"/>
      <c r="S973" s="18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8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8"/>
      <c r="AV973" s="17"/>
      <c r="AW973" s="17"/>
      <c r="AX973" s="17"/>
      <c r="AY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8"/>
      <c r="N974" s="17"/>
      <c r="O974" s="17"/>
      <c r="P974" s="17"/>
      <c r="Q974" s="17"/>
      <c r="R974" s="17"/>
      <c r="S974" s="18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8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8"/>
      <c r="AV974" s="17"/>
      <c r="AW974" s="17"/>
      <c r="AX974" s="17"/>
      <c r="AY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8"/>
      <c r="N975" s="17"/>
      <c r="O975" s="17"/>
      <c r="P975" s="17"/>
      <c r="Q975" s="17"/>
      <c r="R975" s="17"/>
      <c r="S975" s="18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8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8"/>
      <c r="AV975" s="17"/>
      <c r="AW975" s="17"/>
      <c r="AX975" s="17"/>
      <c r="AY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/>
      <c r="N976" s="17"/>
      <c r="O976" s="17"/>
      <c r="P976" s="17"/>
      <c r="Q976" s="17"/>
      <c r="R976" s="17"/>
      <c r="S976" s="18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8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8"/>
      <c r="AV976" s="17"/>
      <c r="AW976" s="17"/>
      <c r="AX976" s="17"/>
      <c r="AY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/>
      <c r="N977" s="17"/>
      <c r="O977" s="17"/>
      <c r="P977" s="17"/>
      <c r="Q977" s="17"/>
      <c r="R977" s="17"/>
      <c r="S977" s="18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8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8"/>
      <c r="AV977" s="17"/>
      <c r="AW977" s="17"/>
      <c r="AX977" s="17"/>
      <c r="AY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8"/>
      <c r="N978" s="17"/>
      <c r="O978" s="17"/>
      <c r="P978" s="17"/>
      <c r="Q978" s="17"/>
      <c r="R978" s="17"/>
      <c r="S978" s="18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8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8"/>
      <c r="AV978" s="17"/>
      <c r="AW978" s="17"/>
      <c r="AX978" s="17"/>
      <c r="AY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8"/>
      <c r="N979" s="17"/>
      <c r="O979" s="17"/>
      <c r="P979" s="17"/>
      <c r="Q979" s="17"/>
      <c r="R979" s="17"/>
      <c r="S979" s="18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8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8"/>
      <c r="AV979" s="17"/>
      <c r="AW979" s="17"/>
      <c r="AX979" s="17"/>
      <c r="AY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/>
      <c r="N980" s="17"/>
      <c r="O980" s="17"/>
      <c r="P980" s="17"/>
      <c r="Q980" s="17"/>
      <c r="R980" s="17"/>
      <c r="S980" s="18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8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8"/>
      <c r="AV980" s="17"/>
      <c r="AW980" s="17"/>
      <c r="AX980" s="17"/>
      <c r="AY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8"/>
      <c r="N981" s="17"/>
      <c r="O981" s="17"/>
      <c r="P981" s="17"/>
      <c r="Q981" s="17"/>
      <c r="R981" s="17"/>
      <c r="S981" s="18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8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8"/>
      <c r="AV981" s="17"/>
      <c r="AW981" s="17"/>
      <c r="AX981" s="17"/>
      <c r="AY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8"/>
      <c r="N982" s="17"/>
      <c r="O982" s="17"/>
      <c r="P982" s="17"/>
      <c r="Q982" s="17"/>
      <c r="R982" s="17"/>
      <c r="S982" s="18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8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8"/>
      <c r="AV982" s="17"/>
      <c r="AW982" s="17"/>
      <c r="AX982" s="17"/>
      <c r="AY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/>
      <c r="N983" s="17"/>
      <c r="O983" s="17"/>
      <c r="P983" s="17"/>
      <c r="Q983" s="17"/>
      <c r="R983" s="17"/>
      <c r="S983" s="18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8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8"/>
      <c r="AV983" s="17"/>
      <c r="AW983" s="17"/>
      <c r="AX983" s="17"/>
      <c r="AY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8"/>
      <c r="N984" s="17"/>
      <c r="O984" s="17"/>
      <c r="P984" s="17"/>
      <c r="Q984" s="17"/>
      <c r="R984" s="17"/>
      <c r="S984" s="18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8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8"/>
      <c r="AV984" s="17"/>
      <c r="AW984" s="17"/>
      <c r="AX984" s="17"/>
      <c r="AY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8"/>
      <c r="N985" s="17"/>
      <c r="O985" s="17"/>
      <c r="P985" s="17"/>
      <c r="Q985" s="17"/>
      <c r="R985" s="17"/>
      <c r="S985" s="18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8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8"/>
      <c r="AV985" s="17"/>
      <c r="AW985" s="17"/>
      <c r="AX985" s="17"/>
      <c r="AY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8"/>
      <c r="N986" s="17"/>
      <c r="O986" s="17"/>
      <c r="P986" s="17"/>
      <c r="Q986" s="17"/>
      <c r="R986" s="17"/>
      <c r="S986" s="18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8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8"/>
      <c r="AV986" s="17"/>
      <c r="AW986" s="17"/>
      <c r="AX986" s="17"/>
      <c r="AY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8"/>
      <c r="N987" s="17"/>
      <c r="O987" s="17"/>
      <c r="P987" s="17"/>
      <c r="Q987" s="17"/>
      <c r="R987" s="17"/>
      <c r="S987" s="18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8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8"/>
      <c r="AV987" s="17"/>
      <c r="AW987" s="17"/>
      <c r="AX987" s="17"/>
      <c r="AY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/>
      <c r="N988" s="17"/>
      <c r="O988" s="17"/>
      <c r="P988" s="17"/>
      <c r="Q988" s="17"/>
      <c r="R988" s="17"/>
      <c r="S988" s="18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8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8"/>
      <c r="AV988" s="17"/>
      <c r="AW988" s="17"/>
      <c r="AX988" s="17"/>
      <c r="AY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/>
      <c r="N989" s="17"/>
      <c r="O989" s="17"/>
      <c r="P989" s="17"/>
      <c r="Q989" s="17"/>
      <c r="R989" s="17"/>
      <c r="S989" s="18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8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8"/>
      <c r="AV989" s="17"/>
      <c r="AW989" s="17"/>
      <c r="AX989" s="17"/>
      <c r="AY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8"/>
      <c r="N990" s="17"/>
      <c r="O990" s="17"/>
      <c r="P990" s="17"/>
      <c r="Q990" s="17"/>
      <c r="R990" s="17"/>
      <c r="S990" s="18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8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8"/>
      <c r="AV990" s="17"/>
      <c r="AW990" s="17"/>
      <c r="AX990" s="17"/>
      <c r="AY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/>
      <c r="N991" s="17"/>
      <c r="O991" s="17"/>
      <c r="P991" s="17"/>
      <c r="Q991" s="17"/>
      <c r="R991" s="17"/>
      <c r="S991" s="18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8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8"/>
      <c r="AV991" s="17"/>
      <c r="AW991" s="17"/>
      <c r="AX991" s="17"/>
      <c r="AY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/>
      <c r="N992" s="17"/>
      <c r="O992" s="17"/>
      <c r="P992" s="17"/>
      <c r="Q992" s="17"/>
      <c r="R992" s="17"/>
      <c r="S992" s="18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8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8"/>
      <c r="AV992" s="17"/>
      <c r="AW992" s="17"/>
      <c r="AX992" s="17"/>
      <c r="AY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8"/>
      <c r="N993" s="17"/>
      <c r="O993" s="17"/>
      <c r="P993" s="17"/>
      <c r="Q993" s="17"/>
      <c r="R993" s="17"/>
      <c r="S993" s="18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8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8"/>
      <c r="AV993" s="17"/>
      <c r="AW993" s="17"/>
      <c r="AX993" s="17"/>
      <c r="AY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8"/>
      <c r="N994" s="17"/>
      <c r="O994" s="17"/>
      <c r="P994" s="17"/>
      <c r="Q994" s="17"/>
      <c r="R994" s="17"/>
      <c r="S994" s="18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8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8"/>
      <c r="AV994" s="17"/>
      <c r="AW994" s="17"/>
      <c r="AX994" s="17"/>
      <c r="AY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8"/>
      <c r="N995" s="17"/>
      <c r="O995" s="17"/>
      <c r="P995" s="17"/>
      <c r="Q995" s="17"/>
      <c r="R995" s="17"/>
      <c r="S995" s="18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8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8"/>
      <c r="AV995" s="17"/>
      <c r="AW995" s="17"/>
      <c r="AX995" s="17"/>
      <c r="AY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8"/>
      <c r="N996" s="17"/>
      <c r="O996" s="17"/>
      <c r="P996" s="17"/>
      <c r="Q996" s="17"/>
      <c r="R996" s="17"/>
      <c r="S996" s="18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8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8"/>
      <c r="AV996" s="17"/>
      <c r="AW996" s="17"/>
      <c r="AX996" s="17"/>
      <c r="AY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8"/>
      <c r="N997" s="17"/>
      <c r="O997" s="17"/>
      <c r="P997" s="17"/>
      <c r="Q997" s="17"/>
      <c r="R997" s="17"/>
      <c r="S997" s="18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8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8"/>
      <c r="AV997" s="17"/>
      <c r="AW997" s="17"/>
      <c r="AX997" s="17"/>
      <c r="AY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8"/>
      <c r="N998" s="17"/>
      <c r="O998" s="17"/>
      <c r="P998" s="17"/>
      <c r="Q998" s="17"/>
      <c r="R998" s="17"/>
      <c r="S998" s="18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8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8"/>
      <c r="AV998" s="17"/>
      <c r="AW998" s="17"/>
      <c r="AX998" s="17"/>
      <c r="AY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/>
      <c r="N999" s="17"/>
      <c r="O999" s="17"/>
      <c r="P999" s="17"/>
      <c r="Q999" s="17"/>
      <c r="R999" s="17"/>
      <c r="S999" s="18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8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8"/>
      <c r="AV999" s="17"/>
      <c r="AW999" s="17"/>
      <c r="AX999" s="17"/>
      <c r="AY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8"/>
      <c r="N1000" s="17"/>
      <c r="O1000" s="17"/>
      <c r="P1000" s="17"/>
      <c r="Q1000" s="17"/>
      <c r="R1000" s="17"/>
      <c r="S1000" s="18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8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8"/>
      <c r="AV1000" s="17"/>
      <c r="AW1000" s="17"/>
      <c r="AX1000" s="17"/>
      <c r="AY1000" s="17"/>
    </row>
  </sheetData>
  <mergeCells count="5">
    <mergeCell ref="A1:K1"/>
    <mergeCell ref="O1:Q1"/>
    <mergeCell ref="U1:AE1"/>
    <mergeCell ref="AI1:AS1"/>
    <mergeCell ref="AW1:AY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6" width="7.88"/>
    <col customWidth="1" min="7" max="7" width="1.13"/>
    <col customWidth="1" min="8" max="8" width="10.5"/>
    <col customWidth="1" min="9" max="9" width="12.25"/>
    <col customWidth="1" min="10" max="10" width="15.75"/>
    <col customWidth="1" min="11" max="11" width="12.88"/>
    <col customWidth="1" min="12" max="12" width="1.13"/>
    <col customWidth="1" min="13" max="14" width="12.88"/>
    <col customWidth="1" min="15" max="15" width="7.63"/>
    <col customWidth="1" min="16" max="16" width="5.75"/>
    <col customWidth="1" min="17" max="17" width="7.88"/>
    <col customWidth="1" min="18" max="18" width="12.88"/>
    <col customWidth="1" min="19" max="19" width="1.13"/>
    <col customWidth="1" min="20" max="26" width="7.88"/>
    <col customWidth="1" min="27" max="27" width="1.13"/>
    <col customWidth="1" min="28" max="28" width="14.38"/>
    <col customWidth="1" min="29" max="29" width="7.88"/>
    <col customWidth="1" min="30" max="30" width="16.13"/>
    <col customWidth="1" min="31" max="32" width="7.88"/>
    <col customWidth="1" min="33" max="34" width="1.13"/>
    <col customWidth="1" min="35" max="35" width="13.63"/>
    <col customWidth="1" min="36" max="36" width="14.38"/>
    <col customWidth="1" min="37" max="37" width="9.38"/>
  </cols>
  <sheetData>
    <row r="1">
      <c r="A1" s="91" t="s">
        <v>413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>
      <c r="A3" s="19" t="s">
        <v>414</v>
      </c>
      <c r="B3" s="20"/>
      <c r="C3" s="20"/>
      <c r="D3" s="20"/>
      <c r="E3" s="20"/>
      <c r="F3" s="21"/>
      <c r="G3" s="17"/>
      <c r="H3" s="19" t="s">
        <v>415</v>
      </c>
      <c r="I3" s="20"/>
      <c r="J3" s="20"/>
      <c r="K3" s="21"/>
      <c r="L3" s="17"/>
      <c r="M3" s="19" t="s">
        <v>416</v>
      </c>
      <c r="N3" s="20"/>
      <c r="O3" s="20"/>
      <c r="P3" s="20"/>
      <c r="Q3" s="20"/>
      <c r="R3" s="21"/>
      <c r="S3" s="17"/>
      <c r="T3" s="19" t="s">
        <v>417</v>
      </c>
      <c r="U3" s="20"/>
      <c r="V3" s="20"/>
      <c r="W3" s="20"/>
      <c r="X3" s="20"/>
      <c r="Y3" s="20"/>
      <c r="Z3" s="21"/>
      <c r="AA3" s="17"/>
      <c r="AB3" s="19" t="s">
        <v>418</v>
      </c>
      <c r="AC3" s="20"/>
      <c r="AD3" s="20"/>
      <c r="AE3" s="20"/>
      <c r="AF3" s="20"/>
      <c r="AG3" s="21"/>
      <c r="AH3" s="17"/>
      <c r="AI3" s="19" t="s">
        <v>419</v>
      </c>
      <c r="AJ3" s="20"/>
      <c r="AK3" s="21"/>
    </row>
    <row r="4">
      <c r="A4" s="22"/>
      <c r="B4" s="17"/>
      <c r="C4" s="17"/>
      <c r="D4" s="17"/>
      <c r="E4" s="17"/>
      <c r="F4" s="23"/>
      <c r="G4" s="17"/>
      <c r="H4" s="22" t="s">
        <v>420</v>
      </c>
      <c r="I4" s="17"/>
      <c r="J4" s="17"/>
      <c r="K4" s="23"/>
      <c r="L4" s="17"/>
      <c r="M4" s="22" t="s">
        <v>420</v>
      </c>
      <c r="N4" s="17"/>
      <c r="O4" s="17"/>
      <c r="P4" s="17"/>
      <c r="Q4" s="17"/>
      <c r="R4" s="23"/>
      <c r="S4" s="17"/>
      <c r="T4" s="22" t="s">
        <v>420</v>
      </c>
      <c r="U4" s="17"/>
      <c r="V4" s="17"/>
      <c r="W4" s="17"/>
      <c r="X4" s="17"/>
      <c r="Y4" s="17"/>
      <c r="Z4" s="23"/>
      <c r="AA4" s="17"/>
      <c r="AB4" s="22" t="s">
        <v>420</v>
      </c>
      <c r="AC4" s="17"/>
      <c r="AD4" s="17"/>
      <c r="AE4" s="17"/>
      <c r="AF4" s="17"/>
      <c r="AG4" s="23"/>
      <c r="AH4" s="17"/>
      <c r="AI4" s="22" t="s">
        <v>421</v>
      </c>
      <c r="AJ4" s="17"/>
      <c r="AK4" s="23"/>
    </row>
    <row r="5">
      <c r="A5" s="22" t="s">
        <v>422</v>
      </c>
      <c r="B5" s="17"/>
      <c r="C5" s="17"/>
      <c r="D5" s="17"/>
      <c r="E5" s="17"/>
      <c r="F5" s="92">
        <v>0.1041</v>
      </c>
      <c r="G5" s="17"/>
      <c r="H5" s="22" t="s">
        <v>423</v>
      </c>
      <c r="I5" s="17"/>
      <c r="J5" s="17"/>
      <c r="K5" s="23"/>
      <c r="L5" s="17"/>
      <c r="M5" s="22" t="s">
        <v>424</v>
      </c>
      <c r="N5" s="17"/>
      <c r="O5" s="17"/>
      <c r="P5" s="17"/>
      <c r="Q5" s="17"/>
      <c r="R5" s="23"/>
      <c r="S5" s="17"/>
      <c r="T5" s="22" t="s">
        <v>425</v>
      </c>
      <c r="U5" s="17"/>
      <c r="V5" s="17"/>
      <c r="W5" s="17"/>
      <c r="X5" s="17"/>
      <c r="Y5" s="17"/>
      <c r="Z5" s="23"/>
      <c r="AA5" s="17"/>
      <c r="AB5" s="22" t="s">
        <v>426</v>
      </c>
      <c r="AC5" s="17"/>
      <c r="AD5" s="17"/>
      <c r="AE5" s="17"/>
      <c r="AF5" s="17"/>
      <c r="AG5" s="23"/>
      <c r="AH5" s="17"/>
      <c r="AI5" s="22" t="s">
        <v>420</v>
      </c>
      <c r="AJ5" s="17"/>
      <c r="AK5" s="23"/>
    </row>
    <row r="6">
      <c r="A6" s="22" t="s">
        <v>427</v>
      </c>
      <c r="B6" s="17"/>
      <c r="C6" s="17"/>
      <c r="D6" s="17"/>
      <c r="E6" s="17"/>
      <c r="F6" s="32">
        <v>0.0917</v>
      </c>
      <c r="G6" s="17"/>
      <c r="H6" s="22" t="s">
        <v>428</v>
      </c>
      <c r="I6" s="17"/>
      <c r="J6" s="17"/>
      <c r="K6" s="23"/>
      <c r="L6" s="17"/>
      <c r="M6" s="22" t="s">
        <v>429</v>
      </c>
      <c r="N6" s="17"/>
      <c r="O6" s="17"/>
      <c r="P6" s="17"/>
      <c r="Q6" s="17"/>
      <c r="R6" s="23"/>
      <c r="S6" s="17"/>
      <c r="T6" s="22"/>
      <c r="U6" s="17"/>
      <c r="V6" s="17"/>
      <c r="W6" s="17"/>
      <c r="X6" s="17"/>
      <c r="Y6" s="17"/>
      <c r="Z6" s="23"/>
      <c r="AA6" s="17"/>
      <c r="AB6" s="25"/>
      <c r="AC6" s="17"/>
      <c r="AD6" s="17"/>
      <c r="AE6" s="17"/>
      <c r="AF6" s="17"/>
      <c r="AG6" s="23"/>
      <c r="AH6" s="17"/>
      <c r="AI6" s="22" t="s">
        <v>430</v>
      </c>
      <c r="AJ6" s="17"/>
      <c r="AK6" s="23"/>
    </row>
    <row r="7">
      <c r="A7" s="22" t="s">
        <v>431</v>
      </c>
      <c r="B7" s="17"/>
      <c r="C7" s="17"/>
      <c r="D7" s="17"/>
      <c r="E7" s="17"/>
      <c r="F7" s="32">
        <v>0.1415</v>
      </c>
      <c r="G7" s="17"/>
      <c r="H7" s="22" t="s">
        <v>432</v>
      </c>
      <c r="I7" s="17"/>
      <c r="J7" s="17"/>
      <c r="K7" s="23"/>
      <c r="L7" s="17"/>
      <c r="M7" s="25"/>
      <c r="N7" s="17"/>
      <c r="O7" s="17"/>
      <c r="P7" s="17"/>
      <c r="Q7" s="17"/>
      <c r="R7" s="23"/>
      <c r="S7" s="17"/>
      <c r="T7" s="25"/>
      <c r="U7" s="17"/>
      <c r="V7" s="17"/>
      <c r="W7" s="17"/>
      <c r="X7" s="17"/>
      <c r="Y7" s="17"/>
      <c r="Z7" s="23"/>
      <c r="AA7" s="17"/>
      <c r="AB7" s="22"/>
      <c r="AC7" s="17"/>
      <c r="AD7" s="17"/>
      <c r="AE7" s="17"/>
      <c r="AF7" s="17"/>
      <c r="AG7" s="23"/>
      <c r="AH7" s="17"/>
      <c r="AI7" s="22"/>
      <c r="AJ7" s="17"/>
      <c r="AK7" s="23"/>
    </row>
    <row r="8">
      <c r="A8" s="22" t="s">
        <v>433</v>
      </c>
      <c r="B8" s="17"/>
      <c r="C8" s="17"/>
      <c r="D8" s="17"/>
      <c r="E8" s="17"/>
      <c r="F8" s="32">
        <v>0.1132</v>
      </c>
      <c r="G8" s="17"/>
      <c r="H8" s="25"/>
      <c r="I8" s="17"/>
      <c r="J8" s="17"/>
      <c r="K8" s="23"/>
      <c r="L8" s="17"/>
      <c r="M8" s="22"/>
      <c r="N8" s="17"/>
      <c r="O8" s="17"/>
      <c r="P8" s="17"/>
      <c r="Q8" s="17"/>
      <c r="R8" s="23"/>
      <c r="S8" s="17"/>
      <c r="T8" s="22"/>
      <c r="U8" s="17"/>
      <c r="V8" s="17"/>
      <c r="W8" s="17"/>
      <c r="X8" s="17"/>
      <c r="Y8" s="17"/>
      <c r="Z8" s="23"/>
      <c r="AA8" s="17"/>
      <c r="AB8" s="22" t="s">
        <v>434</v>
      </c>
      <c r="AC8" s="17"/>
      <c r="AD8" s="17"/>
      <c r="AE8" s="17"/>
      <c r="AF8" s="17"/>
      <c r="AG8" s="23"/>
      <c r="AH8" s="17"/>
      <c r="AI8" s="22" t="s">
        <v>435</v>
      </c>
      <c r="AJ8" s="17"/>
      <c r="AK8" s="93">
        <v>24.5</v>
      </c>
    </row>
    <row r="9">
      <c r="A9" s="22"/>
      <c r="B9" s="17"/>
      <c r="C9" s="17"/>
      <c r="D9" s="17"/>
      <c r="E9" s="17"/>
      <c r="F9" s="32"/>
      <c r="G9" s="17"/>
      <c r="H9" s="22"/>
      <c r="I9" s="17"/>
      <c r="J9" s="17"/>
      <c r="K9" s="23"/>
      <c r="L9" s="17"/>
      <c r="M9" s="22" t="s">
        <v>436</v>
      </c>
      <c r="N9" s="17"/>
      <c r="O9" s="17"/>
      <c r="P9" s="17"/>
      <c r="Q9" s="17"/>
      <c r="R9" s="23"/>
      <c r="S9" s="17"/>
      <c r="T9" s="22"/>
      <c r="U9" s="17"/>
      <c r="V9" s="17"/>
      <c r="W9" s="17"/>
      <c r="X9" s="17"/>
      <c r="Y9" s="17"/>
      <c r="Z9" s="23"/>
      <c r="AA9" s="17"/>
      <c r="AB9" s="25"/>
      <c r="AC9" s="17"/>
      <c r="AD9" s="17"/>
      <c r="AE9" s="17"/>
      <c r="AF9" s="17"/>
      <c r="AG9" s="23"/>
      <c r="AH9" s="17"/>
      <c r="AI9" s="22" t="s">
        <v>437</v>
      </c>
      <c r="AJ9" s="17"/>
      <c r="AK9" s="93">
        <v>1.05</v>
      </c>
    </row>
    <row r="10">
      <c r="A10" s="22" t="s">
        <v>438</v>
      </c>
      <c r="B10" s="17"/>
      <c r="C10" s="17"/>
      <c r="D10" s="17"/>
      <c r="E10" s="17"/>
      <c r="F10" s="32">
        <v>0.0904</v>
      </c>
      <c r="G10" s="17"/>
      <c r="H10" s="22" t="s">
        <v>439</v>
      </c>
      <c r="I10" s="36" t="s">
        <v>440</v>
      </c>
      <c r="J10" s="17" t="s">
        <v>441</v>
      </c>
      <c r="K10" s="37" t="s">
        <v>442</v>
      </c>
      <c r="L10" s="36"/>
      <c r="M10" s="41"/>
      <c r="N10" s="36"/>
      <c r="O10" s="36"/>
      <c r="P10" s="36"/>
      <c r="Q10" s="36"/>
      <c r="R10" s="37"/>
      <c r="S10" s="17"/>
      <c r="T10" s="25"/>
      <c r="U10" s="17"/>
      <c r="V10" s="17"/>
      <c r="W10" s="17"/>
      <c r="X10" s="17"/>
      <c r="Y10" s="17"/>
      <c r="Z10" s="23"/>
      <c r="AA10" s="17"/>
      <c r="AB10" s="25"/>
      <c r="AC10" s="17"/>
      <c r="AD10" s="17"/>
      <c r="AE10" s="17"/>
      <c r="AF10" s="17"/>
      <c r="AG10" s="23"/>
      <c r="AH10" s="17"/>
      <c r="AI10" s="22" t="s">
        <v>397</v>
      </c>
      <c r="AJ10" s="17"/>
      <c r="AK10" s="32">
        <v>0.0751</v>
      </c>
    </row>
    <row r="11">
      <c r="A11" s="22" t="s">
        <v>443</v>
      </c>
      <c r="B11" s="17"/>
      <c r="C11" s="17"/>
      <c r="D11" s="17"/>
      <c r="E11" s="17"/>
      <c r="F11" s="32">
        <v>0.0826</v>
      </c>
      <c r="G11" s="17"/>
      <c r="H11" s="22">
        <v>2003.0</v>
      </c>
      <c r="I11" s="17">
        <f>'Income Statement'!I48</f>
        <v>-0.19</v>
      </c>
      <c r="J11" s="33">
        <v>0.132</v>
      </c>
      <c r="K11" s="94" t="s">
        <v>444</v>
      </c>
      <c r="L11" s="95"/>
      <c r="M11" s="96" t="s">
        <v>439</v>
      </c>
      <c r="N11" s="95" t="s">
        <v>445</v>
      </c>
      <c r="O11" s="95" t="s">
        <v>446</v>
      </c>
      <c r="P11" s="95" t="s">
        <v>447</v>
      </c>
      <c r="Q11" s="95" t="s">
        <v>440</v>
      </c>
      <c r="R11" s="94" t="s">
        <v>448</v>
      </c>
      <c r="S11" s="17"/>
      <c r="T11" s="22" t="s">
        <v>439</v>
      </c>
      <c r="U11" s="17"/>
      <c r="V11" s="17" t="s">
        <v>449</v>
      </c>
      <c r="W11" s="17"/>
      <c r="X11" s="17" t="s">
        <v>450</v>
      </c>
      <c r="Y11" s="17"/>
      <c r="Z11" s="23"/>
      <c r="AA11" s="17"/>
      <c r="AB11" s="22" t="s">
        <v>451</v>
      </c>
      <c r="AC11" s="17"/>
      <c r="AD11" s="17"/>
      <c r="AE11" s="17"/>
      <c r="AF11" s="17"/>
      <c r="AG11" s="23"/>
      <c r="AH11" s="17"/>
      <c r="AI11" s="22"/>
      <c r="AJ11" s="17"/>
      <c r="AK11" s="23"/>
    </row>
    <row r="12">
      <c r="A12" s="22" t="s">
        <v>452</v>
      </c>
      <c r="B12" s="17"/>
      <c r="C12" s="17"/>
      <c r="D12" s="17"/>
      <c r="E12" s="17"/>
      <c r="F12" s="32">
        <v>0.0889</v>
      </c>
      <c r="G12" s="17"/>
      <c r="H12" s="22">
        <v>2004.0</v>
      </c>
      <c r="I12" s="17">
        <f>'Income Statement'!J48</f>
        <v>0.11</v>
      </c>
      <c r="J12" s="33">
        <f t="shared" ref="J12:J20" si="1">(I12-I11)/I11</f>
        <v>-1.578947368</v>
      </c>
      <c r="K12" s="97">
        <f t="shared" ref="K12:K20" si="2">LN(I12)</f>
        <v>-2.207274913</v>
      </c>
      <c r="L12" s="27"/>
      <c r="M12" s="22">
        <v>2003.0</v>
      </c>
      <c r="N12" s="98" t="s">
        <v>444</v>
      </c>
      <c r="O12" s="33">
        <f>Ratios!I20/100</f>
        <v>0</v>
      </c>
      <c r="P12" s="31">
        <f>'Income Statement'!I64</f>
        <v>0.03</v>
      </c>
      <c r="Q12" s="31">
        <v>-0.19</v>
      </c>
      <c r="R12" s="99" t="s">
        <v>444</v>
      </c>
      <c r="S12" s="17"/>
      <c r="T12" s="22">
        <v>1996.0</v>
      </c>
      <c r="U12" s="17"/>
      <c r="V12" s="100">
        <v>0.7045787970040923</v>
      </c>
      <c r="W12" s="17"/>
      <c r="X12" s="33">
        <f>Ratios!B75/100</f>
        <v>0.037</v>
      </c>
      <c r="Y12" s="17"/>
      <c r="Z12" s="23"/>
      <c r="AA12" s="17"/>
      <c r="AB12" s="22"/>
      <c r="AC12" s="17"/>
      <c r="AD12" s="17"/>
      <c r="AE12" s="17"/>
      <c r="AF12" s="17"/>
      <c r="AG12" s="23"/>
      <c r="AH12" s="17"/>
      <c r="AI12" s="22" t="s">
        <v>453</v>
      </c>
      <c r="AJ12" s="17"/>
      <c r="AK12" s="32">
        <v>0.0322</v>
      </c>
    </row>
    <row r="13">
      <c r="A13" s="22" t="s">
        <v>454</v>
      </c>
      <c r="B13" s="17"/>
      <c r="C13" s="17"/>
      <c r="D13" s="17"/>
      <c r="E13" s="17"/>
      <c r="F13" s="32">
        <v>0.059</v>
      </c>
      <c r="G13" s="17"/>
      <c r="H13" s="22">
        <v>2005.0</v>
      </c>
      <c r="I13" s="17">
        <f>'Income Statement'!K48</f>
        <v>0.32</v>
      </c>
      <c r="J13" s="33">
        <f t="shared" si="1"/>
        <v>1.909090909</v>
      </c>
      <c r="K13" s="97">
        <f t="shared" si="2"/>
        <v>-1.139434283</v>
      </c>
      <c r="L13" s="27"/>
      <c r="M13" s="22">
        <v>2004.0</v>
      </c>
      <c r="N13" s="27">
        <f t="shared" ref="N13:N16" si="3">1-P13/Q13</f>
        <v>0.2727272727</v>
      </c>
      <c r="O13" s="33">
        <f>Ratios!J20/100</f>
        <v>0.052</v>
      </c>
      <c r="P13" s="31">
        <f>'Income Statement'!J64</f>
        <v>0.08</v>
      </c>
      <c r="Q13" s="31">
        <v>0.11</v>
      </c>
      <c r="R13" s="32">
        <f t="shared" ref="R13:R16" si="4">N13*O13</f>
        <v>0.01418181818</v>
      </c>
      <c r="S13" s="17"/>
      <c r="T13" s="22">
        <v>1997.0</v>
      </c>
      <c r="U13" s="17"/>
      <c r="V13" s="100">
        <v>2.020512820512821</v>
      </c>
      <c r="W13" s="17"/>
      <c r="X13" s="33">
        <f>Ratios!C75/100</f>
        <v>-0.013</v>
      </c>
      <c r="Y13" s="17"/>
      <c r="Z13" s="23"/>
      <c r="AA13" s="17"/>
      <c r="AB13" s="22"/>
      <c r="AC13" s="17"/>
      <c r="AD13" s="17"/>
      <c r="AE13" s="17"/>
      <c r="AF13" s="17"/>
      <c r="AG13" s="23"/>
      <c r="AH13" s="17"/>
      <c r="AI13" s="22"/>
      <c r="AJ13" s="17"/>
      <c r="AK13" s="23"/>
    </row>
    <row r="14">
      <c r="A14" s="22"/>
      <c r="B14" s="17"/>
      <c r="C14" s="17"/>
      <c r="D14" s="17"/>
      <c r="E14" s="17"/>
      <c r="F14" s="32"/>
      <c r="G14" s="17"/>
      <c r="H14" s="22">
        <v>2006.0</v>
      </c>
      <c r="I14" s="17">
        <f>'Income Statement'!L48</f>
        <v>1.06</v>
      </c>
      <c r="J14" s="33">
        <f t="shared" si="1"/>
        <v>2.3125</v>
      </c>
      <c r="K14" s="97">
        <f t="shared" si="2"/>
        <v>0.05826890812</v>
      </c>
      <c r="L14" s="27"/>
      <c r="M14" s="22">
        <v>2005.0</v>
      </c>
      <c r="N14" s="27">
        <f t="shared" si="3"/>
        <v>0.40625</v>
      </c>
      <c r="O14" s="33">
        <f>Ratios!K20/100</f>
        <v>0.088</v>
      </c>
      <c r="P14" s="31">
        <f>'Income Statement'!K64</f>
        <v>0.19</v>
      </c>
      <c r="Q14" s="31">
        <v>0.32</v>
      </c>
      <c r="R14" s="32">
        <f t="shared" si="4"/>
        <v>0.03575</v>
      </c>
      <c r="S14" s="17"/>
      <c r="T14" s="22">
        <v>1998.0</v>
      </c>
      <c r="U14" s="17"/>
      <c r="V14" s="100">
        <v>1.358124391119315</v>
      </c>
      <c r="W14" s="17"/>
      <c r="X14" s="33">
        <f>Ratios!D75/100</f>
        <v>0.005</v>
      </c>
      <c r="Y14" s="17"/>
      <c r="Z14" s="23"/>
      <c r="AA14" s="17"/>
      <c r="AB14" s="22" t="s">
        <v>455</v>
      </c>
      <c r="AC14" s="17"/>
      <c r="AD14" s="17"/>
      <c r="AE14" s="17"/>
      <c r="AF14" s="17"/>
      <c r="AG14" s="23"/>
      <c r="AH14" s="17"/>
      <c r="AI14" s="22" t="s">
        <v>456</v>
      </c>
      <c r="AJ14" s="17"/>
      <c r="AK14" s="23"/>
    </row>
    <row r="15">
      <c r="A15" s="22" t="s">
        <v>457</v>
      </c>
      <c r="B15" s="17"/>
      <c r="C15" s="17"/>
      <c r="D15" s="17"/>
      <c r="E15" s="17"/>
      <c r="F15" s="32">
        <v>0.0752</v>
      </c>
      <c r="G15" s="17"/>
      <c r="H15" s="22">
        <v>2007.0</v>
      </c>
      <c r="I15" s="17">
        <f>'Income Statement'!M48</f>
        <v>0.9</v>
      </c>
      <c r="J15" s="33">
        <f t="shared" si="1"/>
        <v>-0.1509433962</v>
      </c>
      <c r="K15" s="97">
        <f t="shared" si="2"/>
        <v>-0.1053605157</v>
      </c>
      <c r="L15" s="27"/>
      <c r="M15" s="22">
        <v>2006.0</v>
      </c>
      <c r="N15" s="27">
        <f t="shared" si="3"/>
        <v>0.7735849057</v>
      </c>
      <c r="O15" s="33">
        <f>Ratios!L20/100</f>
        <v>0.26</v>
      </c>
      <c r="P15" s="31">
        <f>'Income Statement'!L64</f>
        <v>0.24</v>
      </c>
      <c r="Q15" s="31">
        <v>1.06</v>
      </c>
      <c r="R15" s="32">
        <f t="shared" si="4"/>
        <v>0.2011320755</v>
      </c>
      <c r="S15" s="17"/>
      <c r="T15" s="22">
        <v>1999.0</v>
      </c>
      <c r="U15" s="17"/>
      <c r="V15" s="100">
        <v>1.354670772840593</v>
      </c>
      <c r="W15" s="17"/>
      <c r="X15" s="33">
        <f>Ratios!E75/100</f>
        <v>0.015</v>
      </c>
      <c r="Y15" s="17"/>
      <c r="Z15" s="23"/>
      <c r="AA15" s="17"/>
      <c r="AB15" s="25"/>
      <c r="AC15" s="17"/>
      <c r="AD15" s="17"/>
      <c r="AE15" s="17"/>
      <c r="AF15" s="17"/>
      <c r="AG15" s="23"/>
      <c r="AH15" s="17"/>
      <c r="AI15" s="22" t="s">
        <v>420</v>
      </c>
      <c r="AJ15" s="17"/>
      <c r="AK15" s="23"/>
    </row>
    <row r="16">
      <c r="A16" s="22" t="s">
        <v>458</v>
      </c>
      <c r="B16" s="17"/>
      <c r="C16" s="17"/>
      <c r="D16" s="17"/>
      <c r="E16" s="17"/>
      <c r="F16" s="32">
        <v>0.0414</v>
      </c>
      <c r="G16" s="17"/>
      <c r="H16" s="22">
        <v>2008.0</v>
      </c>
      <c r="I16" s="17">
        <f>'Income Statement'!N48</f>
        <v>0.31</v>
      </c>
      <c r="J16" s="33">
        <f t="shared" si="1"/>
        <v>-0.6555555556</v>
      </c>
      <c r="K16" s="97">
        <f t="shared" si="2"/>
        <v>-1.171182982</v>
      </c>
      <c r="L16" s="27"/>
      <c r="M16" s="22">
        <v>2007.0</v>
      </c>
      <c r="N16" s="27">
        <f t="shared" si="3"/>
        <v>0.02222222222</v>
      </c>
      <c r="O16" s="33">
        <f>Ratios!M20/100</f>
        <v>0.195</v>
      </c>
      <c r="P16" s="31">
        <f>'Income Statement'!M64</f>
        <v>0.88</v>
      </c>
      <c r="Q16" s="31">
        <v>0.9</v>
      </c>
      <c r="R16" s="32">
        <f t="shared" si="4"/>
        <v>0.004333333333</v>
      </c>
      <c r="S16" s="17"/>
      <c r="T16" s="22">
        <v>2000.0</v>
      </c>
      <c r="U16" s="17"/>
      <c r="V16" s="100">
        <v>2.906997758982144</v>
      </c>
      <c r="W16" s="17"/>
      <c r="X16" s="33">
        <f>Ratios!F75/100</f>
        <v>0.03</v>
      </c>
      <c r="Y16" s="17"/>
      <c r="Z16" s="23"/>
      <c r="AA16" s="17"/>
      <c r="AB16" s="22"/>
      <c r="AC16" s="17"/>
      <c r="AD16" s="17"/>
      <c r="AE16" s="17"/>
      <c r="AF16" s="17"/>
      <c r="AG16" s="23"/>
      <c r="AH16" s="17"/>
      <c r="AI16" s="22" t="s">
        <v>459</v>
      </c>
      <c r="AJ16" s="17"/>
      <c r="AK16" s="23"/>
    </row>
    <row r="17">
      <c r="A17" s="22" t="s">
        <v>460</v>
      </c>
      <c r="B17" s="17"/>
      <c r="C17" s="17"/>
      <c r="D17" s="17"/>
      <c r="E17" s="17"/>
      <c r="F17" s="32">
        <v>0.083</v>
      </c>
      <c r="G17" s="17"/>
      <c r="H17" s="22">
        <v>2009.0</v>
      </c>
      <c r="I17" s="17">
        <f>'Income Statement'!O48</f>
        <v>1.25</v>
      </c>
      <c r="J17" s="33">
        <f t="shared" si="1"/>
        <v>3.032258065</v>
      </c>
      <c r="K17" s="97">
        <f t="shared" si="2"/>
        <v>0.2231435513</v>
      </c>
      <c r="L17" s="27"/>
      <c r="M17" s="22">
        <v>2008.0</v>
      </c>
      <c r="N17" s="95" t="s">
        <v>444</v>
      </c>
      <c r="O17" s="33">
        <f>Ratios!N20/100</f>
        <v>0.298</v>
      </c>
      <c r="P17" s="31">
        <f>'Income Statement'!N64</f>
        <v>0.71</v>
      </c>
      <c r="Q17" s="31">
        <v>0.31</v>
      </c>
      <c r="R17" s="99" t="s">
        <v>444</v>
      </c>
      <c r="S17" s="17"/>
      <c r="T17" s="22">
        <v>2001.0</v>
      </c>
      <c r="U17" s="17"/>
      <c r="V17" s="101" t="s">
        <v>444</v>
      </c>
      <c r="W17" s="17"/>
      <c r="X17" s="33">
        <f>Ratios!G75/100</f>
        <v>-0.023</v>
      </c>
      <c r="Y17" s="17"/>
      <c r="Z17" s="23"/>
      <c r="AA17" s="17"/>
      <c r="AB17" s="22" t="s">
        <v>461</v>
      </c>
      <c r="AC17" s="17"/>
      <c r="AD17" s="17"/>
      <c r="AE17" s="17"/>
      <c r="AF17" s="17"/>
      <c r="AG17" s="23"/>
      <c r="AH17" s="17"/>
      <c r="AI17" s="22"/>
      <c r="AJ17" s="17"/>
      <c r="AK17" s="23"/>
    </row>
    <row r="18">
      <c r="A18" s="22" t="s">
        <v>462</v>
      </c>
      <c r="B18" s="17"/>
      <c r="C18" s="17"/>
      <c r="D18" s="17"/>
      <c r="E18" s="17"/>
      <c r="F18" s="32">
        <v>0.0643</v>
      </c>
      <c r="G18" s="17"/>
      <c r="H18" s="22">
        <v>2010.0</v>
      </c>
      <c r="I18" s="17">
        <f>'Income Statement'!P48</f>
        <v>1.23</v>
      </c>
      <c r="J18" s="33">
        <f t="shared" si="1"/>
        <v>-0.016</v>
      </c>
      <c r="K18" s="97">
        <f t="shared" si="2"/>
        <v>0.2070141694</v>
      </c>
      <c r="L18" s="27"/>
      <c r="M18" s="22">
        <v>2009.0</v>
      </c>
      <c r="N18" s="27">
        <f t="shared" ref="N18:N22" si="5">1-P18/Q18</f>
        <v>0.344</v>
      </c>
      <c r="O18" s="33">
        <f>Ratios!O20/100</f>
        <v>0.214</v>
      </c>
      <c r="P18" s="31">
        <f>'Income Statement'!O64</f>
        <v>0.82</v>
      </c>
      <c r="Q18" s="31">
        <v>1.25</v>
      </c>
      <c r="R18" s="32">
        <f t="shared" ref="R18:R22" si="6">N18*O18</f>
        <v>0.073616</v>
      </c>
      <c r="S18" s="17"/>
      <c r="T18" s="22">
        <v>2002.0</v>
      </c>
      <c r="U18" s="17"/>
      <c r="V18" s="101" t="s">
        <v>444</v>
      </c>
      <c r="W18" s="17"/>
      <c r="X18" s="33">
        <f>Ratios!H75/100</f>
        <v>-0.046</v>
      </c>
      <c r="Y18" s="17"/>
      <c r="Z18" s="23"/>
      <c r="AA18" s="17"/>
      <c r="AB18" s="102" t="s">
        <v>463</v>
      </c>
      <c r="AC18" s="103" t="s">
        <v>464</v>
      </c>
      <c r="AD18" s="103" t="s">
        <v>465</v>
      </c>
      <c r="AE18" s="103" t="s">
        <v>466</v>
      </c>
      <c r="AF18" s="103" t="s">
        <v>467</v>
      </c>
      <c r="AG18" s="104"/>
      <c r="AH18" s="17"/>
      <c r="AI18" s="22" t="s">
        <v>435</v>
      </c>
      <c r="AJ18" s="17"/>
      <c r="AK18" s="93">
        <v>24.5</v>
      </c>
    </row>
    <row r="19">
      <c r="A19" s="22"/>
      <c r="B19" s="17"/>
      <c r="C19" s="17"/>
      <c r="D19" s="17"/>
      <c r="E19" s="17"/>
      <c r="F19" s="32"/>
      <c r="G19" s="17"/>
      <c r="H19" s="22">
        <v>2011.0</v>
      </c>
      <c r="I19" s="17">
        <f>'Income Statement'!Q48</f>
        <v>1.03</v>
      </c>
      <c r="J19" s="33">
        <f t="shared" si="1"/>
        <v>-0.162601626</v>
      </c>
      <c r="K19" s="97">
        <f t="shared" si="2"/>
        <v>0.02955880224</v>
      </c>
      <c r="L19" s="27"/>
      <c r="M19" s="22">
        <v>2010.0</v>
      </c>
      <c r="N19" s="27">
        <f t="shared" si="5"/>
        <v>0.3008130081</v>
      </c>
      <c r="O19" s="33">
        <f>Ratios!P20/100</f>
        <v>0.192</v>
      </c>
      <c r="P19" s="31">
        <f>'Income Statement'!P64</f>
        <v>0.86</v>
      </c>
      <c r="Q19" s="31">
        <v>1.23</v>
      </c>
      <c r="R19" s="32">
        <f t="shared" si="6"/>
        <v>0.05775609756</v>
      </c>
      <c r="S19" s="17"/>
      <c r="T19" s="22">
        <v>2003.0</v>
      </c>
      <c r="U19" s="17"/>
      <c r="V19" s="100">
        <v>1.6623012590754525</v>
      </c>
      <c r="W19" s="17"/>
      <c r="X19" s="33">
        <f>Ratios!I75/100</f>
        <v>-0.009</v>
      </c>
      <c r="Y19" s="17"/>
      <c r="Z19" s="23"/>
      <c r="AA19" s="17"/>
      <c r="AB19" s="22" t="s">
        <v>468</v>
      </c>
      <c r="AC19" s="17">
        <v>1.145716</v>
      </c>
      <c r="AD19" s="17">
        <v>0.32951</v>
      </c>
      <c r="AE19" s="17">
        <v>3.477026</v>
      </c>
      <c r="AF19" s="17">
        <v>0.0011</v>
      </c>
      <c r="AG19" s="23"/>
      <c r="AH19" s="17"/>
      <c r="AI19" s="22" t="s">
        <v>469</v>
      </c>
      <c r="AJ19" s="17"/>
      <c r="AK19" s="105">
        <v>694.0</v>
      </c>
    </row>
    <row r="20">
      <c r="A20" s="22" t="s">
        <v>470</v>
      </c>
      <c r="B20" s="17"/>
      <c r="C20" s="17"/>
      <c r="D20" s="17"/>
      <c r="E20" s="17"/>
      <c r="F20" s="32">
        <v>0.152</v>
      </c>
      <c r="G20" s="17"/>
      <c r="H20" s="22">
        <v>2012.0</v>
      </c>
      <c r="I20" s="17">
        <f>'Income Statement'!R48</f>
        <v>1.62</v>
      </c>
      <c r="J20" s="33">
        <f t="shared" si="1"/>
        <v>0.572815534</v>
      </c>
      <c r="K20" s="97">
        <f t="shared" si="2"/>
        <v>0.4824261492</v>
      </c>
      <c r="L20" s="27"/>
      <c r="M20" s="22">
        <v>2011.0</v>
      </c>
      <c r="N20" s="27">
        <f t="shared" si="5"/>
        <v>0.1262135922</v>
      </c>
      <c r="O20" s="33">
        <f>Ratios!Q20/100</f>
        <v>0.192</v>
      </c>
      <c r="P20" s="31">
        <f>'Income Statement'!Q64</f>
        <v>0.9</v>
      </c>
      <c r="Q20" s="31">
        <v>1.03</v>
      </c>
      <c r="R20" s="32">
        <f t="shared" si="6"/>
        <v>0.02423300971</v>
      </c>
      <c r="S20" s="17"/>
      <c r="T20" s="22">
        <v>2004.0</v>
      </c>
      <c r="U20" s="17"/>
      <c r="V20" s="100">
        <v>0.4753455091029752</v>
      </c>
      <c r="W20" s="17"/>
      <c r="X20" s="33">
        <f>Ratios!J75/100</f>
        <v>0.019</v>
      </c>
      <c r="Y20" s="17"/>
      <c r="Z20" s="23"/>
      <c r="AA20" s="17"/>
      <c r="AB20" s="22" t="s">
        <v>471</v>
      </c>
      <c r="AC20" s="17">
        <v>-0.339573</v>
      </c>
      <c r="AD20" s="17">
        <v>0.140582</v>
      </c>
      <c r="AE20" s="17">
        <v>-2.415483</v>
      </c>
      <c r="AF20" s="17">
        <v>0.0195</v>
      </c>
      <c r="AG20" s="23"/>
      <c r="AH20" s="17"/>
      <c r="AI20" s="22" t="s">
        <v>472</v>
      </c>
      <c r="AJ20" s="17"/>
      <c r="AK20" s="32">
        <v>0.0677</v>
      </c>
    </row>
    <row r="21" ht="15.75" customHeight="1">
      <c r="A21" s="22" t="s">
        <v>473</v>
      </c>
      <c r="B21" s="17"/>
      <c r="C21" s="17"/>
      <c r="D21" s="17"/>
      <c r="E21" s="17"/>
      <c r="F21" s="32">
        <v>0.147</v>
      </c>
      <c r="G21" s="17"/>
      <c r="H21" s="22"/>
      <c r="I21" s="17"/>
      <c r="J21" s="17"/>
      <c r="K21" s="23"/>
      <c r="L21" s="17"/>
      <c r="M21" s="22">
        <v>2012.0</v>
      </c>
      <c r="N21" s="27">
        <f t="shared" si="5"/>
        <v>0.3703703704</v>
      </c>
      <c r="O21" s="33">
        <f>Ratios!R20/100</f>
        <v>0.203</v>
      </c>
      <c r="P21" s="31">
        <f>'Income Statement'!R64</f>
        <v>1.02</v>
      </c>
      <c r="Q21" s="31">
        <v>1.62</v>
      </c>
      <c r="R21" s="32">
        <f t="shared" si="6"/>
        <v>0.07518518519</v>
      </c>
      <c r="S21" s="17"/>
      <c r="T21" s="22">
        <v>2005.0</v>
      </c>
      <c r="U21" s="17"/>
      <c r="V21" s="100">
        <v>0.1670576526622593</v>
      </c>
      <c r="W21" s="17"/>
      <c r="X21" s="33">
        <f>Ratios!K75/100</f>
        <v>0.034</v>
      </c>
      <c r="Y21" s="17"/>
      <c r="Z21" s="23"/>
      <c r="AA21" s="17"/>
      <c r="AB21" s="102" t="s">
        <v>474</v>
      </c>
      <c r="AC21" s="103">
        <v>-0.815233</v>
      </c>
      <c r="AD21" s="103">
        <v>0.326927</v>
      </c>
      <c r="AE21" s="103">
        <v>-2.49362</v>
      </c>
      <c r="AF21" s="103">
        <v>0.0161</v>
      </c>
      <c r="AG21" s="104"/>
      <c r="AH21" s="17"/>
      <c r="AI21" s="22"/>
      <c r="AJ21" s="17"/>
      <c r="AK21" s="23"/>
    </row>
    <row r="22" ht="15.75" customHeight="1">
      <c r="A22" s="22"/>
      <c r="B22" s="17"/>
      <c r="C22" s="17"/>
      <c r="D22" s="17"/>
      <c r="E22" s="17"/>
      <c r="F22" s="23"/>
      <c r="G22" s="17"/>
      <c r="H22" s="22" t="s">
        <v>475</v>
      </c>
      <c r="I22" s="17"/>
      <c r="J22" s="17"/>
      <c r="K22" s="23"/>
      <c r="L22" s="17"/>
      <c r="M22" s="106" t="s">
        <v>476</v>
      </c>
      <c r="N22" s="31">
        <f t="shared" si="5"/>
        <v>0.3823529412</v>
      </c>
      <c r="O22" s="50">
        <v>0.2</v>
      </c>
      <c r="P22" s="17">
        <v>1.05</v>
      </c>
      <c r="Q22" s="17">
        <v>1.7</v>
      </c>
      <c r="R22" s="32">
        <f t="shared" si="6"/>
        <v>0.07647058824</v>
      </c>
      <c r="S22" s="17"/>
      <c r="T22" s="22">
        <v>2006.0</v>
      </c>
      <c r="U22" s="17"/>
      <c r="V22" s="100">
        <v>0.3354622709846114</v>
      </c>
      <c r="W22" s="17"/>
      <c r="X22" s="33">
        <f>Ratios!L75/100</f>
        <v>0.095</v>
      </c>
      <c r="Y22" s="17"/>
      <c r="Z22" s="23"/>
      <c r="AA22" s="17"/>
      <c r="AB22" s="22"/>
      <c r="AC22" s="17"/>
      <c r="AD22" s="17"/>
      <c r="AE22" s="17"/>
      <c r="AF22" s="17"/>
      <c r="AG22" s="23"/>
      <c r="AH22" s="17"/>
      <c r="AI22" s="43" t="s">
        <v>453</v>
      </c>
      <c r="AJ22" s="45"/>
      <c r="AK22" s="48">
        <v>0.0411</v>
      </c>
    </row>
    <row r="23" ht="15.75" customHeight="1">
      <c r="A23" s="22" t="s">
        <v>477</v>
      </c>
      <c r="B23" s="17"/>
      <c r="C23" s="17"/>
      <c r="D23" s="17"/>
      <c r="E23" s="17"/>
      <c r="F23" s="23"/>
      <c r="G23" s="17"/>
      <c r="H23" s="22" t="s">
        <v>478</v>
      </c>
      <c r="I23" s="17"/>
      <c r="J23" s="17"/>
      <c r="K23" s="23"/>
      <c r="L23" s="17"/>
      <c r="M23" s="22"/>
      <c r="N23" s="17"/>
      <c r="O23" s="17"/>
      <c r="P23" s="17"/>
      <c r="Q23" s="17"/>
      <c r="R23" s="23"/>
      <c r="S23" s="17"/>
      <c r="T23" s="22">
        <v>2007.0</v>
      </c>
      <c r="U23" s="17"/>
      <c r="V23" s="100">
        <v>0.2872946362127198</v>
      </c>
      <c r="W23" s="17"/>
      <c r="X23" s="33">
        <f>Ratios!M75/100</f>
        <v>0.082</v>
      </c>
      <c r="Y23" s="17"/>
      <c r="Z23" s="23"/>
      <c r="AA23" s="17"/>
      <c r="AB23" s="22" t="s">
        <v>479</v>
      </c>
      <c r="AC23" s="17">
        <v>0.131051</v>
      </c>
      <c r="AD23" s="17" t="s">
        <v>480</v>
      </c>
      <c r="AE23" s="17">
        <v>0.074519</v>
      </c>
      <c r="AF23" s="17"/>
      <c r="AG23" s="23"/>
      <c r="AH23" s="17"/>
      <c r="AI23" s="17"/>
      <c r="AJ23" s="17"/>
      <c r="AK23" s="17"/>
    </row>
    <row r="24" ht="15.75" customHeight="1">
      <c r="A24" s="22" t="s">
        <v>481</v>
      </c>
      <c r="B24" s="17"/>
      <c r="C24" s="17"/>
      <c r="D24" s="17"/>
      <c r="E24" s="17"/>
      <c r="F24" s="23"/>
      <c r="G24" s="17"/>
      <c r="H24" s="22" t="s">
        <v>482</v>
      </c>
      <c r="I24" s="17"/>
      <c r="J24" s="17"/>
      <c r="K24" s="32">
        <f>0.165*0.764</f>
        <v>0.12606</v>
      </c>
      <c r="L24" s="33"/>
      <c r="M24" s="107" t="s">
        <v>483</v>
      </c>
      <c r="N24" s="33"/>
      <c r="O24" s="33"/>
      <c r="P24" s="33"/>
      <c r="Q24" s="33"/>
      <c r="R24" s="32">
        <f>R22</f>
        <v>0.07647058824</v>
      </c>
      <c r="S24" s="17"/>
      <c r="T24" s="22">
        <v>2008.0</v>
      </c>
      <c r="U24" s="17"/>
      <c r="V24" s="100">
        <v>0.32162946833605516</v>
      </c>
      <c r="W24" s="17"/>
      <c r="X24" s="33">
        <f>Ratios!N75/100</f>
        <v>0.135</v>
      </c>
      <c r="Y24" s="17"/>
      <c r="Z24" s="23"/>
      <c r="AA24" s="17"/>
      <c r="AB24" s="22" t="s">
        <v>484</v>
      </c>
      <c r="AC24" s="17">
        <v>0.095583</v>
      </c>
      <c r="AD24" s="17" t="s">
        <v>485</v>
      </c>
      <c r="AE24" s="17">
        <v>0.773239</v>
      </c>
      <c r="AF24" s="17"/>
      <c r="AG24" s="23"/>
      <c r="AH24" s="17"/>
      <c r="AI24" s="17"/>
      <c r="AJ24" s="17"/>
      <c r="AK24" s="17"/>
    </row>
    <row r="25" ht="15.75" customHeight="1">
      <c r="A25" s="22" t="s">
        <v>486</v>
      </c>
      <c r="B25" s="17"/>
      <c r="C25" s="17"/>
      <c r="D25" s="17"/>
      <c r="E25" s="17"/>
      <c r="F25" s="23"/>
      <c r="G25" s="17"/>
      <c r="H25" s="22"/>
      <c r="I25" s="17"/>
      <c r="J25" s="17"/>
      <c r="K25" s="23"/>
      <c r="L25" s="17"/>
      <c r="M25" s="43"/>
      <c r="N25" s="45"/>
      <c r="O25" s="45"/>
      <c r="P25" s="45"/>
      <c r="Q25" s="45"/>
      <c r="R25" s="46"/>
      <c r="S25" s="17"/>
      <c r="T25" s="22">
        <v>2009.0</v>
      </c>
      <c r="U25" s="17"/>
      <c r="V25" s="100">
        <v>0.3205793790883604</v>
      </c>
      <c r="W25" s="17"/>
      <c r="X25" s="33">
        <f>Ratios!O75/100</f>
        <v>0.104</v>
      </c>
      <c r="Y25" s="17"/>
      <c r="Z25" s="23"/>
      <c r="AA25" s="17"/>
      <c r="AB25" s="22" t="s">
        <v>487</v>
      </c>
      <c r="AC25" s="17">
        <v>0.735357</v>
      </c>
      <c r="AD25" s="17" t="s">
        <v>488</v>
      </c>
      <c r="AE25" s="17">
        <v>2.279039</v>
      </c>
      <c r="AF25" s="17"/>
      <c r="AG25" s="23"/>
      <c r="AH25" s="17"/>
      <c r="AI25" s="17"/>
      <c r="AJ25" s="17"/>
      <c r="AK25" s="17"/>
    </row>
    <row r="26" ht="15.75" customHeight="1">
      <c r="A26" s="22" t="s">
        <v>489</v>
      </c>
      <c r="B26" s="17"/>
      <c r="C26" s="17"/>
      <c r="D26" s="17"/>
      <c r="E26" s="17"/>
      <c r="F26" s="23"/>
      <c r="G26" s="17"/>
      <c r="H26" s="22" t="s">
        <v>490</v>
      </c>
      <c r="I26" s="17"/>
      <c r="J26" s="17"/>
      <c r="K26" s="23"/>
      <c r="L26" s="17"/>
      <c r="M26" s="17"/>
      <c r="N26" s="17"/>
      <c r="O26" s="17"/>
      <c r="P26" s="17"/>
      <c r="Q26" s="17"/>
      <c r="R26" s="17"/>
      <c r="S26" s="17"/>
      <c r="T26" s="22">
        <v>2010.0</v>
      </c>
      <c r="U26" s="17"/>
      <c r="V26" s="100">
        <v>0.1713236735023229</v>
      </c>
      <c r="W26" s="17"/>
      <c r="X26" s="33">
        <f>Ratios!P75/100</f>
        <v>0.079</v>
      </c>
      <c r="Y26" s="17"/>
      <c r="Z26" s="23"/>
      <c r="AA26" s="17"/>
      <c r="AB26" s="22" t="s">
        <v>491</v>
      </c>
      <c r="AC26" s="17">
        <v>26.49671</v>
      </c>
      <c r="AD26" s="17" t="s">
        <v>492</v>
      </c>
      <c r="AE26" s="17">
        <v>2.39161</v>
      </c>
      <c r="AF26" s="17"/>
      <c r="AG26" s="23"/>
      <c r="AH26" s="17"/>
      <c r="AI26" s="17"/>
      <c r="AJ26" s="17"/>
      <c r="AK26" s="17"/>
    </row>
    <row r="27" ht="15.75" customHeight="1">
      <c r="A27" s="43" t="s">
        <v>493</v>
      </c>
      <c r="B27" s="45"/>
      <c r="C27" s="45"/>
      <c r="D27" s="45"/>
      <c r="E27" s="45"/>
      <c r="F27" s="46"/>
      <c r="G27" s="17"/>
      <c r="H27" s="22" t="s">
        <v>494</v>
      </c>
      <c r="I27" s="17"/>
      <c r="J27" s="17"/>
      <c r="K27" s="23"/>
      <c r="L27" s="17"/>
      <c r="M27" s="17"/>
      <c r="N27" s="17"/>
      <c r="O27" s="17"/>
      <c r="P27" s="17"/>
      <c r="Q27" s="17"/>
      <c r="R27" s="17"/>
      <c r="S27" s="17"/>
      <c r="T27" s="22">
        <v>2011.0</v>
      </c>
      <c r="U27" s="17"/>
      <c r="V27" s="100">
        <v>0.10701213056236195</v>
      </c>
      <c r="W27" s="17"/>
      <c r="X27" s="33">
        <f>Ratios!Q75/100</f>
        <v>0.056</v>
      </c>
      <c r="Y27" s="17"/>
      <c r="Z27" s="23"/>
      <c r="AA27" s="17"/>
      <c r="AB27" s="102" t="s">
        <v>495</v>
      </c>
      <c r="AC27" s="103">
        <v>-56.255</v>
      </c>
      <c r="AD27" s="103" t="s">
        <v>496</v>
      </c>
      <c r="AE27" s="103">
        <v>2.047515</v>
      </c>
      <c r="AF27" s="103"/>
      <c r="AG27" s="104"/>
      <c r="AH27" s="17"/>
      <c r="AI27" s="17"/>
      <c r="AJ27" s="17"/>
      <c r="AK27" s="17"/>
    </row>
    <row r="28" ht="15.75" customHeight="1">
      <c r="A28" s="17"/>
      <c r="B28" s="17"/>
      <c r="C28" s="17"/>
      <c r="D28" s="17"/>
      <c r="E28" s="17"/>
      <c r="F28" s="17"/>
      <c r="G28" s="17"/>
      <c r="H28" s="43" t="s">
        <v>497</v>
      </c>
      <c r="I28" s="45"/>
      <c r="J28" s="45"/>
      <c r="K28" s="48">
        <f>0.248/1.62</f>
        <v>0.1530864198</v>
      </c>
      <c r="L28" s="33"/>
      <c r="M28" s="33"/>
      <c r="N28" s="33"/>
      <c r="O28" s="33"/>
      <c r="P28" s="33"/>
      <c r="Q28" s="33"/>
      <c r="R28" s="33"/>
      <c r="S28" s="17"/>
      <c r="T28" s="22">
        <v>2012.0</v>
      </c>
      <c r="U28" s="17"/>
      <c r="V28" s="100">
        <v>0.23201362281822055</v>
      </c>
      <c r="W28" s="17"/>
      <c r="X28" s="33">
        <f>Ratios!R75/100</f>
        <v>0.089</v>
      </c>
      <c r="Y28" s="17"/>
      <c r="Z28" s="23"/>
      <c r="AA28" s="17"/>
      <c r="AB28" s="22"/>
      <c r="AC28" s="17"/>
      <c r="AD28" s="17"/>
      <c r="AE28" s="17"/>
      <c r="AF28" s="17"/>
      <c r="AG28" s="23"/>
      <c r="AH28" s="17"/>
      <c r="AI28" s="17"/>
      <c r="AJ28" s="17"/>
      <c r="AK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06" t="s">
        <v>476</v>
      </c>
      <c r="U29" s="17"/>
      <c r="V29" s="50">
        <v>0.3</v>
      </c>
      <c r="W29" s="17"/>
      <c r="X29" s="50">
        <v>0.1</v>
      </c>
      <c r="Y29" s="17"/>
      <c r="Z29" s="23"/>
      <c r="AA29" s="17"/>
      <c r="AB29" s="22" t="s">
        <v>498</v>
      </c>
      <c r="AC29" s="17" t="s">
        <v>499</v>
      </c>
      <c r="AD29" s="17" t="s">
        <v>500</v>
      </c>
      <c r="AE29" s="17"/>
      <c r="AF29" s="17"/>
      <c r="AG29" s="23"/>
      <c r="AH29" s="17"/>
      <c r="AI29" s="17"/>
      <c r="AJ29" s="17"/>
      <c r="AK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22"/>
      <c r="U30" s="17"/>
      <c r="V30" s="17"/>
      <c r="W30" s="17"/>
      <c r="X30" s="17"/>
      <c r="Y30" s="17"/>
      <c r="Z30" s="23"/>
      <c r="AA30" s="17"/>
      <c r="AB30" s="102" t="s">
        <v>501</v>
      </c>
      <c r="AC30" s="103">
        <v>0.82</v>
      </c>
      <c r="AD30" s="103"/>
      <c r="AE30" s="103"/>
      <c r="AF30" s="103"/>
      <c r="AG30" s="104"/>
      <c r="AH30" s="17"/>
      <c r="AI30" s="17"/>
      <c r="AJ30" s="17"/>
      <c r="AK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43" t="s">
        <v>483</v>
      </c>
      <c r="U31" s="45"/>
      <c r="V31" s="45"/>
      <c r="W31" s="108">
        <v>0.03</v>
      </c>
      <c r="X31" s="45"/>
      <c r="Y31" s="45"/>
      <c r="Z31" s="46"/>
      <c r="AA31" s="17"/>
      <c r="AB31" s="22"/>
      <c r="AC31" s="17"/>
      <c r="AD31" s="17"/>
      <c r="AE31" s="17"/>
      <c r="AF31" s="17"/>
      <c r="AG31" s="23"/>
      <c r="AH31" s="17"/>
      <c r="AI31" s="17"/>
      <c r="AJ31" s="17"/>
      <c r="AK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2" t="s">
        <v>502</v>
      </c>
      <c r="AC32" s="17"/>
      <c r="AD32" s="17"/>
      <c r="AE32" s="17"/>
      <c r="AF32" s="17"/>
      <c r="AG32" s="23"/>
      <c r="AH32" s="17"/>
      <c r="AI32" s="17"/>
      <c r="AJ32" s="17"/>
      <c r="AK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2" t="s">
        <v>503</v>
      </c>
      <c r="AC33" s="17"/>
      <c r="AD33" s="17"/>
      <c r="AE33" s="17"/>
      <c r="AF33" s="17"/>
      <c r="AG33" s="23"/>
      <c r="AH33" s="17"/>
      <c r="AI33" s="17"/>
      <c r="AJ33" s="17"/>
      <c r="AK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2" t="s">
        <v>504</v>
      </c>
      <c r="AC34" s="17"/>
      <c r="AD34" s="17">
        <v>35.0</v>
      </c>
      <c r="AE34" s="17"/>
      <c r="AF34" s="17"/>
      <c r="AG34" s="23"/>
      <c r="AH34" s="17"/>
      <c r="AI34" s="17"/>
      <c r="AJ34" s="17"/>
      <c r="AK34" s="17"/>
    </row>
    <row r="35" ht="15.75" customHeight="1">
      <c r="A35" s="17"/>
      <c r="B35" s="17"/>
      <c r="C35" s="17"/>
      <c r="D35" s="17"/>
      <c r="E35" s="17"/>
      <c r="F35" s="17"/>
      <c r="G35" s="17"/>
      <c r="H35" s="109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2" t="s">
        <v>505</v>
      </c>
      <c r="AC35" s="17"/>
      <c r="AD35" s="17">
        <v>11.0</v>
      </c>
      <c r="AE35" s="17"/>
      <c r="AF35" s="17"/>
      <c r="AG35" s="23"/>
      <c r="AH35" s="17"/>
      <c r="AI35" s="17"/>
      <c r="AJ35" s="17"/>
      <c r="AK35" s="17"/>
    </row>
    <row r="36" ht="15.75" customHeight="1">
      <c r="A36" s="17"/>
      <c r="B36" s="17"/>
      <c r="C36" s="17"/>
      <c r="D36" s="17"/>
      <c r="E36" s="17"/>
      <c r="F36" s="17"/>
      <c r="G36" s="17"/>
      <c r="H36" s="109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2" t="s">
        <v>506</v>
      </c>
      <c r="AC36" s="17"/>
      <c r="AD36" s="17">
        <v>8.0</v>
      </c>
      <c r="AE36" s="17"/>
      <c r="AF36" s="17"/>
      <c r="AG36" s="23"/>
      <c r="AH36" s="17"/>
      <c r="AI36" s="17"/>
      <c r="AJ36" s="17"/>
      <c r="AK36" s="17"/>
    </row>
    <row r="37" ht="15.75" customHeight="1">
      <c r="A37" s="17"/>
      <c r="B37" s="17"/>
      <c r="C37" s="17"/>
      <c r="D37" s="17"/>
      <c r="E37" s="17"/>
      <c r="F37" s="17"/>
      <c r="G37" s="17"/>
      <c r="H37" s="109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2"/>
      <c r="AC37" s="17"/>
      <c r="AD37" s="17"/>
      <c r="AE37" s="17"/>
      <c r="AF37" s="17"/>
      <c r="AG37" s="23"/>
      <c r="AH37" s="17"/>
      <c r="AI37" s="17"/>
      <c r="AJ37" s="17"/>
      <c r="AK37" s="17"/>
    </row>
    <row r="38" ht="15.75" customHeight="1">
      <c r="A38" s="17"/>
      <c r="B38" s="17"/>
      <c r="C38" s="17"/>
      <c r="D38" s="17"/>
      <c r="E38" s="17"/>
      <c r="F38" s="17"/>
      <c r="G38" s="17"/>
      <c r="H38" s="109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2" t="s">
        <v>507</v>
      </c>
      <c r="AC38" s="17"/>
      <c r="AD38" s="17">
        <v>0.726616</v>
      </c>
      <c r="AE38" s="17"/>
      <c r="AF38" s="17"/>
      <c r="AG38" s="23"/>
      <c r="AH38" s="17"/>
      <c r="AI38" s="17"/>
      <c r="AJ38" s="17"/>
      <c r="AK38" s="17"/>
    </row>
    <row r="39" ht="15.75" customHeight="1">
      <c r="A39" s="17"/>
      <c r="B39" s="17"/>
      <c r="C39" s="17"/>
      <c r="D39" s="17"/>
      <c r="E39" s="17"/>
      <c r="F39" s="17"/>
      <c r="G39" s="17"/>
      <c r="H39" s="109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2" t="s">
        <v>508</v>
      </c>
      <c r="AC39" s="17"/>
      <c r="AD39" s="17">
        <v>0.57596</v>
      </c>
      <c r="AE39" s="17"/>
      <c r="AF39" s="17"/>
      <c r="AG39" s="23"/>
      <c r="AH39" s="17"/>
      <c r="AI39" s="17"/>
      <c r="AJ39" s="17"/>
      <c r="AK39" s="17"/>
    </row>
    <row r="40" ht="15.75" customHeight="1">
      <c r="A40" s="17"/>
      <c r="B40" s="17"/>
      <c r="C40" s="17"/>
      <c r="D40" s="17"/>
      <c r="E40" s="17"/>
      <c r="F40" s="17"/>
      <c r="G40" s="17"/>
      <c r="H40" s="109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2" t="s">
        <v>509</v>
      </c>
      <c r="AC40" s="17"/>
      <c r="AD40" s="17">
        <v>2.736718</v>
      </c>
      <c r="AE40" s="17"/>
      <c r="AF40" s="17"/>
      <c r="AG40" s="23"/>
      <c r="AH40" s="17"/>
      <c r="AI40" s="17"/>
      <c r="AJ40" s="17"/>
      <c r="AK40" s="17"/>
    </row>
    <row r="41" ht="15.75" customHeight="1">
      <c r="A41" s="17"/>
      <c r="B41" s="17"/>
      <c r="C41" s="17"/>
      <c r="D41" s="17"/>
      <c r="E41" s="17"/>
      <c r="F41" s="17"/>
      <c r="G41" s="17"/>
      <c r="H41" s="109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2" t="s">
        <v>510</v>
      </c>
      <c r="AC41" s="17"/>
      <c r="AD41" s="17">
        <v>0.006167</v>
      </c>
      <c r="AE41" s="17"/>
      <c r="AF41" s="17"/>
      <c r="AG41" s="23"/>
      <c r="AH41" s="17"/>
      <c r="AI41" s="17"/>
      <c r="AJ41" s="17"/>
      <c r="AK41" s="17"/>
    </row>
    <row r="42" ht="15.75" customHeight="1">
      <c r="A42" s="17"/>
      <c r="B42" s="17"/>
      <c r="C42" s="17"/>
      <c r="D42" s="17"/>
      <c r="E42" s="17"/>
      <c r="F42" s="17"/>
      <c r="G42" s="17"/>
      <c r="H42" s="109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2" t="s">
        <v>511</v>
      </c>
      <c r="AC42" s="17"/>
      <c r="AD42" s="17">
        <v>5.9E-5</v>
      </c>
      <c r="AE42" s="17"/>
      <c r="AF42" s="17"/>
      <c r="AG42" s="23"/>
      <c r="AH42" s="17"/>
      <c r="AI42" s="17"/>
      <c r="AJ42" s="17"/>
      <c r="AK42" s="17"/>
    </row>
    <row r="43" ht="15.75" customHeight="1">
      <c r="A43" s="17"/>
      <c r="B43" s="17"/>
      <c r="C43" s="17"/>
      <c r="D43" s="17"/>
      <c r="E43" s="17"/>
      <c r="F43" s="17"/>
      <c r="G43" s="17"/>
      <c r="H43" s="109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2" t="s">
        <v>512</v>
      </c>
      <c r="AC43" s="17"/>
      <c r="AD43" s="17">
        <v>0.993774</v>
      </c>
      <c r="AE43" s="17"/>
      <c r="AF43" s="17"/>
      <c r="AG43" s="23"/>
      <c r="AH43" s="17"/>
      <c r="AI43" s="17"/>
      <c r="AJ43" s="17"/>
      <c r="AK43" s="17"/>
    </row>
    <row r="44" ht="15.75" customHeight="1">
      <c r="A44" s="17"/>
      <c r="B44" s="17"/>
      <c r="C44" s="17"/>
      <c r="D44" s="17"/>
      <c r="E44" s="17"/>
      <c r="F44" s="17"/>
      <c r="G44" s="17"/>
      <c r="H44" s="109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2"/>
      <c r="AC44" s="17"/>
      <c r="AD44" s="17"/>
      <c r="AE44" s="17"/>
      <c r="AF44" s="17"/>
      <c r="AG44" s="23"/>
      <c r="AH44" s="17"/>
      <c r="AI44" s="17"/>
      <c r="AJ44" s="17"/>
      <c r="AK44" s="17"/>
    </row>
    <row r="45" ht="15.75" customHeight="1">
      <c r="A45" s="17"/>
      <c r="B45" s="17"/>
      <c r="C45" s="17"/>
      <c r="D45" s="17"/>
      <c r="E45" s="17"/>
      <c r="F45" s="17"/>
      <c r="G45" s="17"/>
      <c r="H45" s="109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3" t="s">
        <v>483</v>
      </c>
      <c r="AC45" s="45"/>
      <c r="AD45" s="67">
        <v>0.0624</v>
      </c>
      <c r="AE45" s="45"/>
      <c r="AF45" s="45"/>
      <c r="AG45" s="46"/>
      <c r="AH45" s="17"/>
      <c r="AI45" s="17"/>
      <c r="AJ45" s="17"/>
      <c r="AK45" s="17"/>
    </row>
    <row r="46" ht="15.75" customHeight="1">
      <c r="A46" s="17"/>
      <c r="B46" s="17"/>
      <c r="C46" s="17"/>
      <c r="D46" s="17"/>
      <c r="E46" s="17"/>
      <c r="F46" s="17"/>
      <c r="G46" s="17"/>
      <c r="H46" s="109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ht="15.75" customHeight="1">
      <c r="A47" s="17"/>
      <c r="B47" s="17"/>
      <c r="C47" s="17"/>
      <c r="D47" s="17"/>
      <c r="E47" s="17"/>
      <c r="F47" s="17"/>
      <c r="G47" s="17"/>
      <c r="H47" s="109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ht="15.75" customHeight="1">
      <c r="A48" s="17"/>
      <c r="B48" s="17"/>
      <c r="C48" s="17"/>
      <c r="D48" s="17"/>
      <c r="E48" s="17"/>
      <c r="F48" s="17"/>
      <c r="G48" s="17"/>
      <c r="H48" s="10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ht="15.75" customHeight="1">
      <c r="A49" s="17"/>
      <c r="B49" s="17"/>
      <c r="C49" s="17"/>
      <c r="D49" s="17"/>
      <c r="E49" s="17"/>
      <c r="F49" s="17"/>
      <c r="G49" s="17"/>
      <c r="H49" s="109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ht="15.75" customHeight="1">
      <c r="A50" s="17"/>
      <c r="B50" s="17"/>
      <c r="C50" s="17"/>
      <c r="D50" s="17"/>
      <c r="E50" s="17"/>
      <c r="F50" s="17"/>
      <c r="G50" s="17"/>
      <c r="H50" s="109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ht="15.75" customHeight="1">
      <c r="A51" s="17"/>
      <c r="B51" s="17"/>
      <c r="C51" s="17"/>
      <c r="D51" s="17"/>
      <c r="E51" s="17"/>
      <c r="F51" s="17"/>
      <c r="G51" s="17"/>
      <c r="H51" s="109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ht="15.75" customHeight="1">
      <c r="A52" s="17"/>
      <c r="B52" s="17"/>
      <c r="C52" s="17"/>
      <c r="D52" s="17"/>
      <c r="E52" s="17"/>
      <c r="F52" s="17"/>
      <c r="G52" s="17"/>
      <c r="H52" s="109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8.63"/>
    <col customWidth="1" min="3" max="12" width="8.75"/>
    <col customWidth="1" min="13" max="17" width="7.88"/>
    <col customWidth="1" min="18" max="18" width="15.25"/>
    <col customWidth="1" min="19" max="19" width="7.88"/>
    <col customWidth="1" min="20" max="20" width="2.13"/>
    <col customWidth="1" min="21" max="21" width="11.75"/>
    <col customWidth="1" min="22" max="22" width="8.38"/>
    <col customWidth="1" min="23" max="31" width="7.88"/>
    <col customWidth="1" min="32" max="32" width="2.13"/>
    <col customWidth="1" min="33" max="35" width="7.88"/>
  </cols>
  <sheetData>
    <row r="1">
      <c r="A1" s="17"/>
      <c r="B1" s="17" t="s">
        <v>513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>
      <c r="A3" s="17"/>
      <c r="B3" s="17" t="s">
        <v>514</v>
      </c>
      <c r="C3" s="17">
        <v>2003.0</v>
      </c>
      <c r="D3" s="17">
        <v>2004.0</v>
      </c>
      <c r="E3" s="17">
        <v>2005.0</v>
      </c>
      <c r="F3" s="17">
        <v>2006.0</v>
      </c>
      <c r="G3" s="17">
        <v>2007.0</v>
      </c>
      <c r="H3" s="17">
        <v>2008.0</v>
      </c>
      <c r="I3" s="17">
        <v>2009.0</v>
      </c>
      <c r="J3" s="17">
        <v>2010.0</v>
      </c>
      <c r="K3" s="17">
        <v>2011.0</v>
      </c>
      <c r="L3" s="17">
        <v>2012.0</v>
      </c>
      <c r="M3" s="110" t="s">
        <v>476</v>
      </c>
      <c r="N3" s="110"/>
      <c r="O3" s="110"/>
      <c r="P3" s="11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17"/>
      <c r="B4" s="17" t="s">
        <v>27</v>
      </c>
      <c r="C4" s="70">
        <f>'Income Statement'!I27</f>
        <v>241.8</v>
      </c>
      <c r="D4" s="70">
        <f>'Income Statement'!J27</f>
        <v>385.1</v>
      </c>
      <c r="E4" s="70">
        <f>'Income Statement'!K27</f>
        <v>468.9</v>
      </c>
      <c r="F4" s="70">
        <f>'Income Statement'!L27</f>
        <v>628.9</v>
      </c>
      <c r="G4" s="70">
        <f>'Income Statement'!M27</f>
        <v>776.4</v>
      </c>
      <c r="H4" s="70">
        <f>'Income Statement'!N27</f>
        <v>918.5</v>
      </c>
      <c r="I4" s="70">
        <f>'Income Statement'!O27</f>
        <v>963.1</v>
      </c>
      <c r="J4" s="70">
        <f>'Income Statement'!P27</f>
        <v>963.9</v>
      </c>
      <c r="K4" s="70">
        <f>'Income Statement'!Q27</f>
        <v>1101.9</v>
      </c>
      <c r="L4" s="70">
        <f>'Income Statement'!R27</f>
        <v>1305</v>
      </c>
      <c r="M4" s="70">
        <f>5247.9*0.3</f>
        <v>1574.37</v>
      </c>
      <c r="N4" s="70"/>
      <c r="O4" s="70"/>
      <c r="P4" s="7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17"/>
      <c r="B5" s="17" t="s">
        <v>515</v>
      </c>
      <c r="C5" s="70">
        <f t="shared" ref="C5:M5" si="1">C4*0.72</f>
        <v>174.096</v>
      </c>
      <c r="D5" s="70">
        <f t="shared" si="1"/>
        <v>277.272</v>
      </c>
      <c r="E5" s="70">
        <f t="shared" si="1"/>
        <v>337.608</v>
      </c>
      <c r="F5" s="70">
        <f t="shared" si="1"/>
        <v>452.808</v>
      </c>
      <c r="G5" s="70">
        <f t="shared" si="1"/>
        <v>559.008</v>
      </c>
      <c r="H5" s="70">
        <f t="shared" si="1"/>
        <v>661.32</v>
      </c>
      <c r="I5" s="70">
        <f t="shared" si="1"/>
        <v>693.432</v>
      </c>
      <c r="J5" s="70">
        <f t="shared" si="1"/>
        <v>694.008</v>
      </c>
      <c r="K5" s="70">
        <f t="shared" si="1"/>
        <v>793.368</v>
      </c>
      <c r="L5" s="70">
        <f t="shared" si="1"/>
        <v>939.6</v>
      </c>
      <c r="M5" s="70">
        <f t="shared" si="1"/>
        <v>1133.5464</v>
      </c>
      <c r="N5" s="70"/>
      <c r="O5" s="70"/>
      <c r="P5" s="7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>
      <c r="A6" s="17"/>
      <c r="B6" s="17" t="s">
        <v>15</v>
      </c>
      <c r="C6" s="111">
        <f>'Income Statement'!I15</f>
        <v>586.2</v>
      </c>
      <c r="D6" s="111">
        <f>'Income Statement'!J15</f>
        <v>545.4</v>
      </c>
      <c r="E6" s="111">
        <f>'Income Statement'!K15</f>
        <v>541</v>
      </c>
      <c r="F6" s="111">
        <f>'Income Statement'!L15</f>
        <v>498.4</v>
      </c>
      <c r="G6" s="111">
        <f>'Income Statement'!M15</f>
        <v>473.1</v>
      </c>
      <c r="H6" s="111">
        <f>'Income Statement'!N15</f>
        <v>508.8</v>
      </c>
      <c r="I6" s="111">
        <f>'Income Statement'!O15</f>
        <v>587.2</v>
      </c>
      <c r="J6" s="111">
        <f>'Income Statement'!P15</f>
        <v>660.2</v>
      </c>
      <c r="K6" s="111">
        <f>'Income Statement'!Q15</f>
        <v>653.7</v>
      </c>
      <c r="L6" s="111">
        <f>'Income Statement'!R15</f>
        <v>813</v>
      </c>
      <c r="M6" s="64">
        <f>(M7-L6)/10+L6</f>
        <v>836.658</v>
      </c>
      <c r="N6" s="64"/>
      <c r="O6" s="64"/>
      <c r="P6" s="64"/>
      <c r="Q6" s="17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50"/>
    </row>
    <row r="7">
      <c r="A7" s="17"/>
      <c r="B7" s="17" t="s">
        <v>516</v>
      </c>
      <c r="C7" s="111">
        <f>'Cashflow Statement'!I26*(-1)</f>
        <v>420.6</v>
      </c>
      <c r="D7" s="111">
        <f>'Cashflow Statement'!J26*(-1)</f>
        <v>388.8</v>
      </c>
      <c r="E7" s="111">
        <f>'Cashflow Statement'!K26*(-1)</f>
        <v>452.6</v>
      </c>
      <c r="F7" s="111">
        <f>'Cashflow Statement'!L26*(-1)</f>
        <v>540.6</v>
      </c>
      <c r="G7" s="111">
        <f>'Cashflow Statement'!M26*(-1)</f>
        <v>651.1</v>
      </c>
      <c r="H7" s="111">
        <f>'Cashflow Statement'!N26*(-1)</f>
        <v>727.4</v>
      </c>
      <c r="I7" s="111">
        <f>'Cashflow Statement'!O26*(-1)</f>
        <v>802.9</v>
      </c>
      <c r="J7" s="111">
        <f>'Cashflow Statement'!P26*(-1)</f>
        <v>840.7</v>
      </c>
      <c r="K7" s="111">
        <f>'Cashflow Statement'!Q26*(-1)</f>
        <v>889.1</v>
      </c>
      <c r="L7" s="111">
        <f>'Cashflow Statement'!R26*(-1)</f>
        <v>243</v>
      </c>
      <c r="M7" s="17">
        <f>0.2*5247.9</f>
        <v>1049.58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>
      <c r="A8" s="17"/>
      <c r="B8" s="45" t="s">
        <v>517</v>
      </c>
      <c r="C8" s="112">
        <v>-289.6</v>
      </c>
      <c r="D8" s="112">
        <v>-122.20000000000005</v>
      </c>
      <c r="E8" s="112">
        <v>294.5</v>
      </c>
      <c r="F8" s="112">
        <v>4.800000000000068</v>
      </c>
      <c r="G8" s="112">
        <v>-56.69999999999999</v>
      </c>
      <c r="H8" s="112">
        <v>12.89999999999992</v>
      </c>
      <c r="I8" s="112">
        <v>-449.0999999999999</v>
      </c>
      <c r="J8" s="112">
        <v>232.60000000000002</v>
      </c>
      <c r="K8" s="112">
        <v>328.19999999999993</v>
      </c>
      <c r="L8" s="112">
        <v>-658.6</v>
      </c>
      <c r="M8" s="112">
        <v>0.0</v>
      </c>
      <c r="N8" s="17"/>
      <c r="O8" s="17"/>
      <c r="P8" s="17"/>
      <c r="Q8" s="17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50"/>
    </row>
    <row r="9">
      <c r="A9" s="17"/>
      <c r="B9" s="17" t="s">
        <v>177</v>
      </c>
      <c r="C9" s="111">
        <f t="shared" ref="C9:L9" si="2">C4+C6-C7-C8</f>
        <v>697</v>
      </c>
      <c r="D9" s="111">
        <f t="shared" si="2"/>
        <v>663.9</v>
      </c>
      <c r="E9" s="111">
        <f t="shared" si="2"/>
        <v>262.8</v>
      </c>
      <c r="F9" s="111">
        <f t="shared" si="2"/>
        <v>581.9</v>
      </c>
      <c r="G9" s="111">
        <f t="shared" si="2"/>
        <v>655.1</v>
      </c>
      <c r="H9" s="111">
        <f t="shared" si="2"/>
        <v>687</v>
      </c>
      <c r="I9" s="111">
        <f t="shared" si="2"/>
        <v>1196.5</v>
      </c>
      <c r="J9" s="111">
        <f t="shared" si="2"/>
        <v>550.8</v>
      </c>
      <c r="K9" s="111">
        <f t="shared" si="2"/>
        <v>538.3</v>
      </c>
      <c r="L9" s="111">
        <f t="shared" si="2"/>
        <v>2533.6</v>
      </c>
      <c r="M9" s="64">
        <f>M5+M6-M7</f>
        <v>920.6244</v>
      </c>
      <c r="N9" s="64"/>
      <c r="O9" s="64"/>
      <c r="P9" s="64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50"/>
    </row>
    <row r="11">
      <c r="A11" s="17"/>
      <c r="B11" s="17" t="s">
        <v>518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A13" s="17"/>
      <c r="B13" s="17" t="s">
        <v>514</v>
      </c>
      <c r="C13" s="17">
        <v>2013.0</v>
      </c>
      <c r="D13" s="17">
        <v>2014.0</v>
      </c>
      <c r="E13" s="17">
        <v>2015.0</v>
      </c>
      <c r="F13" s="17">
        <v>2016.0</v>
      </c>
      <c r="G13" s="17">
        <v>2017.0</v>
      </c>
      <c r="H13" s="17">
        <v>2018.0</v>
      </c>
      <c r="I13" s="17">
        <v>2019.0</v>
      </c>
      <c r="J13" s="17">
        <v>2020.0</v>
      </c>
      <c r="K13" s="17">
        <v>2021.0</v>
      </c>
      <c r="L13" s="17">
        <v>2022.0</v>
      </c>
      <c r="M13" s="17"/>
      <c r="N13" s="17"/>
      <c r="O13" s="17"/>
      <c r="P13" s="17"/>
      <c r="Q13" s="17"/>
      <c r="R13" s="17"/>
      <c r="S13" s="17"/>
      <c r="T13" s="17"/>
      <c r="U13" s="45" t="s">
        <v>108</v>
      </c>
      <c r="V13" s="45">
        <v>2013.0</v>
      </c>
      <c r="W13" s="45">
        <v>2014.0</v>
      </c>
      <c r="X13" s="45">
        <v>2015.0</v>
      </c>
      <c r="Y13" s="45">
        <v>2016.0</v>
      </c>
      <c r="Z13" s="45">
        <v>2017.0</v>
      </c>
      <c r="AA13" s="45">
        <v>2018.0</v>
      </c>
      <c r="AB13" s="45">
        <v>2019.0</v>
      </c>
      <c r="AC13" s="45">
        <v>2020.0</v>
      </c>
      <c r="AD13" s="45">
        <v>2021.0</v>
      </c>
      <c r="AE13" s="45">
        <v>2022.0</v>
      </c>
      <c r="AF13" s="17"/>
      <c r="AG13" s="17"/>
      <c r="AH13" s="17"/>
      <c r="AI13" s="17"/>
    </row>
    <row r="14">
      <c r="A14" s="17"/>
      <c r="B14" s="17" t="s">
        <v>519</v>
      </c>
      <c r="C14" s="70">
        <v>5247.9</v>
      </c>
      <c r="D14" s="70">
        <f t="shared" ref="D14:L14" si="3">C14*1.05</f>
        <v>5510.295</v>
      </c>
      <c r="E14" s="70">
        <f t="shared" si="3"/>
        <v>5785.80975</v>
      </c>
      <c r="F14" s="70">
        <f t="shared" si="3"/>
        <v>6075.100238</v>
      </c>
      <c r="G14" s="70">
        <f t="shared" si="3"/>
        <v>6378.855249</v>
      </c>
      <c r="H14" s="70">
        <f t="shared" si="3"/>
        <v>6697.798012</v>
      </c>
      <c r="I14" s="70">
        <f t="shared" si="3"/>
        <v>7032.687912</v>
      </c>
      <c r="J14" s="70">
        <f t="shared" si="3"/>
        <v>7384.322308</v>
      </c>
      <c r="K14" s="70">
        <f t="shared" si="3"/>
        <v>7753.538423</v>
      </c>
      <c r="L14" s="70">
        <f t="shared" si="3"/>
        <v>8141.215345</v>
      </c>
      <c r="M14" s="70"/>
      <c r="N14" s="70"/>
      <c r="O14" s="70"/>
      <c r="P14" s="70"/>
      <c r="Q14" s="17"/>
      <c r="R14" s="100"/>
      <c r="S14" s="100"/>
      <c r="T14" s="100"/>
      <c r="U14" s="100" t="s">
        <v>520</v>
      </c>
      <c r="V14" s="70">
        <f t="shared" ref="V14:AE14" si="4">C17</f>
        <v>1133.5464</v>
      </c>
      <c r="W14" s="70">
        <f t="shared" si="4"/>
        <v>1190.22372</v>
      </c>
      <c r="X14" s="70">
        <f t="shared" si="4"/>
        <v>1249.734906</v>
      </c>
      <c r="Y14" s="70">
        <f t="shared" si="4"/>
        <v>1312.221651</v>
      </c>
      <c r="Z14" s="70">
        <f t="shared" si="4"/>
        <v>1377.832734</v>
      </c>
      <c r="AA14" s="70">
        <f t="shared" si="4"/>
        <v>1446.724371</v>
      </c>
      <c r="AB14" s="70">
        <f t="shared" si="4"/>
        <v>1519.060589</v>
      </c>
      <c r="AC14" s="70">
        <f t="shared" si="4"/>
        <v>1595.013619</v>
      </c>
      <c r="AD14" s="70">
        <f t="shared" si="4"/>
        <v>1674.764299</v>
      </c>
      <c r="AE14" s="70">
        <f t="shared" si="4"/>
        <v>1758.502514</v>
      </c>
      <c r="AF14" s="100"/>
      <c r="AG14" s="100"/>
      <c r="AH14" s="100"/>
      <c r="AI14" s="100"/>
    </row>
    <row r="15">
      <c r="A15" s="17"/>
      <c r="B15" s="17" t="s">
        <v>27</v>
      </c>
      <c r="C15" s="70">
        <f t="shared" ref="C15:L15" si="5">0.3*C14</f>
        <v>1574.37</v>
      </c>
      <c r="D15" s="70">
        <f t="shared" si="5"/>
        <v>1653.0885</v>
      </c>
      <c r="E15" s="70">
        <f t="shared" si="5"/>
        <v>1735.742925</v>
      </c>
      <c r="F15" s="70">
        <f t="shared" si="5"/>
        <v>1822.530071</v>
      </c>
      <c r="G15" s="70">
        <f t="shared" si="5"/>
        <v>1913.656575</v>
      </c>
      <c r="H15" s="70">
        <f t="shared" si="5"/>
        <v>2009.339404</v>
      </c>
      <c r="I15" s="70">
        <f t="shared" si="5"/>
        <v>2109.806374</v>
      </c>
      <c r="J15" s="70">
        <f t="shared" si="5"/>
        <v>2215.296692</v>
      </c>
      <c r="K15" s="70">
        <f t="shared" si="5"/>
        <v>2326.061527</v>
      </c>
      <c r="L15" s="70">
        <f t="shared" si="5"/>
        <v>2442.364603</v>
      </c>
      <c r="M15" s="70"/>
      <c r="N15" s="70"/>
      <c r="O15" s="70"/>
      <c r="P15" s="70"/>
      <c r="Q15" s="17"/>
      <c r="R15" s="17"/>
      <c r="S15" s="17"/>
      <c r="T15" s="17"/>
      <c r="U15" s="17" t="s">
        <v>521</v>
      </c>
      <c r="V15" s="70">
        <f t="shared" ref="V15:AE15" si="6">C20-C18</f>
        <v>212.922</v>
      </c>
      <c r="W15" s="70">
        <f t="shared" si="6"/>
        <v>238.8609</v>
      </c>
      <c r="X15" s="70">
        <f t="shared" si="6"/>
        <v>264.567465</v>
      </c>
      <c r="Y15" s="70">
        <f t="shared" si="6"/>
        <v>290.1830063</v>
      </c>
      <c r="Z15" s="70">
        <f t="shared" si="6"/>
        <v>315.8406078</v>
      </c>
      <c r="AA15" s="70">
        <f t="shared" si="6"/>
        <v>341.6662442</v>
      </c>
      <c r="AB15" s="70">
        <f t="shared" si="6"/>
        <v>367.7798019</v>
      </c>
      <c r="AC15" s="70">
        <f t="shared" si="6"/>
        <v>394.2960129</v>
      </c>
      <c r="AD15" s="70">
        <f t="shared" si="6"/>
        <v>421.3253124</v>
      </c>
      <c r="AE15" s="70">
        <f t="shared" si="6"/>
        <v>448.974627</v>
      </c>
      <c r="AF15" s="17"/>
      <c r="AG15" s="17"/>
      <c r="AH15" s="17"/>
      <c r="AI15" s="17"/>
    </row>
    <row r="16">
      <c r="A16" s="17"/>
      <c r="B16" s="17" t="s">
        <v>522</v>
      </c>
      <c r="C16" s="50">
        <v>0.28</v>
      </c>
      <c r="D16" s="50">
        <v>0.28</v>
      </c>
      <c r="E16" s="50">
        <v>0.28</v>
      </c>
      <c r="F16" s="50">
        <v>0.28</v>
      </c>
      <c r="G16" s="50">
        <v>0.28</v>
      </c>
      <c r="H16" s="50">
        <v>0.28</v>
      </c>
      <c r="I16" s="50">
        <v>0.28</v>
      </c>
      <c r="J16" s="50">
        <v>0.28</v>
      </c>
      <c r="K16" s="50">
        <v>0.28</v>
      </c>
      <c r="L16" s="50">
        <v>0.28</v>
      </c>
      <c r="M16" s="50"/>
      <c r="N16" s="50"/>
      <c r="O16" s="50"/>
      <c r="P16" s="50"/>
      <c r="Q16" s="17"/>
      <c r="R16" s="50"/>
      <c r="S16" s="17"/>
      <c r="T16" s="17"/>
      <c r="U16" s="17" t="s">
        <v>523</v>
      </c>
      <c r="V16" s="70">
        <f t="shared" ref="V16:AE16" si="7">V14-V15</f>
        <v>920.6244</v>
      </c>
      <c r="W16" s="70">
        <f t="shared" si="7"/>
        <v>951.36282</v>
      </c>
      <c r="X16" s="70">
        <f t="shared" si="7"/>
        <v>985.167441</v>
      </c>
      <c r="Y16" s="70">
        <f t="shared" si="7"/>
        <v>1022.038645</v>
      </c>
      <c r="Z16" s="70">
        <f t="shared" si="7"/>
        <v>1061.992126</v>
      </c>
      <c r="AA16" s="70">
        <f t="shared" si="7"/>
        <v>1105.058126</v>
      </c>
      <c r="AB16" s="70">
        <f t="shared" si="7"/>
        <v>1151.280787</v>
      </c>
      <c r="AC16" s="70">
        <f t="shared" si="7"/>
        <v>1200.717606</v>
      </c>
      <c r="AD16" s="70">
        <f t="shared" si="7"/>
        <v>1253.438987</v>
      </c>
      <c r="AE16" s="70">
        <f t="shared" si="7"/>
        <v>1309.527887</v>
      </c>
      <c r="AF16" s="17"/>
      <c r="AG16" s="17"/>
      <c r="AH16" s="17"/>
      <c r="AI16" s="17"/>
    </row>
    <row r="17">
      <c r="A17" s="17"/>
      <c r="B17" s="17" t="s">
        <v>515</v>
      </c>
      <c r="C17" s="70">
        <f t="shared" ref="C17:L17" si="8">C15*(1-C16)</f>
        <v>1133.5464</v>
      </c>
      <c r="D17" s="70">
        <f t="shared" si="8"/>
        <v>1190.22372</v>
      </c>
      <c r="E17" s="70">
        <f t="shared" si="8"/>
        <v>1249.734906</v>
      </c>
      <c r="F17" s="70">
        <f t="shared" si="8"/>
        <v>1312.221651</v>
      </c>
      <c r="G17" s="70">
        <f t="shared" si="8"/>
        <v>1377.832734</v>
      </c>
      <c r="H17" s="70">
        <f t="shared" si="8"/>
        <v>1446.724371</v>
      </c>
      <c r="I17" s="70">
        <f t="shared" si="8"/>
        <v>1519.060589</v>
      </c>
      <c r="J17" s="70">
        <f t="shared" si="8"/>
        <v>1595.013619</v>
      </c>
      <c r="K17" s="70">
        <f t="shared" si="8"/>
        <v>1674.764299</v>
      </c>
      <c r="L17" s="70">
        <f t="shared" si="8"/>
        <v>1758.502514</v>
      </c>
      <c r="M17" s="70"/>
      <c r="N17" s="70"/>
      <c r="O17" s="70"/>
      <c r="P17" s="70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13"/>
      <c r="AF17" s="113"/>
      <c r="AG17" s="113"/>
      <c r="AH17" s="113"/>
      <c r="AI17" s="113"/>
    </row>
    <row r="18">
      <c r="A18" s="17"/>
      <c r="B18" s="17" t="s">
        <v>524</v>
      </c>
      <c r="C18" s="70">
        <f>(C20-L6)/10+L6</f>
        <v>836.658</v>
      </c>
      <c r="D18" s="70">
        <f t="shared" ref="D18:L18" si="9">(D20-C18)/10+C18</f>
        <v>863.1981</v>
      </c>
      <c r="E18" s="70">
        <f t="shared" si="9"/>
        <v>892.594485</v>
      </c>
      <c r="F18" s="70">
        <f t="shared" si="9"/>
        <v>924.8370413</v>
      </c>
      <c r="G18" s="70">
        <f t="shared" si="9"/>
        <v>959.9304421</v>
      </c>
      <c r="H18" s="70">
        <f t="shared" si="9"/>
        <v>997.8933581</v>
      </c>
      <c r="I18" s="70">
        <f t="shared" si="9"/>
        <v>1038.757781</v>
      </c>
      <c r="J18" s="70">
        <f t="shared" si="9"/>
        <v>1082.568449</v>
      </c>
      <c r="K18" s="70">
        <f t="shared" si="9"/>
        <v>1129.382372</v>
      </c>
      <c r="L18" s="70">
        <f t="shared" si="9"/>
        <v>1179.268442</v>
      </c>
      <c r="M18" s="70"/>
      <c r="N18" s="70"/>
      <c r="O18" s="70"/>
      <c r="P18" s="70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13"/>
      <c r="AF18" s="113"/>
      <c r="AG18" s="113"/>
      <c r="AH18" s="113"/>
      <c r="AI18" s="113"/>
    </row>
    <row r="19">
      <c r="A19" s="17"/>
      <c r="B19" s="17" t="s">
        <v>525</v>
      </c>
      <c r="C19" s="70">
        <f t="shared" ref="C19:L19" si="10">C17+C18</f>
        <v>1970.2044</v>
      </c>
      <c r="D19" s="70">
        <f t="shared" si="10"/>
        <v>2053.42182</v>
      </c>
      <c r="E19" s="70">
        <f t="shared" si="10"/>
        <v>2142.329391</v>
      </c>
      <c r="F19" s="70">
        <f t="shared" si="10"/>
        <v>2237.058693</v>
      </c>
      <c r="G19" s="70">
        <f t="shared" si="10"/>
        <v>2337.763176</v>
      </c>
      <c r="H19" s="70">
        <f t="shared" si="10"/>
        <v>2444.617729</v>
      </c>
      <c r="I19" s="70">
        <f t="shared" si="10"/>
        <v>2557.81837</v>
      </c>
      <c r="J19" s="70">
        <f t="shared" si="10"/>
        <v>2677.582067</v>
      </c>
      <c r="K19" s="70">
        <f t="shared" si="10"/>
        <v>2804.146672</v>
      </c>
      <c r="L19" s="70">
        <f t="shared" si="10"/>
        <v>2937.770956</v>
      </c>
      <c r="M19" s="70"/>
      <c r="N19" s="70"/>
      <c r="O19" s="70"/>
      <c r="P19" s="70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13"/>
      <c r="AF19" s="113"/>
      <c r="AG19" s="113"/>
      <c r="AH19" s="113"/>
      <c r="AI19" s="113"/>
    </row>
    <row r="20">
      <c r="A20" s="17"/>
      <c r="B20" s="17" t="s">
        <v>516</v>
      </c>
      <c r="C20" s="70">
        <f t="shared" ref="C20:L20" si="11">C14*0.2</f>
        <v>1049.58</v>
      </c>
      <c r="D20" s="70">
        <f t="shared" si="11"/>
        <v>1102.059</v>
      </c>
      <c r="E20" s="70">
        <f t="shared" si="11"/>
        <v>1157.16195</v>
      </c>
      <c r="F20" s="70">
        <f t="shared" si="11"/>
        <v>1215.020048</v>
      </c>
      <c r="G20" s="70">
        <f t="shared" si="11"/>
        <v>1275.77105</v>
      </c>
      <c r="H20" s="70">
        <f t="shared" si="11"/>
        <v>1339.559602</v>
      </c>
      <c r="I20" s="70">
        <f t="shared" si="11"/>
        <v>1406.537582</v>
      </c>
      <c r="J20" s="70">
        <f t="shared" si="11"/>
        <v>1476.864462</v>
      </c>
      <c r="K20" s="70">
        <f t="shared" si="11"/>
        <v>1550.707685</v>
      </c>
      <c r="L20" s="70">
        <f t="shared" si="11"/>
        <v>1628.243069</v>
      </c>
      <c r="M20" s="70"/>
      <c r="N20" s="70"/>
      <c r="O20" s="70"/>
      <c r="P20" s="70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13"/>
      <c r="AF20" s="113"/>
      <c r="AG20" s="113"/>
      <c r="AH20" s="113"/>
      <c r="AI20" s="113"/>
    </row>
    <row r="21" ht="15.75" customHeight="1">
      <c r="A21" s="17"/>
      <c r="B21" s="45" t="s">
        <v>526</v>
      </c>
      <c r="C21" s="114">
        <v>0.0</v>
      </c>
      <c r="D21" s="114">
        <v>0.0</v>
      </c>
      <c r="E21" s="114">
        <v>0.0</v>
      </c>
      <c r="F21" s="114">
        <v>0.0</v>
      </c>
      <c r="G21" s="114">
        <v>0.0</v>
      </c>
      <c r="H21" s="114">
        <v>0.0</v>
      </c>
      <c r="I21" s="114">
        <v>0.0</v>
      </c>
      <c r="J21" s="114">
        <v>0.0</v>
      </c>
      <c r="K21" s="114">
        <v>0.0</v>
      </c>
      <c r="L21" s="114">
        <v>0.0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13"/>
      <c r="AF21" s="113"/>
      <c r="AG21" s="113"/>
      <c r="AH21" s="113"/>
      <c r="AI21" s="113"/>
    </row>
    <row r="22" ht="15.75" customHeight="1">
      <c r="A22" s="17"/>
      <c r="B22" s="17" t="s">
        <v>523</v>
      </c>
      <c r="C22" s="70">
        <f t="shared" ref="C22:L22" si="12">C17+C18-C20</f>
        <v>920.6244</v>
      </c>
      <c r="D22" s="70">
        <f t="shared" si="12"/>
        <v>951.36282</v>
      </c>
      <c r="E22" s="70">
        <f t="shared" si="12"/>
        <v>985.167441</v>
      </c>
      <c r="F22" s="70">
        <f t="shared" si="12"/>
        <v>1022.038645</v>
      </c>
      <c r="G22" s="70">
        <f t="shared" si="12"/>
        <v>1061.992126</v>
      </c>
      <c r="H22" s="70">
        <f t="shared" si="12"/>
        <v>1105.058126</v>
      </c>
      <c r="I22" s="70">
        <f t="shared" si="12"/>
        <v>1151.280787</v>
      </c>
      <c r="J22" s="70">
        <f t="shared" si="12"/>
        <v>1200.717606</v>
      </c>
      <c r="K22" s="70">
        <f t="shared" si="12"/>
        <v>1253.438987</v>
      </c>
      <c r="L22" s="70">
        <f t="shared" si="12"/>
        <v>1309.527887</v>
      </c>
      <c r="M22" s="17"/>
      <c r="N22" s="17"/>
      <c r="O22" s="17"/>
      <c r="P22" s="17"/>
      <c r="Q22" s="70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13"/>
      <c r="AF22" s="113"/>
      <c r="AG22" s="113"/>
      <c r="AH22" s="113"/>
      <c r="AI22" s="113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13"/>
      <c r="AF23" s="113"/>
      <c r="AG23" s="113"/>
      <c r="AH23" s="113"/>
      <c r="AI23" s="113"/>
    </row>
    <row r="24" ht="15.75" customHeight="1">
      <c r="A24" s="17"/>
      <c r="B24" s="17" t="s">
        <v>472</v>
      </c>
      <c r="C24" s="33">
        <v>0.0677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13"/>
      <c r="AF24" s="113"/>
      <c r="AG24" s="113"/>
      <c r="AH24" s="113"/>
      <c r="AI24" s="113"/>
    </row>
    <row r="25" ht="15.75" customHeight="1">
      <c r="A25" s="17"/>
      <c r="B25" s="45" t="s">
        <v>527</v>
      </c>
      <c r="C25" s="44">
        <f>1/(1+$C$24)^1</f>
        <v>0.9365926758</v>
      </c>
      <c r="D25" s="44">
        <f>1/(1+$C$24)^2</f>
        <v>0.8772058404</v>
      </c>
      <c r="E25" s="44">
        <f>1/(1+$C$24)^3</f>
        <v>0.8215845654</v>
      </c>
      <c r="F25" s="44">
        <f>1/(1+$C$24)^4</f>
        <v>0.7694900865</v>
      </c>
      <c r="G25" s="44">
        <f>1/(1+$C$24)^5</f>
        <v>0.7206987792</v>
      </c>
      <c r="H25" s="44">
        <f>1/(1+$C$24)^6</f>
        <v>0.6750011981</v>
      </c>
      <c r="I25" s="44">
        <f>1/(1+$C$24)^7</f>
        <v>0.6322011783</v>
      </c>
      <c r="J25" s="44">
        <f>1/(1+$C$24)^8</f>
        <v>0.5921149932</v>
      </c>
      <c r="K25" s="44">
        <f>1/(1+$C$24)^9</f>
        <v>0.5545705659</v>
      </c>
      <c r="L25" s="44">
        <f>1/(1+$C$24)^10</f>
        <v>0.5194067303</v>
      </c>
      <c r="M25" s="31"/>
      <c r="N25" s="31"/>
      <c r="O25" s="31"/>
      <c r="P25" s="31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13"/>
      <c r="AF25" s="113"/>
      <c r="AG25" s="113"/>
      <c r="AH25" s="113"/>
      <c r="AI25" s="113"/>
    </row>
    <row r="26" ht="15.75" customHeight="1">
      <c r="A26" s="17"/>
      <c r="B26" s="17" t="s">
        <v>528</v>
      </c>
      <c r="C26" s="64">
        <f t="shared" ref="C26:L26" si="13">C22*C25</f>
        <v>862.2500702</v>
      </c>
      <c r="D26" s="64">
        <f t="shared" si="13"/>
        <v>834.5410221</v>
      </c>
      <c r="E26" s="64">
        <f t="shared" si="13"/>
        <v>809.3983638</v>
      </c>
      <c r="F26" s="64">
        <f t="shared" si="13"/>
        <v>786.4486054</v>
      </c>
      <c r="G26" s="64">
        <f t="shared" si="13"/>
        <v>765.3764288</v>
      </c>
      <c r="H26" s="64">
        <f t="shared" si="13"/>
        <v>745.9155592</v>
      </c>
      <c r="I26" s="64">
        <f t="shared" si="13"/>
        <v>727.8410702</v>
      </c>
      <c r="J26" s="64">
        <f t="shared" si="13"/>
        <v>710.9628969</v>
      </c>
      <c r="K26" s="64">
        <f t="shared" si="13"/>
        <v>695.1203684</v>
      </c>
      <c r="L26" s="64">
        <f t="shared" si="13"/>
        <v>680.1775982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ht="15.75" customHeight="1">
      <c r="A28" s="17"/>
      <c r="B28" s="17" t="s">
        <v>529</v>
      </c>
      <c r="C28" s="115">
        <v>1369.0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ht="15.75" customHeight="1">
      <c r="A29" s="17"/>
      <c r="B29" s="17" t="s">
        <v>530</v>
      </c>
      <c r="C29" s="70">
        <f>C28/(8%-2%)</f>
        <v>22816.66667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ht="15.75" customHeight="1">
      <c r="A30" s="17"/>
      <c r="B30" s="17" t="s">
        <v>531</v>
      </c>
      <c r="C30" s="70">
        <f>C29*0.42</f>
        <v>9583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29"/>
      <c r="T31" s="29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ht="15.75" customHeight="1">
      <c r="A32" s="17"/>
      <c r="B32" s="17" t="s">
        <v>532</v>
      </c>
      <c r="C32" s="70">
        <f>SUM(C26:L26)+C30</f>
        <v>17201.03198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ht="15.75" customHeight="1">
      <c r="A33" s="17"/>
      <c r="B33" s="17" t="s">
        <v>533</v>
      </c>
      <c r="C33" s="115">
        <f>'Balance Sheet'!R55</f>
        <v>7373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ht="15.75" customHeight="1">
      <c r="A34" s="17"/>
      <c r="B34" s="17" t="s">
        <v>534</v>
      </c>
      <c r="C34" s="17">
        <f>'Balance Sheet'!R4</f>
        <v>427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ht="15.75" customHeight="1">
      <c r="A35" s="17"/>
      <c r="B35" s="17" t="s">
        <v>535</v>
      </c>
      <c r="C35" s="70">
        <f>C32-C33+C34</f>
        <v>10255.03198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ht="15.75" customHeight="1">
      <c r="A36" s="17"/>
      <c r="B36" s="17" t="s">
        <v>536</v>
      </c>
      <c r="C36" s="17">
        <v>442.0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ht="15.75" customHeight="1">
      <c r="A37" s="17"/>
      <c r="B37" s="17" t="s">
        <v>537</v>
      </c>
      <c r="C37" s="64">
        <f>C35/C36</f>
        <v>23.20142983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1.38"/>
    <col customWidth="1" min="3" max="3" width="4.13"/>
    <col customWidth="1" min="4" max="22" width="7.88"/>
    <col customWidth="1" min="23" max="26" width="7.63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 t="s">
        <v>538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36" t="s">
        <v>539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16">
        <v>0.02</v>
      </c>
      <c r="E4" s="116">
        <v>0.03</v>
      </c>
      <c r="F4" s="116">
        <v>0.04</v>
      </c>
      <c r="G4" s="117">
        <v>0.05</v>
      </c>
      <c r="H4" s="116">
        <v>0.06</v>
      </c>
      <c r="I4" s="116">
        <v>0.07</v>
      </c>
      <c r="J4" s="116">
        <v>0.08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16">
        <v>0.04</v>
      </c>
      <c r="D5" s="118">
        <v>20.93</v>
      </c>
      <c r="E5" s="119">
        <v>22.45</v>
      </c>
      <c r="F5" s="120">
        <v>24.08</v>
      </c>
      <c r="G5" s="120">
        <v>25.83</v>
      </c>
      <c r="H5" s="120">
        <v>27.7</v>
      </c>
      <c r="I5" s="120">
        <v>29.7</v>
      </c>
      <c r="J5" s="121">
        <v>31.85</v>
      </c>
      <c r="K5" s="17"/>
      <c r="L5" s="17"/>
      <c r="M5" s="100"/>
      <c r="N5" s="100"/>
      <c r="O5" s="100"/>
      <c r="P5" s="100"/>
      <c r="Q5" s="100"/>
      <c r="R5" s="100"/>
      <c r="S5" s="100"/>
      <c r="T5" s="17"/>
      <c r="U5" s="17"/>
      <c r="V5" s="17"/>
      <c r="W5" s="17"/>
      <c r="X5" s="17"/>
      <c r="Y5" s="17"/>
      <c r="Z5" s="17"/>
    </row>
    <row r="6">
      <c r="A6" s="17"/>
      <c r="B6" s="17"/>
      <c r="C6" s="116">
        <v>0.05</v>
      </c>
      <c r="D6" s="122">
        <v>20.01</v>
      </c>
      <c r="E6" s="118">
        <v>21.5</v>
      </c>
      <c r="F6" s="119">
        <v>23.1</v>
      </c>
      <c r="G6" s="120">
        <v>24.82</v>
      </c>
      <c r="H6" s="120">
        <v>26.65</v>
      </c>
      <c r="I6" s="121">
        <v>28.62</v>
      </c>
      <c r="J6" s="123">
        <v>30.73</v>
      </c>
      <c r="K6" s="17"/>
      <c r="L6" s="17"/>
      <c r="M6" s="100"/>
      <c r="N6" s="100"/>
      <c r="O6" s="100"/>
      <c r="P6" s="100"/>
      <c r="Q6" s="100"/>
      <c r="R6" s="100"/>
      <c r="S6" s="100"/>
      <c r="T6" s="17"/>
      <c r="U6" s="17"/>
      <c r="V6" s="17"/>
      <c r="W6" s="17"/>
      <c r="X6" s="17"/>
      <c r="Y6" s="17"/>
      <c r="Z6" s="17"/>
    </row>
    <row r="7">
      <c r="A7" s="17"/>
      <c r="B7" s="17"/>
      <c r="C7" s="116">
        <v>0.06</v>
      </c>
      <c r="D7" s="122">
        <v>19.16</v>
      </c>
      <c r="E7" s="122">
        <v>20.62</v>
      </c>
      <c r="F7" s="118">
        <v>22.19</v>
      </c>
      <c r="G7" s="120">
        <v>23.88</v>
      </c>
      <c r="H7" s="121">
        <v>25.68</v>
      </c>
      <c r="I7" s="123">
        <v>27.62</v>
      </c>
      <c r="J7" s="123">
        <v>29.7</v>
      </c>
      <c r="K7" s="17"/>
      <c r="L7" s="17"/>
      <c r="M7" s="100"/>
      <c r="N7" s="100"/>
      <c r="O7" s="100"/>
      <c r="P7" s="100"/>
      <c r="Q7" s="100"/>
      <c r="R7" s="100"/>
      <c r="S7" s="100"/>
      <c r="T7" s="17"/>
      <c r="U7" s="17"/>
      <c r="V7" s="17"/>
      <c r="W7" s="17"/>
      <c r="X7" s="17"/>
      <c r="Y7" s="17"/>
      <c r="Z7" s="17"/>
    </row>
    <row r="8">
      <c r="A8" s="17"/>
      <c r="B8" s="17" t="s">
        <v>540</v>
      </c>
      <c r="C8" s="117">
        <v>0.07</v>
      </c>
      <c r="D8" s="122">
        <v>18.54</v>
      </c>
      <c r="E8" s="122">
        <v>19.99</v>
      </c>
      <c r="F8" s="122">
        <v>21.54</v>
      </c>
      <c r="G8" s="124">
        <v>23.2</v>
      </c>
      <c r="H8" s="123">
        <v>24.99</v>
      </c>
      <c r="I8" s="123">
        <v>26.9</v>
      </c>
      <c r="J8" s="123">
        <v>28.95</v>
      </c>
      <c r="K8" s="17"/>
      <c r="L8" s="17"/>
      <c r="M8" s="100"/>
      <c r="N8" s="100"/>
      <c r="O8" s="100"/>
      <c r="P8" s="100"/>
      <c r="Q8" s="100"/>
      <c r="R8" s="100"/>
      <c r="S8" s="100"/>
      <c r="T8" s="17"/>
      <c r="U8" s="17"/>
      <c r="V8" s="17"/>
      <c r="W8" s="17"/>
      <c r="X8" s="17"/>
      <c r="Y8" s="17"/>
      <c r="Z8" s="17"/>
    </row>
    <row r="9">
      <c r="A9" s="17"/>
      <c r="B9" s="17"/>
      <c r="C9" s="116">
        <v>0.08</v>
      </c>
      <c r="D9" s="122">
        <v>17.63</v>
      </c>
      <c r="E9" s="122">
        <v>19.05</v>
      </c>
      <c r="F9" s="125">
        <v>20.57</v>
      </c>
      <c r="G9" s="126">
        <v>22.2</v>
      </c>
      <c r="H9" s="127">
        <v>23.95</v>
      </c>
      <c r="I9" s="123">
        <v>25.83</v>
      </c>
      <c r="J9" s="123">
        <v>27.85</v>
      </c>
      <c r="K9" s="17"/>
      <c r="L9" s="17"/>
      <c r="M9" s="100"/>
      <c r="N9" s="100"/>
      <c r="O9" s="100"/>
      <c r="P9" s="100"/>
      <c r="Q9" s="100"/>
      <c r="R9" s="100"/>
      <c r="S9" s="100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16">
        <v>0.09</v>
      </c>
      <c r="D10" s="122">
        <v>16.94</v>
      </c>
      <c r="E10" s="125">
        <v>18.34</v>
      </c>
      <c r="F10" s="126">
        <v>19.84</v>
      </c>
      <c r="G10" s="126">
        <v>21.45</v>
      </c>
      <c r="H10" s="126">
        <v>23.17</v>
      </c>
      <c r="I10" s="127">
        <v>25.03</v>
      </c>
      <c r="J10" s="123">
        <v>27.02</v>
      </c>
      <c r="K10" s="17"/>
      <c r="L10" s="17"/>
      <c r="M10" s="100"/>
      <c r="N10" s="100"/>
      <c r="O10" s="100"/>
      <c r="P10" s="100"/>
      <c r="Q10" s="100"/>
      <c r="R10" s="100"/>
      <c r="S10" s="100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16">
        <v>0.1</v>
      </c>
      <c r="D11" s="125">
        <v>16.3</v>
      </c>
      <c r="E11" s="126">
        <v>17.68</v>
      </c>
      <c r="F11" s="126">
        <v>19.16</v>
      </c>
      <c r="G11" s="126">
        <v>20.75</v>
      </c>
      <c r="H11" s="126">
        <v>22.45</v>
      </c>
      <c r="I11" s="128">
        <v>24.28</v>
      </c>
      <c r="J11" s="127">
        <v>26.25</v>
      </c>
      <c r="K11" s="17"/>
      <c r="L11" s="17"/>
      <c r="M11" s="100"/>
      <c r="N11" s="100"/>
      <c r="O11" s="100"/>
      <c r="P11" s="100"/>
      <c r="Q11" s="100"/>
      <c r="R11" s="100"/>
      <c r="S11" s="100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50"/>
      <c r="T13" s="50"/>
      <c r="U13" s="50"/>
      <c r="V13" s="50"/>
      <c r="W13" s="17"/>
      <c r="X13" s="17"/>
      <c r="Y13" s="17"/>
      <c r="Z13" s="17"/>
    </row>
    <row r="14">
      <c r="A14" s="17"/>
      <c r="B14" s="17" t="s">
        <v>541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36" t="s">
        <v>539</v>
      </c>
      <c r="I15" s="17"/>
      <c r="J15" s="17"/>
      <c r="K15" s="17"/>
      <c r="L15" s="17"/>
      <c r="M15" s="17"/>
      <c r="N15" s="17"/>
      <c r="O15" s="17"/>
      <c r="P15" s="17"/>
      <c r="Q15" s="17"/>
      <c r="R15" s="50"/>
      <c r="S15" s="17"/>
      <c r="T15" s="17"/>
      <c r="U15" s="17"/>
      <c r="V15" s="29"/>
      <c r="W15" s="17"/>
      <c r="X15" s="17"/>
      <c r="Y15" s="17"/>
      <c r="Z15" s="17"/>
    </row>
    <row r="16">
      <c r="A16" s="17"/>
      <c r="B16" s="17"/>
      <c r="C16" s="17"/>
      <c r="D16" s="116">
        <v>0.02</v>
      </c>
      <c r="E16" s="116">
        <v>0.03</v>
      </c>
      <c r="F16" s="116">
        <v>0.04</v>
      </c>
      <c r="G16" s="117">
        <v>0.05</v>
      </c>
      <c r="H16" s="116">
        <v>0.06</v>
      </c>
      <c r="I16" s="116">
        <v>0.07</v>
      </c>
      <c r="J16" s="116">
        <v>0.08</v>
      </c>
      <c r="K16" s="17"/>
      <c r="L16" s="17"/>
      <c r="M16" s="17"/>
      <c r="N16" s="17"/>
      <c r="O16" s="17"/>
      <c r="P16" s="17"/>
      <c r="Q16" s="17"/>
      <c r="R16" s="50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16">
        <v>0.04</v>
      </c>
      <c r="D17" s="129">
        <v>-0.09433145824318476</v>
      </c>
      <c r="E17" s="130">
        <v>-0.0285590653396798</v>
      </c>
      <c r="F17" s="131">
        <v>0.0419731717871051</v>
      </c>
      <c r="G17" s="131">
        <v>0.11769796624837728</v>
      </c>
      <c r="H17" s="131">
        <v>0.19861531804413673</v>
      </c>
      <c r="I17" s="131">
        <v>0.28515794028559066</v>
      </c>
      <c r="J17" s="132">
        <v>0.37819125919515373</v>
      </c>
      <c r="K17" s="17"/>
      <c r="L17" s="17"/>
      <c r="M17" s="17"/>
      <c r="N17" s="17"/>
      <c r="O17" s="17"/>
      <c r="P17" s="17"/>
      <c r="Q17" s="17"/>
      <c r="R17" s="50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16">
        <v>0.05</v>
      </c>
      <c r="D18" s="133">
        <v>-0.13414106447425347</v>
      </c>
      <c r="E18" s="129">
        <v>-0.06966681090437038</v>
      </c>
      <c r="F18" s="130">
        <v>-4.327131112071835E-4</v>
      </c>
      <c r="G18" s="131">
        <v>0.07399394201644313</v>
      </c>
      <c r="H18" s="131">
        <v>0.1531804413673734</v>
      </c>
      <c r="I18" s="132">
        <v>0.23842492427520562</v>
      </c>
      <c r="J18" s="134">
        <v>0.32972739073993945</v>
      </c>
      <c r="K18" s="17"/>
      <c r="L18" s="17"/>
      <c r="M18" s="17"/>
      <c r="N18" s="17"/>
      <c r="O18" s="17"/>
      <c r="P18" s="17"/>
      <c r="Q18" s="17"/>
      <c r="R18" s="50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16">
        <v>0.06</v>
      </c>
      <c r="D19" s="133">
        <v>-0.17092167892687146</v>
      </c>
      <c r="E19" s="133">
        <v>-0.10774556469061006</v>
      </c>
      <c r="F19" s="129">
        <v>-0.039809606231068724</v>
      </c>
      <c r="G19" s="131">
        <v>0.03331890956295974</v>
      </c>
      <c r="H19" s="132">
        <v>0.1112072695802683</v>
      </c>
      <c r="I19" s="134">
        <v>0.19515361315447866</v>
      </c>
      <c r="J19" s="134">
        <v>0.28515794028559066</v>
      </c>
      <c r="K19" s="17"/>
      <c r="L19" s="17"/>
      <c r="M19" s="17"/>
      <c r="N19" s="17"/>
      <c r="O19" s="17"/>
      <c r="P19" s="17"/>
      <c r="Q19" s="17"/>
      <c r="R19" s="50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 t="s">
        <v>540</v>
      </c>
      <c r="C20" s="117">
        <v>0.07</v>
      </c>
      <c r="D20" s="133">
        <v>-0.19774989182172223</v>
      </c>
      <c r="E20" s="133">
        <v>-0.13500649069666815</v>
      </c>
      <c r="F20" s="133">
        <v>-0.06793595845954134</v>
      </c>
      <c r="G20" s="135">
        <v>0.0038944180008654203</v>
      </c>
      <c r="H20" s="134">
        <v>0.08135006490696664</v>
      </c>
      <c r="I20" s="134">
        <v>0.16399826914755514</v>
      </c>
      <c r="J20" s="134">
        <v>0.25270445694504545</v>
      </c>
      <c r="K20" s="17"/>
      <c r="L20" s="17"/>
      <c r="M20" s="17"/>
      <c r="N20" s="17"/>
      <c r="O20" s="17"/>
      <c r="P20" s="17"/>
      <c r="Q20" s="17"/>
      <c r="R20" s="50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16">
        <v>0.08</v>
      </c>
      <c r="D21" s="133">
        <v>-0.23712678494158376</v>
      </c>
      <c r="E21" s="133">
        <v>-0.1756815231501514</v>
      </c>
      <c r="F21" s="136">
        <v>-0.10990913024664643</v>
      </c>
      <c r="G21" s="137">
        <v>-0.03937689311986154</v>
      </c>
      <c r="H21" s="138">
        <v>0.03634790134141064</v>
      </c>
      <c r="I21" s="134">
        <v>0.11769796624837728</v>
      </c>
      <c r="J21" s="134">
        <v>0.20510601471224588</v>
      </c>
      <c r="K21" s="17"/>
      <c r="L21" s="17"/>
      <c r="M21" s="17"/>
      <c r="N21" s="17"/>
      <c r="O21" s="17"/>
      <c r="P21" s="17"/>
      <c r="Q21" s="17"/>
      <c r="R21" s="50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16">
        <v>0.09</v>
      </c>
      <c r="D22" s="133">
        <v>-0.26698398961488523</v>
      </c>
      <c r="E22" s="136">
        <v>-0.20640415404586757</v>
      </c>
      <c r="F22" s="137">
        <v>-0.14149718736477715</v>
      </c>
      <c r="G22" s="137">
        <v>-0.07183037646040676</v>
      </c>
      <c r="H22" s="137">
        <v>-0.00259627866724372</v>
      </c>
      <c r="I22" s="138">
        <v>0.08308091735179583</v>
      </c>
      <c r="J22" s="134">
        <v>0.16919082648204242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16">
        <v>0.1</v>
      </c>
      <c r="D23" s="136">
        <v>-0.29467762873215053</v>
      </c>
      <c r="E23" s="137">
        <v>-0.23496321938554737</v>
      </c>
      <c r="F23" s="137">
        <v>-0.17092167892687146</v>
      </c>
      <c r="G23" s="137">
        <v>-0.1021202942449156</v>
      </c>
      <c r="H23" s="137">
        <v>-0.0285590653396798</v>
      </c>
      <c r="I23" s="139">
        <v>0.05062743401125062</v>
      </c>
      <c r="J23" s="138">
        <v>0.13587191691908268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F3:H3"/>
    <mergeCell ref="F15:H1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4.63"/>
    <col customWidth="1" min="3" max="3" width="2.13"/>
    <col customWidth="1" min="4" max="28" width="7.88"/>
  </cols>
  <sheetData>
    <row r="1">
      <c r="A1" s="140" t="s">
        <v>542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141" t="s">
        <v>543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7"/>
      <c r="B4" s="17" t="s">
        <v>544</v>
      </c>
      <c r="C4" s="17"/>
      <c r="D4" s="17"/>
      <c r="E4" s="17"/>
      <c r="F4" s="17"/>
      <c r="G4" s="17"/>
      <c r="H4" s="17"/>
      <c r="I4" s="17"/>
      <c r="J4" s="17"/>
      <c r="K4" s="17" t="s">
        <v>545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7"/>
      <c r="B5" s="17" t="s">
        <v>546</v>
      </c>
      <c r="C5" s="17"/>
      <c r="D5" s="17"/>
      <c r="E5" s="17"/>
      <c r="F5" s="17"/>
      <c r="G5" s="17"/>
      <c r="H5" s="17"/>
      <c r="I5" s="17"/>
      <c r="J5" s="17"/>
      <c r="K5" s="17" t="s">
        <v>545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t="30.75" customHeight="1">
      <c r="A6" s="17"/>
      <c r="B6" s="17" t="s">
        <v>547</v>
      </c>
      <c r="C6" s="17"/>
      <c r="D6" s="17"/>
      <c r="E6" s="17"/>
      <c r="F6" s="17"/>
      <c r="G6" s="17"/>
      <c r="H6" s="17"/>
      <c r="I6" s="17"/>
      <c r="J6" s="17"/>
      <c r="K6" s="17" t="s">
        <v>545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7"/>
      <c r="B7" s="17" t="s">
        <v>548</v>
      </c>
      <c r="C7" s="17"/>
      <c r="D7" s="17"/>
      <c r="E7" s="17"/>
      <c r="F7" s="17"/>
      <c r="G7" s="17"/>
      <c r="H7" s="17"/>
      <c r="I7" s="17"/>
      <c r="J7" s="17"/>
      <c r="K7" s="17" t="s">
        <v>545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7" t="s">
        <v>549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ht="28.5" customHeight="1">
      <c r="A10" s="17"/>
      <c r="B10" s="17" t="s">
        <v>550</v>
      </c>
      <c r="C10" s="17"/>
      <c r="D10" s="17"/>
      <c r="E10" s="17"/>
      <c r="F10" s="17"/>
      <c r="G10" s="17"/>
      <c r="H10" s="17"/>
      <c r="I10" s="17"/>
      <c r="J10" s="17"/>
      <c r="K10" s="17" t="s">
        <v>545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7"/>
      <c r="B11" s="17" t="s">
        <v>551</v>
      </c>
      <c r="C11" s="17"/>
      <c r="D11" s="17"/>
      <c r="E11" s="17"/>
      <c r="F11" s="17"/>
      <c r="G11" s="17"/>
      <c r="H11" s="17"/>
      <c r="I11" s="17"/>
      <c r="J11" s="17"/>
      <c r="K11" s="17" t="s">
        <v>545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7"/>
      <c r="B12" s="17" t="s">
        <v>552</v>
      </c>
      <c r="C12" s="17"/>
      <c r="D12" s="17"/>
      <c r="E12" s="17"/>
      <c r="F12" s="17"/>
      <c r="G12" s="17"/>
      <c r="H12" s="17"/>
      <c r="I12" s="17"/>
      <c r="J12" s="17"/>
      <c r="K12" s="17" t="s">
        <v>545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7" t="s">
        <v>553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7"/>
      <c r="B15" s="17" t="s">
        <v>554</v>
      </c>
      <c r="C15" s="17"/>
      <c r="D15" s="17"/>
      <c r="E15" s="17"/>
      <c r="F15" s="17"/>
      <c r="G15" s="17"/>
      <c r="H15" s="17"/>
      <c r="I15" s="17"/>
      <c r="J15" s="17"/>
      <c r="K15" s="17" t="s">
        <v>545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7"/>
      <c r="B16" s="17" t="s">
        <v>555</v>
      </c>
      <c r="C16" s="17"/>
      <c r="D16" s="17"/>
      <c r="E16" s="17"/>
      <c r="F16" s="17"/>
      <c r="G16" s="17"/>
      <c r="H16" s="17"/>
      <c r="I16" s="17"/>
      <c r="J16" s="17"/>
      <c r="K16" s="17" t="s">
        <v>545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7"/>
      <c r="B18" s="17"/>
      <c r="C18" s="17"/>
      <c r="D18" s="17">
        <v>2003.0</v>
      </c>
      <c r="E18" s="17">
        <v>2004.0</v>
      </c>
      <c r="F18" s="17">
        <v>2005.0</v>
      </c>
      <c r="G18" s="17">
        <v>2006.0</v>
      </c>
      <c r="H18" s="17">
        <v>2007.0</v>
      </c>
      <c r="I18" s="17">
        <v>2008.0</v>
      </c>
      <c r="J18" s="17">
        <v>2009.0</v>
      </c>
      <c r="K18" s="17">
        <v>2010.0</v>
      </c>
      <c r="L18" s="17">
        <v>2011.0</v>
      </c>
      <c r="M18" s="17">
        <v>2012.0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7"/>
      <c r="B19" s="142" t="s">
        <v>542</v>
      </c>
      <c r="C19" s="17"/>
      <c r="D19" s="142">
        <f t="shared" ref="D19:M19" si="1">SUM(D21:D29)</f>
        <v>7</v>
      </c>
      <c r="E19" s="143">
        <f t="shared" si="1"/>
        <v>8</v>
      </c>
      <c r="F19" s="144">
        <f t="shared" si="1"/>
        <v>7</v>
      </c>
      <c r="G19" s="144">
        <f t="shared" si="1"/>
        <v>6</v>
      </c>
      <c r="H19" s="142">
        <f t="shared" si="1"/>
        <v>6</v>
      </c>
      <c r="I19" s="143">
        <f t="shared" si="1"/>
        <v>7</v>
      </c>
      <c r="J19" s="144">
        <f t="shared" si="1"/>
        <v>5</v>
      </c>
      <c r="K19" s="142">
        <f t="shared" si="1"/>
        <v>5</v>
      </c>
      <c r="L19" s="144">
        <f t="shared" si="1"/>
        <v>4</v>
      </c>
      <c r="M19" s="143">
        <f t="shared" si="1"/>
        <v>6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5.75" customHeight="1">
      <c r="A21" s="17"/>
      <c r="B21" s="17" t="s">
        <v>556</v>
      </c>
      <c r="C21" s="17"/>
      <c r="D21" s="17">
        <v>0.0</v>
      </c>
      <c r="E21" s="17">
        <v>1.0</v>
      </c>
      <c r="F21" s="17">
        <v>1.0</v>
      </c>
      <c r="G21" s="17">
        <v>1.0</v>
      </c>
      <c r="H21" s="17">
        <v>1.0</v>
      </c>
      <c r="I21" s="17">
        <v>1.0</v>
      </c>
      <c r="J21" s="17">
        <v>1.0</v>
      </c>
      <c r="K21" s="17">
        <v>1.0</v>
      </c>
      <c r="L21" s="17">
        <v>1.0</v>
      </c>
      <c r="M21" s="17">
        <v>1.0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5.75" customHeight="1">
      <c r="A22" s="17"/>
      <c r="B22" s="17" t="s">
        <v>557</v>
      </c>
      <c r="C22" s="17"/>
      <c r="D22" s="17">
        <v>1.0</v>
      </c>
      <c r="E22" s="17">
        <v>1.0</v>
      </c>
      <c r="F22" s="17">
        <v>1.0</v>
      </c>
      <c r="G22" s="17">
        <v>1.0</v>
      </c>
      <c r="H22" s="17">
        <v>1.0</v>
      </c>
      <c r="I22" s="17">
        <v>1.0</v>
      </c>
      <c r="J22" s="17">
        <v>1.0</v>
      </c>
      <c r="K22" s="17">
        <v>1.0</v>
      </c>
      <c r="L22" s="17">
        <v>1.0</v>
      </c>
      <c r="M22" s="17">
        <v>1.0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5.75" customHeight="1">
      <c r="A23" s="17"/>
      <c r="B23" s="17" t="s">
        <v>558</v>
      </c>
      <c r="C23" s="17"/>
      <c r="D23" s="17">
        <v>1.0</v>
      </c>
      <c r="E23" s="17">
        <v>1.0</v>
      </c>
      <c r="F23" s="17">
        <v>1.0</v>
      </c>
      <c r="G23" s="17">
        <v>1.0</v>
      </c>
      <c r="H23" s="17">
        <v>0.0</v>
      </c>
      <c r="I23" s="17">
        <v>1.0</v>
      </c>
      <c r="J23" s="17">
        <v>0.0</v>
      </c>
      <c r="K23" s="17">
        <v>0.0</v>
      </c>
      <c r="L23" s="17">
        <v>0.0</v>
      </c>
      <c r="M23" s="17">
        <v>1.0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5.75" customHeight="1">
      <c r="A24" s="17"/>
      <c r="B24" s="17" t="s">
        <v>559</v>
      </c>
      <c r="C24" s="17"/>
      <c r="D24" s="17">
        <v>1.0</v>
      </c>
      <c r="E24" s="17">
        <v>1.0</v>
      </c>
      <c r="F24" s="17">
        <v>0.0</v>
      </c>
      <c r="G24" s="17">
        <v>0.0</v>
      </c>
      <c r="H24" s="17">
        <v>0.0</v>
      </c>
      <c r="I24" s="17">
        <v>0.0</v>
      </c>
      <c r="J24" s="17">
        <v>0.0</v>
      </c>
      <c r="K24" s="17">
        <v>0.0</v>
      </c>
      <c r="L24" s="17">
        <v>0.0</v>
      </c>
      <c r="M24" s="17">
        <v>0.0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5.75" customHeight="1">
      <c r="A25" s="17"/>
      <c r="B25" s="17" t="s">
        <v>560</v>
      </c>
      <c r="C25" s="17"/>
      <c r="D25" s="17">
        <v>1.0</v>
      </c>
      <c r="E25" s="17">
        <v>1.0</v>
      </c>
      <c r="F25" s="17">
        <v>1.0</v>
      </c>
      <c r="G25" s="17">
        <v>0.0</v>
      </c>
      <c r="H25" s="17">
        <v>1.0</v>
      </c>
      <c r="I25" s="17">
        <v>1.0</v>
      </c>
      <c r="J25" s="17">
        <v>1.0</v>
      </c>
      <c r="K25" s="17">
        <v>0.0</v>
      </c>
      <c r="L25" s="17">
        <v>0.0</v>
      </c>
      <c r="M25" s="17">
        <v>1.0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5.75" customHeight="1">
      <c r="A26" s="17"/>
      <c r="B26" s="17" t="s">
        <v>211</v>
      </c>
      <c r="C26" s="17"/>
      <c r="D26" s="17">
        <v>0.0</v>
      </c>
      <c r="E26" s="17">
        <v>0.0</v>
      </c>
      <c r="F26" s="17">
        <v>1.0</v>
      </c>
      <c r="G26" s="17">
        <v>1.0</v>
      </c>
      <c r="H26" s="17">
        <v>1.0</v>
      </c>
      <c r="I26" s="17">
        <v>0.0</v>
      </c>
      <c r="J26" s="17">
        <v>1.0</v>
      </c>
      <c r="K26" s="17">
        <v>1.0</v>
      </c>
      <c r="L26" s="17">
        <v>1.0</v>
      </c>
      <c r="M26" s="17">
        <v>0.0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5.75" customHeight="1">
      <c r="A27" s="17"/>
      <c r="B27" s="17" t="s">
        <v>561</v>
      </c>
      <c r="C27" s="17"/>
      <c r="D27" s="17">
        <v>1.0</v>
      </c>
      <c r="E27" s="17">
        <v>1.0</v>
      </c>
      <c r="F27" s="17">
        <v>1.0</v>
      </c>
      <c r="G27" s="17">
        <v>1.0</v>
      </c>
      <c r="H27" s="17">
        <v>0.0</v>
      </c>
      <c r="I27" s="17">
        <v>1.0</v>
      </c>
      <c r="J27" s="17">
        <v>0.0</v>
      </c>
      <c r="K27" s="17">
        <v>0.0</v>
      </c>
      <c r="L27" s="17">
        <v>0.0</v>
      </c>
      <c r="M27" s="17">
        <v>0.0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5.75" customHeight="1">
      <c r="A28" s="17"/>
      <c r="B28" s="17" t="s">
        <v>8</v>
      </c>
      <c r="C28" s="17"/>
      <c r="D28" s="17">
        <v>1.0</v>
      </c>
      <c r="E28" s="17">
        <v>1.0</v>
      </c>
      <c r="F28" s="17">
        <v>0.0</v>
      </c>
      <c r="G28" s="17">
        <v>0.0</v>
      </c>
      <c r="H28" s="17">
        <v>1.0</v>
      </c>
      <c r="I28" s="17">
        <v>1.0</v>
      </c>
      <c r="J28" s="17">
        <v>0.0</v>
      </c>
      <c r="K28" s="17">
        <v>1.0</v>
      </c>
      <c r="L28" s="17">
        <v>0.0</v>
      </c>
      <c r="M28" s="17">
        <v>1.0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5.75" customHeight="1">
      <c r="A29" s="17"/>
      <c r="B29" s="17" t="s">
        <v>217</v>
      </c>
      <c r="C29" s="17"/>
      <c r="D29" s="17">
        <v>1.0</v>
      </c>
      <c r="E29" s="17">
        <v>1.0</v>
      </c>
      <c r="F29" s="17">
        <v>1.0</v>
      </c>
      <c r="G29" s="17">
        <v>1.0</v>
      </c>
      <c r="H29" s="17">
        <v>1.0</v>
      </c>
      <c r="I29" s="17">
        <v>1.0</v>
      </c>
      <c r="J29" s="17">
        <v>1.0</v>
      </c>
      <c r="K29" s="17">
        <v>1.0</v>
      </c>
      <c r="L29" s="17">
        <v>1.0</v>
      </c>
      <c r="M29" s="17">
        <v>1.0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5.75" customHeight="1">
      <c r="A32" s="140"/>
      <c r="B32" s="140" t="s">
        <v>562</v>
      </c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5.75" customHeight="1">
      <c r="A34" s="17"/>
      <c r="B34" s="17" t="s">
        <v>420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5.75" customHeight="1">
      <c r="A35" s="17"/>
      <c r="B35" s="17" t="s">
        <v>563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5.75" customHeight="1">
      <c r="A37" s="17"/>
      <c r="B37" s="17" t="s">
        <v>564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ht="15.75" customHeight="1">
      <c r="A38" s="17"/>
      <c r="B38" s="17" t="s">
        <v>565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ht="15.75" customHeight="1">
      <c r="A39" s="17"/>
      <c r="B39" s="17" t="s">
        <v>566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ht="15.75" customHeight="1">
      <c r="A40" s="17"/>
      <c r="B40" s="17" t="s">
        <v>567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ht="15.75" customHeight="1">
      <c r="A41" s="17"/>
      <c r="B41" s="17" t="s">
        <v>568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5.75" customHeight="1">
      <c r="A43" s="17"/>
      <c r="B43" s="17"/>
      <c r="C43" s="17"/>
      <c r="D43" s="17">
        <v>2003.0</v>
      </c>
      <c r="E43" s="17">
        <v>2004.0</v>
      </c>
      <c r="F43" s="17">
        <v>2005.0</v>
      </c>
      <c r="G43" s="17">
        <v>2006.0</v>
      </c>
      <c r="H43" s="17">
        <v>2007.0</v>
      </c>
      <c r="I43" s="17">
        <v>2008.0</v>
      </c>
      <c r="J43" s="17">
        <v>2009.0</v>
      </c>
      <c r="K43" s="17">
        <v>2010.0</v>
      </c>
      <c r="L43" s="17">
        <v>2011.0</v>
      </c>
      <c r="M43" s="17">
        <v>2012.0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5.75" customHeight="1">
      <c r="A44" s="17"/>
      <c r="B44" s="17" t="s">
        <v>176</v>
      </c>
      <c r="C44" s="17"/>
      <c r="D44" s="17">
        <f>'Balance Sheet'!I69</f>
        <v>-536.6</v>
      </c>
      <c r="E44" s="17">
        <f>'Balance Sheet'!J69</f>
        <v>-679.6</v>
      </c>
      <c r="F44" s="17">
        <f>'Balance Sheet'!K69</f>
        <v>-383.4</v>
      </c>
      <c r="G44" s="17">
        <f>'Balance Sheet'!L69</f>
        <v>-380.3</v>
      </c>
      <c r="H44" s="17">
        <f>'Balance Sheet'!M69</f>
        <v>-271.7</v>
      </c>
      <c r="I44" s="17">
        <f>'Balance Sheet'!N69</f>
        <v>-424.2</v>
      </c>
      <c r="J44" s="17">
        <f>'Balance Sheet'!O69</f>
        <v>-619.3</v>
      </c>
      <c r="K44" s="17">
        <f>'Balance Sheet'!P69</f>
        <v>-423.9</v>
      </c>
      <c r="L44" s="17">
        <f>'Balance Sheet'!Q69</f>
        <v>131</v>
      </c>
      <c r="M44" s="17">
        <f>'Balance Sheet'!R69</f>
        <v>-544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5.75" customHeight="1">
      <c r="A45" s="17"/>
      <c r="B45" s="17" t="s">
        <v>143</v>
      </c>
      <c r="C45" s="17"/>
      <c r="D45" s="115">
        <f>'Balance Sheet'!I36</f>
        <v>7601.1</v>
      </c>
      <c r="E45" s="115">
        <f>'Balance Sheet'!J36</f>
        <v>7556.9</v>
      </c>
      <c r="F45" s="115">
        <f>'Balance Sheet'!K36</f>
        <v>7416.9</v>
      </c>
      <c r="G45" s="115">
        <f>'Balance Sheet'!L36</f>
        <v>7522.5</v>
      </c>
      <c r="H45" s="115">
        <f>'Balance Sheet'!M36</f>
        <v>8163.7</v>
      </c>
      <c r="I45" s="115">
        <f>'Balance Sheet'!N36</f>
        <v>8357.8</v>
      </c>
      <c r="J45" s="115">
        <f>'Balance Sheet'!O36</f>
        <v>8938.1</v>
      </c>
      <c r="K45" s="115">
        <f>'Balance Sheet'!P36</f>
        <v>10154</v>
      </c>
      <c r="L45" s="115">
        <f>'Balance Sheet'!Q36</f>
        <v>12525.9</v>
      </c>
      <c r="M45" s="115">
        <f>'Balance Sheet'!R36</f>
        <v>12722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5.75" customHeight="1">
      <c r="A46" s="17"/>
      <c r="B46" s="17" t="s">
        <v>163</v>
      </c>
      <c r="C46" s="17"/>
      <c r="D46" s="115">
        <f>'Balance Sheet'!I55</f>
        <v>4309.2</v>
      </c>
      <c r="E46" s="115">
        <f>'Balance Sheet'!J55</f>
        <v>4205.8</v>
      </c>
      <c r="F46" s="115">
        <f>'Balance Sheet'!K55</f>
        <v>4799.7</v>
      </c>
      <c r="G46" s="115">
        <f>'Balance Sheet'!L55</f>
        <v>5119.5</v>
      </c>
      <c r="H46" s="115">
        <f>'Balance Sheet'!M55</f>
        <v>5307.8</v>
      </c>
      <c r="I46" s="115">
        <f>'Balance Sheet'!N55</f>
        <v>5274</v>
      </c>
      <c r="J46" s="115">
        <f>'Balance Sheet'!O55</f>
        <v>5063.1</v>
      </c>
      <c r="K46" s="115">
        <f>'Balance Sheet'!P55</f>
        <v>6364</v>
      </c>
      <c r="L46" s="115">
        <f>'Balance Sheet'!Q55</f>
        <v>8177.7</v>
      </c>
      <c r="M46" s="115">
        <f>'Balance Sheet'!R55</f>
        <v>7373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5.75" customHeight="1">
      <c r="A47" s="17"/>
      <c r="B47" s="17" t="s">
        <v>169</v>
      </c>
      <c r="C47" s="17"/>
      <c r="D47" s="17">
        <f>'Balance Sheet'!I62</f>
        <v>-340.3</v>
      </c>
      <c r="E47" s="17">
        <f>'Balance Sheet'!J62</f>
        <v>-369.2</v>
      </c>
      <c r="F47" s="17">
        <f>'Balance Sheet'!K62</f>
        <v>-471.5</v>
      </c>
      <c r="G47" s="17">
        <f>'Balance Sheet'!L62</f>
        <v>-172.7</v>
      </c>
      <c r="H47" s="17">
        <f>'Balance Sheet'!M62</f>
        <v>-68.1</v>
      </c>
      <c r="I47" s="17">
        <f>'Balance Sheet'!N62</f>
        <v>-57.7</v>
      </c>
      <c r="J47" s="17">
        <f>'Balance Sheet'!O62</f>
        <v>384.7</v>
      </c>
      <c r="K47" s="17">
        <f>'Balance Sheet'!P62</f>
        <v>457.7</v>
      </c>
      <c r="L47" s="17">
        <f>'Balance Sheet'!Q62</f>
        <v>516.5</v>
      </c>
      <c r="M47" s="29">
        <f>'Balance Sheet'!R62</f>
        <v>1020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5.75" customHeight="1">
      <c r="A48" s="17"/>
      <c r="B48" s="17" t="s">
        <v>14</v>
      </c>
      <c r="C48" s="17"/>
      <c r="D48" s="17">
        <f>'Income Statement'!I14</f>
        <v>820.6</v>
      </c>
      <c r="E48" s="17">
        <f>'Income Statement'!J14</f>
        <v>925.9</v>
      </c>
      <c r="F48" s="17">
        <f>'Income Statement'!K14</f>
        <v>982</v>
      </c>
      <c r="G48" s="29">
        <f>'Income Statement'!L14</f>
        <v>1077.9</v>
      </c>
      <c r="H48" s="29">
        <f>'Income Statement'!M14</f>
        <v>1239.6</v>
      </c>
      <c r="I48" s="29">
        <f>'Income Statement'!N14</f>
        <v>1917</v>
      </c>
      <c r="J48" s="29">
        <f>'Income Statement'!O14</f>
        <v>1253.9</v>
      </c>
      <c r="K48" s="29">
        <f>'Income Statement'!P14</f>
        <v>2385.7</v>
      </c>
      <c r="L48" s="29">
        <f>'Income Statement'!Q14</f>
        <v>1948.6</v>
      </c>
      <c r="M48" s="29">
        <f>'Income Statement'!R14</f>
        <v>2132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5.75" customHeight="1">
      <c r="A49" s="17"/>
      <c r="B49" s="17" t="s">
        <v>569</v>
      </c>
      <c r="C49" s="17"/>
      <c r="D49" s="111">
        <f>'Balance Sheet'!I66*2.8</f>
        <v>6986.28</v>
      </c>
      <c r="E49" s="111">
        <f>'Balance Sheet'!J66*2.8</f>
        <v>6977.6</v>
      </c>
      <c r="F49" s="111">
        <f>'Balance Sheet'!K66*2.8</f>
        <v>5748.68</v>
      </c>
      <c r="G49" s="111">
        <f>'Balance Sheet'!L66*2.8</f>
        <v>5067.16</v>
      </c>
      <c r="H49" s="111">
        <f>'Balance Sheet'!M66*2.8</f>
        <v>5583.2</v>
      </c>
      <c r="I49" s="111">
        <f>'Balance Sheet'!N66*2.8</f>
        <v>6314.56</v>
      </c>
      <c r="J49" s="111">
        <f>'Balance Sheet'!O66*2.8</f>
        <v>6994.4</v>
      </c>
      <c r="K49" s="111">
        <f>'Balance Sheet'!P66*2.8</f>
        <v>7757.4</v>
      </c>
      <c r="L49" s="111">
        <f>'Balance Sheet'!Q66*2.8</f>
        <v>9007.32</v>
      </c>
      <c r="M49" s="111">
        <f>'Balance Sheet'!R66*2.8</f>
        <v>10511.2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5.75" customHeight="1">
      <c r="A50" s="17"/>
      <c r="B50" s="17" t="s">
        <v>570</v>
      </c>
      <c r="C50" s="17"/>
      <c r="D50" s="115">
        <f>'Income Statement'!I3</f>
        <v>2076.7</v>
      </c>
      <c r="E50" s="115">
        <f>'Income Statement'!J3</f>
        <v>2079.7</v>
      </c>
      <c r="F50" s="115">
        <f>'Income Statement'!K3</f>
        <v>2209.8</v>
      </c>
      <c r="G50" s="115">
        <f>'Income Statement'!L3</f>
        <v>2459.3</v>
      </c>
      <c r="H50" s="115">
        <f>'Income Statement'!M3</f>
        <v>2774.4</v>
      </c>
      <c r="I50" s="115">
        <f>'Income Statement'!N3</f>
        <v>3104.9</v>
      </c>
      <c r="J50" s="115">
        <f>'Income Statement'!O3</f>
        <v>3390.9</v>
      </c>
      <c r="K50" s="115">
        <f>'Income Statement'!P3</f>
        <v>3717.6</v>
      </c>
      <c r="L50" s="115">
        <f>'Income Statement'!Q3</f>
        <v>4740.9</v>
      </c>
      <c r="M50" s="115">
        <f>'Income Statement'!R3</f>
        <v>4998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ht="15.75" customHeight="1">
      <c r="A52" s="17"/>
      <c r="B52" s="142" t="s">
        <v>562</v>
      </c>
      <c r="C52" s="17"/>
      <c r="D52" s="145">
        <f t="shared" ref="D52:M52" si="2">1.2*(D44/D45)+1.4*(D47/D45)+3.3*(D48/D45)+0.6*(D49/D46)+1*(D50/D45)</f>
        <v>1.454828763</v>
      </c>
      <c r="E52" s="145">
        <f t="shared" si="2"/>
        <v>1.498643616</v>
      </c>
      <c r="F52" s="146">
        <f t="shared" si="2"/>
        <v>1.302461434</v>
      </c>
      <c r="G52" s="145">
        <f t="shared" si="2"/>
        <v>1.300842211</v>
      </c>
      <c r="H52" s="147">
        <f t="shared" si="2"/>
        <v>1.420442761</v>
      </c>
      <c r="I52" s="147">
        <f t="shared" si="2"/>
        <v>1.776215771</v>
      </c>
      <c r="J52" s="146">
        <f t="shared" si="2"/>
        <v>1.648302469</v>
      </c>
      <c r="K52" s="147">
        <f t="shared" si="2"/>
        <v>1.885842337</v>
      </c>
      <c r="L52" s="146">
        <f t="shared" si="2"/>
        <v>1.623002298</v>
      </c>
      <c r="M52" s="147">
        <f t="shared" si="2"/>
        <v>1.862203269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ht="15.75" customHeight="1">
      <c r="A54" s="17"/>
      <c r="B54" s="17" t="s">
        <v>571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ht="15.75" customHeight="1">
      <c r="A55" s="17"/>
      <c r="B55" s="17" t="s">
        <v>572</v>
      </c>
      <c r="C55" s="17"/>
      <c r="D55" s="17" t="s">
        <v>573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ht="15.75" customHeight="1">
      <c r="A56" s="17"/>
      <c r="B56" s="17" t="s">
        <v>574</v>
      </c>
      <c r="C56" s="17"/>
      <c r="D56" s="17" t="s">
        <v>575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ht="15.75" customHeight="1">
      <c r="A57" s="17"/>
      <c r="B57" s="17" t="s">
        <v>576</v>
      </c>
      <c r="C57" s="17"/>
      <c r="D57" s="17" t="s">
        <v>577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5.75" customHeight="1">
      <c r="A58" s="17"/>
      <c r="B58" s="17" t="s">
        <v>578</v>
      </c>
      <c r="C58" s="17"/>
      <c r="D58" s="17" t="s">
        <v>579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ht="15.75" customHeight="1">
      <c r="A61" s="140" t="s">
        <v>580</v>
      </c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5.75" customHeight="1">
      <c r="A63" s="17"/>
      <c r="B63" s="17" t="s">
        <v>581</v>
      </c>
      <c r="C63" s="17" t="s">
        <v>582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5.75" customHeight="1">
      <c r="A64" s="17"/>
      <c r="B64" s="17" t="s">
        <v>583</v>
      </c>
      <c r="C64" s="17" t="s">
        <v>584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5.75" customHeight="1">
      <c r="A65" s="17"/>
      <c r="B65" s="17" t="s">
        <v>585</v>
      </c>
      <c r="C65" s="17" t="s">
        <v>586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ht="15.75" customHeight="1">
      <c r="A66" s="17"/>
      <c r="B66" s="17" t="s">
        <v>587</v>
      </c>
      <c r="C66" s="17" t="s">
        <v>588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ht="15.75" customHeight="1">
      <c r="A67" s="17"/>
      <c r="B67" s="17" t="s">
        <v>589</v>
      </c>
      <c r="C67" s="17" t="s">
        <v>590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ht="15.75" customHeight="1">
      <c r="A68" s="17"/>
      <c r="B68" s="17" t="s">
        <v>591</v>
      </c>
      <c r="C68" s="17" t="s">
        <v>592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ht="15.75" customHeight="1">
      <c r="A69" s="17"/>
      <c r="B69" s="17" t="s">
        <v>593</v>
      </c>
      <c r="C69" s="17" t="s">
        <v>594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ht="15.75" customHeight="1">
      <c r="A70" s="17"/>
      <c r="B70" s="17" t="s">
        <v>595</v>
      </c>
      <c r="C70" s="17" t="s">
        <v>596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ht="15.75" customHeight="1">
      <c r="A72" s="142" t="s">
        <v>597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ht="15.75" customHeight="1">
      <c r="A73" s="148" t="s">
        <v>598</v>
      </c>
      <c r="B73" s="148"/>
      <c r="C73" s="148"/>
      <c r="D73" s="148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ht="15.75" customHeight="1">
      <c r="A74" s="17" t="s">
        <v>599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ht="15.75" customHeight="1">
      <c r="A75" s="17" t="s">
        <v>600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5.75" customHeight="1">
      <c r="A77" s="148" t="s">
        <v>601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5.75" customHeight="1">
      <c r="A78" s="17" t="s">
        <v>602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5.75" customHeight="1">
      <c r="A79" s="17" t="s">
        <v>603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5.75" customHeight="1">
      <c r="A81" s="17"/>
      <c r="B81" s="17"/>
      <c r="C81" s="17"/>
      <c r="D81" s="17">
        <v>2003.0</v>
      </c>
      <c r="E81" s="17">
        <v>2004.0</v>
      </c>
      <c r="F81" s="17">
        <v>2005.0</v>
      </c>
      <c r="G81" s="17">
        <v>2006.0</v>
      </c>
      <c r="H81" s="17">
        <v>2007.0</v>
      </c>
      <c r="I81" s="17">
        <v>2008.0</v>
      </c>
      <c r="J81" s="17">
        <v>2009.0</v>
      </c>
      <c r="K81" s="17">
        <v>2010.0</v>
      </c>
      <c r="L81" s="17">
        <v>2011.0</v>
      </c>
      <c r="M81" s="17">
        <v>2012.0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5.75" customHeight="1">
      <c r="A82" s="17"/>
      <c r="B82" s="142" t="s">
        <v>604</v>
      </c>
      <c r="C82" s="142"/>
      <c r="D82" s="149">
        <f t="shared" ref="D82:M82" si="3">-4.84+0.92*D85+0.528*D86+0.404*D87+0.892*D88+0.115*D89-0.172*D90+4.679*D92-0.327*D91</f>
        <v>-2.543548903</v>
      </c>
      <c r="E82" s="149">
        <f t="shared" si="3"/>
        <v>-2.536306654</v>
      </c>
      <c r="F82" s="149">
        <f t="shared" si="3"/>
        <v>-2.620077621</v>
      </c>
      <c r="G82" s="149">
        <f t="shared" si="3"/>
        <v>-2.077623384</v>
      </c>
      <c r="H82" s="149">
        <f t="shared" si="3"/>
        <v>-2.424278055</v>
      </c>
      <c r="I82" s="149">
        <f t="shared" si="3"/>
        <v>-2.389950929</v>
      </c>
      <c r="J82" s="149">
        <f t="shared" si="3"/>
        <v>-2.331223999</v>
      </c>
      <c r="K82" s="149">
        <f t="shared" si="3"/>
        <v>-3.168052521</v>
      </c>
      <c r="L82" s="149">
        <f t="shared" si="3"/>
        <v>-1.512260984</v>
      </c>
      <c r="M82" s="149">
        <f t="shared" si="3"/>
        <v>-2.442019137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5.75" customHeight="1">
      <c r="A83" s="17"/>
      <c r="B83" s="142" t="s">
        <v>605</v>
      </c>
      <c r="C83" s="142"/>
      <c r="D83" s="149">
        <f t="shared" ref="D83:M83" si="4">-6.065+0.823*D85+0.906*D86+0.593*D87+0.717*D88+0.107*D89</f>
        <v>-3.27580159</v>
      </c>
      <c r="E83" s="149">
        <f t="shared" si="4"/>
        <v>-3.137309794</v>
      </c>
      <c r="F83" s="149">
        <f t="shared" si="4"/>
        <v>-2.99391171</v>
      </c>
      <c r="G83" s="149">
        <f t="shared" si="4"/>
        <v>-2.279408717</v>
      </c>
      <c r="H83" s="149">
        <f t="shared" si="4"/>
        <v>-2.888462447</v>
      </c>
      <c r="I83" s="149">
        <f t="shared" si="4"/>
        <v>-3.002101496</v>
      </c>
      <c r="J83" s="149">
        <f t="shared" si="4"/>
        <v>-2.252771457</v>
      </c>
      <c r="K83" s="149">
        <f t="shared" si="4"/>
        <v>-3.208280405</v>
      </c>
      <c r="L83" s="149">
        <f t="shared" si="4"/>
        <v>-1.544020735</v>
      </c>
      <c r="M83" s="149">
        <f t="shared" si="4"/>
        <v>-2.604108792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5.75" customHeight="1">
      <c r="A85" s="17"/>
      <c r="B85" s="17" t="s">
        <v>581</v>
      </c>
      <c r="C85" s="17"/>
      <c r="D85" s="31">
        <f>('Balance Sheet'!I7/'Income Statement'!I3)/('Balance Sheet'!H7/'Income Statement'!H3)</f>
        <v>0.6838865508</v>
      </c>
      <c r="E85" s="31">
        <f>('Balance Sheet'!J7/'Income Statement'!J3)/('Balance Sheet'!I7/'Income Statement'!I3)</f>
        <v>0.8462951728</v>
      </c>
      <c r="F85" s="31">
        <f>('Balance Sheet'!K7/'Income Statement'!K3)/('Balance Sheet'!J7/'Income Statement'!J3)</f>
        <v>0.9033233474</v>
      </c>
      <c r="G85" s="31">
        <f>('Balance Sheet'!L7/'Income Statement'!L3)/('Balance Sheet'!K7/'Income Statement'!K3)</f>
        <v>1.081861635</v>
      </c>
      <c r="H85" s="31">
        <f>('Balance Sheet'!M7/'Income Statement'!M3)/('Balance Sheet'!L7/'Income Statement'!L3)</f>
        <v>0.9981117053</v>
      </c>
      <c r="I85" s="31">
        <f>('Balance Sheet'!N7/'Income Statement'!N3)/('Balance Sheet'!M7/'Income Statement'!M3)</f>
        <v>1.080885923</v>
      </c>
      <c r="J85" s="31">
        <f>('Balance Sheet'!O7/'Income Statement'!O3)/('Balance Sheet'!N7/'Income Statement'!N3)</f>
        <v>0.9468113275</v>
      </c>
      <c r="K85" s="31">
        <f>('Balance Sheet'!P7/'Income Statement'!P3)/('Balance Sheet'!O7/'Income Statement'!O3)</f>
        <v>0.9210308998</v>
      </c>
      <c r="L85" s="31">
        <f>('Balance Sheet'!Q7/'Income Statement'!Q3)/('Balance Sheet'!P7/'Income Statement'!P3)</f>
        <v>1.767941919</v>
      </c>
      <c r="M85" s="31">
        <f>('Balance Sheet'!R7/'Income Statement'!R3)/('Balance Sheet'!Q7/'Income Statement'!Q3)</f>
        <v>0.9275660129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5.75" customHeight="1">
      <c r="A86" s="17"/>
      <c r="B86" s="17" t="s">
        <v>583</v>
      </c>
      <c r="C86" s="17"/>
      <c r="D86" s="31">
        <f>(('Income Statement'!H3-'Income Statement'!H6)/'Income Statement'!H3)/(('Income Statement'!I3-'Income Statement'!I6)/'Income Statement'!I3)</f>
        <v>0.8478130543</v>
      </c>
      <c r="E86" s="31">
        <f>(('Income Statement'!I3-'Income Statement'!I6)/'Income Statement'!I3)/(('Income Statement'!J3-'Income Statement'!J6)/'Income Statement'!J3)</f>
        <v>0.887553125</v>
      </c>
      <c r="F86" s="31">
        <f>(('Income Statement'!J3-'Income Statement'!J6)/'Income Statement'!J3)/(('Income Statement'!K3-'Income Statement'!K6)/'Income Statement'!K3)</f>
        <v>1.001855009</v>
      </c>
      <c r="G86" s="31">
        <f>(('Income Statement'!K3-'Income Statement'!K6)/'Income Statement'!K3)/(('Income Statement'!L3-'Income Statement'!L6)/'Income Statement'!L3)</f>
        <v>1.013891673</v>
      </c>
      <c r="H86" s="31">
        <f>(('Income Statement'!L3-'Income Statement'!L6)/'Income Statement'!L3)/(('Income Statement'!M3-'Income Statement'!M6)/'Income Statement'!M3)</f>
        <v>0.9809671638</v>
      </c>
      <c r="I86" s="31">
        <f>(('Income Statement'!M3-'Income Statement'!M6)/'Income Statement'!M3)/(('Income Statement'!N3-'Income Statement'!N6)/'Income Statement'!N3)</f>
        <v>0.7236657127</v>
      </c>
      <c r="J86" s="31">
        <f>(('Income Statement'!N3-'Income Statement'!N6)/'Income Statement'!N3)/(('Income Statement'!O3-'Income Statement'!O6)/'Income Statement'!O3)</f>
        <v>1.669654358</v>
      </c>
      <c r="K86" s="31">
        <f>(('Income Statement'!O3-'Income Statement'!O6)/'Income Statement'!O3)/(('Income Statement'!P3-'Income Statement'!P6)/'Income Statement'!P3)</f>
        <v>0.5762285192</v>
      </c>
      <c r="L86" s="31">
        <f>(('Income Statement'!P3-'Income Statement'!P6)/'Income Statement'!P3)/(('Income Statement'!Q3-'Income Statement'!Q6)/'Income Statement'!Q3)</f>
        <v>1.561317644</v>
      </c>
      <c r="M86" s="31">
        <f>(('Income Statement'!Q3-'Income Statement'!Q6)/'Income Statement'!Q3)/(('Income Statement'!R3-'Income Statement'!R6)/'Income Statement'!R3)</f>
        <v>0.9635426764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5.75" customHeight="1">
      <c r="A87" s="17"/>
      <c r="B87" s="17" t="s">
        <v>585</v>
      </c>
      <c r="C87" s="17"/>
      <c r="D87" s="31">
        <f>(1-('Balance Sheet'!I21+'Balance Sheet'!I24)/'Balance Sheet'!I36)/(1-('Balance Sheet'!H21+'Balance Sheet'!H24)/'Balance Sheet'!H36)</f>
        <v>0.9583693574</v>
      </c>
      <c r="E87" s="31">
        <f>(1-('Balance Sheet'!J21+'Balance Sheet'!J24)/'Balance Sheet'!J36)/(1-('Balance Sheet'!I21+'Balance Sheet'!I24)/'Balance Sheet'!I36)</f>
        <v>1.00101622</v>
      </c>
      <c r="F87" s="31">
        <f>(1-('Balance Sheet'!K21+'Balance Sheet'!K24)/'Balance Sheet'!K36)/(1-('Balance Sheet'!J21+'Balance Sheet'!J24)/'Balance Sheet'!J36)</f>
        <v>0.9166967355</v>
      </c>
      <c r="G87" s="31">
        <f>(1-('Balance Sheet'!L21+'Balance Sheet'!L24)/'Balance Sheet'!L36)/(1-('Balance Sheet'!K21+'Balance Sheet'!K24)/'Balance Sheet'!K36)</f>
        <v>1.94869021</v>
      </c>
      <c r="H87" s="31">
        <f>(1-('Balance Sheet'!M21+'Balance Sheet'!M24)/'Balance Sheet'!M36)/(1-('Balance Sheet'!L21+'Balance Sheet'!L24)/'Balance Sheet'!L36)</f>
        <v>1.002478808</v>
      </c>
      <c r="I87" s="31">
        <f>(1-('Balance Sheet'!N21+'Balance Sheet'!N24)/'Balance Sheet'!N36)/(1-('Balance Sheet'!M21+'Balance Sheet'!M24)/'Balance Sheet'!M36)</f>
        <v>1.025760089</v>
      </c>
      <c r="J87" s="31">
        <f>(1-('Balance Sheet'!O21+'Balance Sheet'!O24)/'Balance Sheet'!O36)/(1-('Balance Sheet'!N21+'Balance Sheet'!N24)/'Balance Sheet'!N36)</f>
        <v>0.8991578138</v>
      </c>
      <c r="K87" s="31">
        <f>(1-('Balance Sheet'!P21+'Balance Sheet'!P24)/'Balance Sheet'!P36)/(1-('Balance Sheet'!O21+'Balance Sheet'!O24)/'Balance Sheet'!O36)</f>
        <v>0.5357627977</v>
      </c>
      <c r="L87" s="31">
        <f>(1-('Balance Sheet'!Q21+'Balance Sheet'!Q24)/'Balance Sheet'!Q36)/(1-('Balance Sheet'!P21+'Balance Sheet'!P24)/'Balance Sheet'!P36)</f>
        <v>1.050081236</v>
      </c>
      <c r="M87" s="31">
        <f>(1-('Balance Sheet'!R21+'Balance Sheet'!R24)/'Balance Sheet'!R36)/(1-('Balance Sheet'!Q21+'Balance Sheet'!Q24)/'Balance Sheet'!Q36)</f>
        <v>1.760095838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5.75" customHeight="1">
      <c r="A88" s="17"/>
      <c r="B88" s="17" t="s">
        <v>587</v>
      </c>
      <c r="C88" s="17"/>
      <c r="D88" s="31">
        <f>'Income Statement'!I3/'Income Statement'!H3</f>
        <v>1.099597586</v>
      </c>
      <c r="E88" s="31">
        <f>'Income Statement'!J3/'Income Statement'!I3</f>
        <v>1.0014446</v>
      </c>
      <c r="F88" s="31">
        <f>'Income Statement'!K3/'Income Statement'!J3</f>
        <v>1.0625571</v>
      </c>
      <c r="G88" s="31">
        <f>'Income Statement'!L3/'Income Statement'!K3</f>
        <v>1.112906145</v>
      </c>
      <c r="H88" s="31">
        <f>'Income Statement'!M3/'Income Statement'!L3</f>
        <v>1.128125889</v>
      </c>
      <c r="I88" s="31">
        <f>'Income Statement'!N3/'Income Statement'!M3</f>
        <v>1.119124856</v>
      </c>
      <c r="J88" s="31">
        <f>'Income Statement'!O3/'Income Statement'!N3</f>
        <v>1.092112467</v>
      </c>
      <c r="K88" s="31">
        <f>'Income Statement'!P3/'Income Statement'!O3</f>
        <v>1.096346103</v>
      </c>
      <c r="L88" s="31">
        <f>'Income Statement'!Q3/'Income Statement'!P3</f>
        <v>1.275258231</v>
      </c>
      <c r="M88" s="31">
        <f>'Income Statement'!R3/'Income Statement'!Q3</f>
        <v>1.054230209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5.75" customHeight="1">
      <c r="A89" s="17"/>
      <c r="B89" s="17" t="s">
        <v>589</v>
      </c>
      <c r="C89" s="17"/>
      <c r="D89" s="31">
        <f>('Income Statement'!H15/('Income Statement'!H15+'Balance Sheet'!H24))/('Income Statement'!I15/('Income Statement'!I15+'Balance Sheet'!I24))</f>
        <v>0.9487537728</v>
      </c>
      <c r="E89" s="31">
        <f>('Income Statement'!I15/('Income Statement'!I15+'Balance Sheet'!I24))/('Income Statement'!J15/('Income Statement'!J15+'Balance Sheet'!J24))</f>
        <v>1.078764025</v>
      </c>
      <c r="F89" s="31">
        <f>('Income Statement'!J15/('Income Statement'!J15+'Balance Sheet'!J24))/('Income Statement'!K15/('Income Statement'!K15+'Balance Sheet'!K24))</f>
        <v>1.070261049</v>
      </c>
      <c r="G89" s="31">
        <f>('Income Statement'!K15/('Income Statement'!K15+'Balance Sheet'!K24))/('Income Statement'!L15/('Income Statement'!L15+'Balance Sheet'!L24))</f>
        <v>0.2159467287</v>
      </c>
      <c r="H89" s="31">
        <f>('Income Statement'!L15/('Income Statement'!L15+'Balance Sheet'!L24))/('Income Statement'!M15/('Income Statement'!M15+'Balance Sheet'!M24))</f>
        <v>0.5887773184</v>
      </c>
      <c r="I89" s="31">
        <f>('Income Statement'!M15/('Income Statement'!M15+'Balance Sheet'!M24))/('Income Statement'!N15/('Income Statement'!N15+'Balance Sheet'!N24))</f>
        <v>1</v>
      </c>
      <c r="J89" s="31">
        <f>('Income Statement'!N15/('Income Statement'!N15+'Balance Sheet'!N24))/('Income Statement'!O15/('Income Statement'!O15+'Balance Sheet'!O24))</f>
        <v>1.907016349</v>
      </c>
      <c r="K89" s="31">
        <f>('Income Statement'!O15/('Income Statement'!O15+'Balance Sheet'!O24))/('Income Statement'!P15/('Income Statement'!P15+'Balance Sheet'!P24))</f>
        <v>4.419258232</v>
      </c>
      <c r="L89" s="31">
        <f>('Income Statement'!P15/('Income Statement'!P15+'Balance Sheet'!P24))/('Income Statement'!Q15/('Income Statement'!Q15+'Balance Sheet'!Q24))</f>
        <v>1.068700508</v>
      </c>
      <c r="M89" s="31">
        <f>('Income Statement'!Q15/('Income Statement'!Q15+'Balance Sheet'!Q24))/('Income Statement'!R15/('Income Statement'!R15+'Balance Sheet'!R24))</f>
        <v>0.2328488118</v>
      </c>
      <c r="N89" s="31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5.75" customHeight="1">
      <c r="A90" s="17"/>
      <c r="B90" s="17" t="s">
        <v>591</v>
      </c>
      <c r="C90" s="17"/>
      <c r="D90" s="31">
        <f>('Income Statement'!I9/'Income Statement'!I3)/('Income Statement'!H9/'Income Statement'!H3)</f>
        <v>1.179505311</v>
      </c>
      <c r="E90" s="31">
        <f>('Income Statement'!J9/'Income Statement'!J3)/('Income Statement'!I9/'Income Statement'!I3)</f>
        <v>1.12669312</v>
      </c>
      <c r="F90" s="31">
        <f>('Income Statement'!K9/'Income Statement'!K3)/('Income Statement'!J9/'Income Statement'!J3)</f>
        <v>0.998148426</v>
      </c>
      <c r="G90" s="31">
        <f>('Income Statement'!L9/'Income Statement'!L3)/('Income Statement'!K9/'Income Statement'!K3)</f>
        <v>0.9862986611</v>
      </c>
      <c r="H90" s="31">
        <f>('Income Statement'!M9/'Income Statement'!M3)/('Income Statement'!L9/'Income Statement'!L3)</f>
        <v>1.019402113</v>
      </c>
      <c r="I90" s="31">
        <f>('Income Statement'!N9/'Income Statement'!N3)/('Income Statement'!M9/'Income Statement'!M3)</f>
        <v>1.381853503</v>
      </c>
      <c r="J90" s="31">
        <f>('Income Statement'!O9/'Income Statement'!O3)/('Income Statement'!N9/'Income Statement'!N3)</f>
        <v>0.5989263556</v>
      </c>
      <c r="K90" s="31">
        <f>('Income Statement'!P9/'Income Statement'!P3)/('Income Statement'!O9/'Income Statement'!O3)</f>
        <v>1.735422609</v>
      </c>
      <c r="L90" s="31">
        <f>('Income Statement'!Q9/'Income Statement'!Q3)/('Income Statement'!P9/'Income Statement'!P3)</f>
        <v>0.6404846596</v>
      </c>
      <c r="M90" s="31">
        <f>('Income Statement'!R9/'Income Statement'!R3)/('Income Statement'!Q9/'Income Statement'!Q3)</f>
        <v>1.03783675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5.75" customHeight="1">
      <c r="A91" s="17"/>
      <c r="B91" s="17" t="s">
        <v>593</v>
      </c>
      <c r="C91" s="17"/>
      <c r="D91" s="31">
        <f>(('Balance Sheet'!I48+'Balance Sheet'!I47)/'Balance Sheet'!I36)/(('Balance Sheet'!H48+'Balance Sheet'!H47)/'Balance Sheet'!H36)</f>
        <v>0.944506953</v>
      </c>
      <c r="E91" s="31">
        <f>(('Balance Sheet'!J48+'Balance Sheet'!J47)/'Balance Sheet'!J36)/(('Balance Sheet'!I48+'Balance Sheet'!I47)/'Balance Sheet'!I36)</f>
        <v>0.9252910467</v>
      </c>
      <c r="F91" s="31">
        <f>(('Balance Sheet'!K48+'Balance Sheet'!K47)/'Balance Sheet'!K36)/(('Balance Sheet'!J48+'Balance Sheet'!J47)/'Balance Sheet'!J36)</f>
        <v>1.048090426</v>
      </c>
      <c r="G91" s="31">
        <f>(('Balance Sheet'!L48+'Balance Sheet'!L47)/'Balance Sheet'!L36)/(('Balance Sheet'!K48+'Balance Sheet'!K47)/'Balance Sheet'!K36)</f>
        <v>1.086359238</v>
      </c>
      <c r="H91" s="31">
        <f>(('Balance Sheet'!M48+'Balance Sheet'!M47)/'Balance Sheet'!M36)/(('Balance Sheet'!L48+'Balance Sheet'!L47)/'Balance Sheet'!L36)</f>
        <v>0.9327533253</v>
      </c>
      <c r="I91" s="31">
        <f>(('Balance Sheet'!N48+'Balance Sheet'!N47)/'Balance Sheet'!N36)/(('Balance Sheet'!M48+'Balance Sheet'!M47)/'Balance Sheet'!M36)</f>
        <v>0.9504022603</v>
      </c>
      <c r="J91" s="31">
        <f>(('Balance Sheet'!O48+'Balance Sheet'!O47)/'Balance Sheet'!O36)/(('Balance Sheet'!N48+'Balance Sheet'!N47)/'Balance Sheet'!N36)</f>
        <v>1.070135416</v>
      </c>
      <c r="K91" s="31">
        <f>(('Balance Sheet'!P48+'Balance Sheet'!P47)/'Balance Sheet'!P36)/(('Balance Sheet'!O48+'Balance Sheet'!O47)/'Balance Sheet'!O36)</f>
        <v>1.088127818</v>
      </c>
      <c r="L91" s="31">
        <f>(('Balance Sheet'!Q48+'Balance Sheet'!Q47)/'Balance Sheet'!Q36)/(('Balance Sheet'!P48+'Balance Sheet'!P47)/'Balance Sheet'!P36)</f>
        <v>1.035332852</v>
      </c>
      <c r="M91" s="31">
        <f>(('Balance Sheet'!R48+'Balance Sheet'!R47)/'Balance Sheet'!R36)/(('Balance Sheet'!Q48+'Balance Sheet'!Q47)/'Balance Sheet'!Q36)</f>
        <v>0.9876224609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5.75" customHeight="1">
      <c r="A92" s="17"/>
      <c r="B92" s="17" t="s">
        <v>595</v>
      </c>
      <c r="C92" s="17"/>
      <c r="D92" s="51">
        <f>(('Balance Sheet'!I21-'Balance Sheet'!H21)-('Balance Sheet'!I4-'Balance Sheet'!H4)-('Balance Sheet'!I47-'Balance Sheet'!H47)-('Balance Sheet'!I48-'Balance Sheet'!H48)-('Income Statement'!I30-'Income Statement'!H30)-('Income Statement'!I15-'Income Statement'!H15))/'Balance Sheet'!I36</f>
        <v>0.0543342411</v>
      </c>
      <c r="E92" s="51">
        <f>(('Balance Sheet'!J21-'Balance Sheet'!I21)-('Balance Sheet'!J4-'Balance Sheet'!I4)-('Balance Sheet'!J47-'Balance Sheet'!I47)-('Balance Sheet'!J48-'Balance Sheet'!I48)-('Income Statement'!J30-'Income Statement'!I30)-('Income Statement'!J15-'Income Statement'!I15))/'Balance Sheet'!J36</f>
        <v>0.02801413278</v>
      </c>
      <c r="F92" s="51">
        <f>(('Balance Sheet'!K21-'Balance Sheet'!J21)-('Balance Sheet'!K4-'Balance Sheet'!J4)-('Balance Sheet'!K47-'Balance Sheet'!J47)-('Balance Sheet'!K48-'Balance Sheet'!J48)-('Income Statement'!K30-'Income Statement'!J30)-('Income Statement'!K15-'Income Statement'!J15))/'Balance Sheet'!K36</f>
        <v>-0.01430516793</v>
      </c>
      <c r="G92" s="51">
        <f>(('Balance Sheet'!L21-'Balance Sheet'!K21)-('Balance Sheet'!L4-'Balance Sheet'!K4)-('Balance Sheet'!L47-'Balance Sheet'!K47)-('Balance Sheet'!L48-'Balance Sheet'!K48)-('Income Statement'!L30-'Income Statement'!K30)-('Income Statement'!L15-'Income Statement'!K15))/'Balance Sheet'!L36</f>
        <v>-0.01030242606</v>
      </c>
      <c r="H92" s="51">
        <f>(('Balance Sheet'!M21-'Balance Sheet'!L21)-('Balance Sheet'!M4-'Balance Sheet'!L4)-('Balance Sheet'!M47-'Balance Sheet'!L47)-('Balance Sheet'!M48-'Balance Sheet'!L48)-('Income Statement'!M30-'Income Statement'!L30)-('Income Statement'!M15-'Income Statement'!L15))/'Balance Sheet'!M36</f>
        <v>-0.004091282139</v>
      </c>
      <c r="I92" s="51">
        <f>(('Balance Sheet'!N21-'Balance Sheet'!M21)-('Balance Sheet'!N4-'Balance Sheet'!M4)-('Balance Sheet'!N47-'Balance Sheet'!M47)-('Balance Sheet'!N48-'Balance Sheet'!M48)-('Income Statement'!N30-'Income Statement'!M30)-('Income Statement'!N15-'Income Statement'!M15))/'Balance Sheet'!N36</f>
        <v>0.02016080787</v>
      </c>
      <c r="J92" s="51">
        <f>(('Balance Sheet'!O21-'Balance Sheet'!N21)-('Balance Sheet'!O4-'Balance Sheet'!N4)-('Balance Sheet'!O47-'Balance Sheet'!N47)-('Balance Sheet'!O48-'Balance Sheet'!N48)-('Income Statement'!O30-'Income Statement'!N30)-('Income Statement'!O15-'Income Statement'!N15))/'Balance Sheet'!O36</f>
        <v>-0.07429990714</v>
      </c>
      <c r="K92" s="51">
        <f>(('Balance Sheet'!P21-'Balance Sheet'!O21)-('Balance Sheet'!P4-'Balance Sheet'!O4)-('Balance Sheet'!P47-'Balance Sheet'!O47)-('Balance Sheet'!P48-'Balance Sheet'!O48)-('Income Statement'!P30-'Income Statement'!O30)-('Income Statement'!P15-'Income Statement'!O15))/'Balance Sheet'!P36</f>
        <v>-0.1128323813</v>
      </c>
      <c r="L92" s="51">
        <f>(('Balance Sheet'!Q21-'Balance Sheet'!P21)-('Balance Sheet'!Q4-'Balance Sheet'!P4)-('Balance Sheet'!Q47-'Balance Sheet'!P47)-('Balance Sheet'!Q48-'Balance Sheet'!P48)-('Income Statement'!Q30-'Income Statement'!P30)-('Income Statement'!Q15-'Income Statement'!P15))/'Balance Sheet'!Q36</f>
        <v>-0.07674498439</v>
      </c>
      <c r="M92" s="51">
        <f>(('Balance Sheet'!R21-'Balance Sheet'!Q21)-('Balance Sheet'!R4-'Balance Sheet'!Q4)-('Balance Sheet'!R47-'Balance Sheet'!Q47)-('Balance Sheet'!R48-'Balance Sheet'!Q48)-('Income Statement'!R30-'Income Statement'!Q30)-('Income Statement'!R15-'Income Statement'!Q15))/'Balance Sheet'!R36</f>
        <v>-0.03011318975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5.75" customHeight="1">
      <c r="A95" s="14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5.0" customHeight="1">
      <c r="A96" s="14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ht="15.75" customHeight="1">
      <c r="A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R100" s="17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M104" s="17"/>
      <c r="N104" s="17"/>
      <c r="O104" s="17"/>
      <c r="P104" s="17"/>
      <c r="Q104" s="17"/>
      <c r="R104" s="17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5.75" customHeight="1">
      <c r="A109" s="17"/>
      <c r="B109" s="142"/>
      <c r="C109" s="142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15.75" customHeight="1">
      <c r="A110" s="17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5.75" customHeight="1">
      <c r="A112" s="17"/>
      <c r="B112" s="17"/>
      <c r="C112" s="17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5.75" customHeight="1">
      <c r="A113" s="17"/>
      <c r="B113" s="17"/>
      <c r="C113" s="1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5.75" customHeight="1">
      <c r="A114" s="17"/>
      <c r="B114" s="17"/>
      <c r="C114" s="1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5.75" customHeight="1">
      <c r="A115" s="17"/>
      <c r="B115" s="17"/>
      <c r="C115" s="17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.13"/>
    <col customWidth="1" min="3" max="4" width="7.88"/>
    <col customWidth="1" min="5" max="5" width="19.88"/>
    <col customWidth="1" min="6" max="17" width="7.88"/>
    <col customWidth="1" min="18" max="26" width="7.63"/>
  </cols>
  <sheetData>
    <row r="1">
      <c r="A1" s="17" t="s">
        <v>321</v>
      </c>
      <c r="B1" s="151" t="s">
        <v>606</v>
      </c>
      <c r="C1" s="17"/>
      <c r="D1" s="17"/>
      <c r="E1" s="17" t="s">
        <v>514</v>
      </c>
      <c r="F1" s="17">
        <v>2007.0</v>
      </c>
      <c r="G1" s="17" t="s">
        <v>607</v>
      </c>
      <c r="H1" s="17" t="s">
        <v>608</v>
      </c>
      <c r="I1" s="17">
        <v>2008.0</v>
      </c>
      <c r="J1" s="17">
        <v>2009.0</v>
      </c>
      <c r="K1" s="17" t="s">
        <v>609</v>
      </c>
      <c r="L1" s="17" t="s">
        <v>610</v>
      </c>
      <c r="M1" s="17">
        <v>2010.0</v>
      </c>
      <c r="N1" s="17"/>
      <c r="O1" s="17">
        <v>2011.0</v>
      </c>
      <c r="P1" s="17">
        <v>2012.0</v>
      </c>
      <c r="Q1" s="17" t="s">
        <v>476</v>
      </c>
      <c r="R1" s="17"/>
      <c r="S1" s="17"/>
      <c r="T1" s="17"/>
      <c r="U1" s="17"/>
      <c r="V1" s="17"/>
      <c r="W1" s="17"/>
      <c r="X1" s="17"/>
      <c r="Y1" s="17"/>
      <c r="Z1" s="17"/>
    </row>
    <row r="2">
      <c r="A2" s="152">
        <v>39454.0</v>
      </c>
      <c r="B2" s="151">
        <v>17.28</v>
      </c>
      <c r="C2" s="17">
        <v>16.42</v>
      </c>
      <c r="D2" s="17">
        <f t="shared" ref="D2:D274" si="2">C2*0.8</f>
        <v>13.136</v>
      </c>
      <c r="E2" s="17" t="s">
        <v>519</v>
      </c>
      <c r="F2" s="29">
        <f>'Income Statement'!M3</f>
        <v>2774.4</v>
      </c>
      <c r="G2" s="29">
        <f>F2*1.08</f>
        <v>2996.352</v>
      </c>
      <c r="H2" s="17">
        <f>M2*1.08</f>
        <v>4015.008</v>
      </c>
      <c r="I2" s="29">
        <f>'Income Statement'!N3</f>
        <v>3104.9</v>
      </c>
      <c r="J2" s="29">
        <f>'Income Statement'!O3</f>
        <v>3390.9</v>
      </c>
      <c r="K2" s="29">
        <f t="shared" ref="K2:L2" si="1">I2*1.08</f>
        <v>3353.292</v>
      </c>
      <c r="L2" s="17">
        <f t="shared" si="1"/>
        <v>3662.172</v>
      </c>
      <c r="M2" s="29">
        <f>'Income Statement'!P3</f>
        <v>3717.6</v>
      </c>
      <c r="N2" s="17"/>
      <c r="O2" s="29">
        <f>'Income Statement'!Q3</f>
        <v>4740.9</v>
      </c>
      <c r="P2" s="29">
        <f>'Income Statement'!R3</f>
        <v>4998</v>
      </c>
      <c r="Q2" s="29"/>
      <c r="R2" s="17"/>
      <c r="S2" s="17"/>
      <c r="T2" s="17"/>
      <c r="U2" s="17"/>
      <c r="V2" s="17"/>
      <c r="W2" s="17"/>
      <c r="X2" s="17"/>
      <c r="Y2" s="17"/>
      <c r="Z2" s="17"/>
    </row>
    <row r="3">
      <c r="A3" s="152">
        <v>39461.0</v>
      </c>
      <c r="B3" s="151">
        <v>15.46</v>
      </c>
      <c r="C3" s="17">
        <v>16.42</v>
      </c>
      <c r="D3" s="17">
        <f t="shared" si="2"/>
        <v>13.136</v>
      </c>
      <c r="E3" s="17" t="s">
        <v>27</v>
      </c>
      <c r="F3" s="17">
        <v>776.4</v>
      </c>
      <c r="G3" s="17">
        <f t="shared" ref="G3:H3" si="3">G2*0.3</f>
        <v>898.9056</v>
      </c>
      <c r="H3" s="17">
        <f t="shared" si="3"/>
        <v>1204.5024</v>
      </c>
      <c r="I3" s="17">
        <v>918.5</v>
      </c>
      <c r="J3" s="17">
        <v>963.1</v>
      </c>
      <c r="K3" s="17">
        <f t="shared" ref="K3:L3" si="4">K2*0.3</f>
        <v>1005.9876</v>
      </c>
      <c r="L3" s="17">
        <f t="shared" si="4"/>
        <v>1098.6516</v>
      </c>
      <c r="M3" s="17">
        <v>963.9</v>
      </c>
      <c r="N3" s="17"/>
      <c r="O3" s="17">
        <v>1101.9</v>
      </c>
      <c r="P3" s="17">
        <v>1305.0</v>
      </c>
      <c r="Q3" s="17">
        <v>1574.37</v>
      </c>
      <c r="R3" s="17"/>
      <c r="S3" s="17"/>
      <c r="T3" s="17"/>
      <c r="U3" s="17"/>
      <c r="V3" s="17"/>
      <c r="W3" s="17"/>
      <c r="X3" s="17"/>
      <c r="Y3" s="17"/>
      <c r="Z3" s="17"/>
    </row>
    <row r="4">
      <c r="A4" s="152">
        <v>39468.0</v>
      </c>
      <c r="B4" s="151">
        <v>15.15</v>
      </c>
      <c r="C4" s="17">
        <v>16.42</v>
      </c>
      <c r="D4" s="17">
        <f t="shared" si="2"/>
        <v>13.136</v>
      </c>
      <c r="E4" s="17" t="s">
        <v>515</v>
      </c>
      <c r="F4" s="17">
        <v>559.0079999999999</v>
      </c>
      <c r="G4" s="17">
        <f t="shared" ref="G4:H4" si="5">G3*0.72</f>
        <v>647.212032</v>
      </c>
      <c r="H4" s="17">
        <f t="shared" si="5"/>
        <v>867.241728</v>
      </c>
      <c r="I4" s="17">
        <v>661.3199999999999</v>
      </c>
      <c r="J4" s="17">
        <v>693.432</v>
      </c>
      <c r="K4" s="17">
        <f t="shared" ref="K4:L4" si="6">K3*0.72</f>
        <v>724.311072</v>
      </c>
      <c r="L4" s="17">
        <f t="shared" si="6"/>
        <v>791.029152</v>
      </c>
      <c r="M4" s="17">
        <v>694.0079999999999</v>
      </c>
      <c r="N4" s="17"/>
      <c r="O4" s="17">
        <v>793.368</v>
      </c>
      <c r="P4" s="17">
        <v>939.5999999999999</v>
      </c>
      <c r="Q4" s="17">
        <v>1133.5464</v>
      </c>
      <c r="R4" s="17"/>
      <c r="S4" s="17"/>
      <c r="T4" s="17"/>
      <c r="U4" s="17"/>
      <c r="V4" s="17"/>
      <c r="W4" s="17"/>
      <c r="X4" s="17"/>
      <c r="Y4" s="17"/>
      <c r="Z4" s="17"/>
    </row>
    <row r="5">
      <c r="A5" s="152">
        <v>39475.0</v>
      </c>
      <c r="B5" s="151">
        <v>16.12</v>
      </c>
      <c r="C5" s="17">
        <v>16.42</v>
      </c>
      <c r="D5" s="17">
        <f t="shared" si="2"/>
        <v>13.136</v>
      </c>
      <c r="E5" s="17" t="s">
        <v>15</v>
      </c>
      <c r="F5" s="17">
        <v>473.1</v>
      </c>
      <c r="G5" s="17">
        <f>(G6-F5)/10+F5</f>
        <v>485.71704</v>
      </c>
      <c r="H5" s="17">
        <f>(H6-M5)/10+M5</f>
        <v>674.48016</v>
      </c>
      <c r="I5" s="17">
        <v>508.8</v>
      </c>
      <c r="J5" s="17">
        <v>587.2</v>
      </c>
      <c r="K5" s="17">
        <f t="shared" ref="K5:L5" si="7">(K6-I6)/10+I6</f>
        <v>721.72584</v>
      </c>
      <c r="L5" s="17">
        <f t="shared" si="7"/>
        <v>795.85344</v>
      </c>
      <c r="M5" s="17">
        <v>660.2</v>
      </c>
      <c r="N5" s="17"/>
      <c r="O5" s="17">
        <v>653.7</v>
      </c>
      <c r="P5" s="17">
        <v>813.0</v>
      </c>
      <c r="Q5" s="17">
        <v>836.658</v>
      </c>
      <c r="R5" s="17"/>
      <c r="S5" s="17"/>
      <c r="T5" s="17"/>
      <c r="U5" s="17"/>
      <c r="V5" s="17"/>
      <c r="W5" s="17"/>
      <c r="X5" s="17"/>
      <c r="Y5" s="17"/>
      <c r="Z5" s="17"/>
    </row>
    <row r="6">
      <c r="A6" s="152">
        <v>39482.0</v>
      </c>
      <c r="B6" s="151">
        <v>15.67</v>
      </c>
      <c r="C6" s="17">
        <v>16.42</v>
      </c>
      <c r="D6" s="17">
        <f t="shared" si="2"/>
        <v>13.136</v>
      </c>
      <c r="E6" s="17" t="s">
        <v>516</v>
      </c>
      <c r="F6" s="17">
        <v>651.1</v>
      </c>
      <c r="G6" s="17">
        <f t="shared" ref="G6:H6" si="8">0.2*G2</f>
        <v>599.2704</v>
      </c>
      <c r="H6" s="17">
        <f t="shared" si="8"/>
        <v>803.0016</v>
      </c>
      <c r="I6" s="17">
        <v>727.4</v>
      </c>
      <c r="J6" s="17">
        <v>802.9</v>
      </c>
      <c r="K6" s="17">
        <f t="shared" ref="K6:L6" si="9">0.2*K2</f>
        <v>670.6584</v>
      </c>
      <c r="L6" s="17">
        <f t="shared" si="9"/>
        <v>732.4344</v>
      </c>
      <c r="M6" s="17">
        <v>840.7</v>
      </c>
      <c r="N6" s="17"/>
      <c r="O6" s="17">
        <v>889.1</v>
      </c>
      <c r="P6" s="17">
        <v>243.0</v>
      </c>
      <c r="Q6" s="17">
        <v>1049.58</v>
      </c>
      <c r="R6" s="17"/>
      <c r="S6" s="17"/>
      <c r="T6" s="17"/>
      <c r="U6" s="17"/>
      <c r="V6" s="17"/>
      <c r="W6" s="17"/>
      <c r="X6" s="17"/>
      <c r="Y6" s="17"/>
      <c r="Z6" s="17"/>
    </row>
    <row r="7">
      <c r="A7" s="152">
        <v>39489.0</v>
      </c>
      <c r="B7" s="151">
        <v>16.64</v>
      </c>
      <c r="C7" s="17">
        <v>16.42</v>
      </c>
      <c r="D7" s="17">
        <f t="shared" si="2"/>
        <v>13.136</v>
      </c>
      <c r="E7" s="17" t="s">
        <v>517</v>
      </c>
      <c r="F7" s="17">
        <v>-56.69999999999999</v>
      </c>
      <c r="G7" s="17">
        <v>0.0</v>
      </c>
      <c r="H7" s="17">
        <v>0.0</v>
      </c>
      <c r="I7" s="17">
        <v>12.89999999999992</v>
      </c>
      <c r="J7" s="17">
        <v>-449.0999999999999</v>
      </c>
      <c r="K7" s="17">
        <v>0.0</v>
      </c>
      <c r="L7" s="17">
        <v>0.0</v>
      </c>
      <c r="M7" s="17">
        <v>232.60000000000002</v>
      </c>
      <c r="N7" s="17"/>
      <c r="O7" s="17">
        <v>328.19999999999993</v>
      </c>
      <c r="P7" s="17">
        <v>-658.6</v>
      </c>
      <c r="Q7" s="17">
        <v>0.0</v>
      </c>
      <c r="R7" s="17"/>
      <c r="S7" s="17"/>
      <c r="T7" s="17"/>
      <c r="U7" s="17"/>
      <c r="V7" s="17"/>
      <c r="W7" s="17"/>
      <c r="X7" s="17"/>
      <c r="Y7" s="17"/>
      <c r="Z7" s="17"/>
    </row>
    <row r="8">
      <c r="A8" s="152">
        <v>39496.0</v>
      </c>
      <c r="B8" s="151">
        <v>16.14</v>
      </c>
      <c r="C8" s="17">
        <v>16.42</v>
      </c>
      <c r="D8" s="17">
        <f t="shared" si="2"/>
        <v>13.136</v>
      </c>
      <c r="E8" s="17" t="s">
        <v>177</v>
      </c>
      <c r="F8" s="17">
        <v>655.0999999999999</v>
      </c>
      <c r="G8" s="17">
        <f t="shared" ref="G8:H8" si="10">G4+G5-G6</f>
        <v>533.658672</v>
      </c>
      <c r="H8" s="17">
        <f t="shared" si="10"/>
        <v>738.720288</v>
      </c>
      <c r="I8" s="17">
        <v>687.0</v>
      </c>
      <c r="J8" s="17">
        <v>1196.5</v>
      </c>
      <c r="K8" s="17">
        <f t="shared" ref="K8:L8" si="11">K4+K5-K6</f>
        <v>775.378512</v>
      </c>
      <c r="L8" s="17">
        <f t="shared" si="11"/>
        <v>854.448192</v>
      </c>
      <c r="M8" s="17">
        <v>550.7999999999998</v>
      </c>
      <c r="N8" s="17"/>
      <c r="O8" s="17">
        <v>538.3000000000002</v>
      </c>
      <c r="P8" s="17">
        <v>2533.6</v>
      </c>
      <c r="Q8" s="17">
        <v>920.6244000000002</v>
      </c>
      <c r="R8" s="17"/>
      <c r="S8" s="17"/>
      <c r="T8" s="17"/>
      <c r="U8" s="17"/>
      <c r="V8" s="17"/>
      <c r="W8" s="17"/>
      <c r="X8" s="17"/>
      <c r="Y8" s="17"/>
      <c r="Z8" s="17"/>
    </row>
    <row r="9">
      <c r="A9" s="152">
        <v>39503.0</v>
      </c>
      <c r="B9" s="151">
        <v>15.07</v>
      </c>
      <c r="C9" s="17">
        <v>16.42</v>
      </c>
      <c r="D9" s="17">
        <f t="shared" si="2"/>
        <v>13.136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52">
        <v>39510.0</v>
      </c>
      <c r="B10" s="151">
        <v>14.52</v>
      </c>
      <c r="C10" s="17">
        <v>16.42</v>
      </c>
      <c r="D10" s="17">
        <f t="shared" si="2"/>
        <v>13.136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52">
        <v>39517.0</v>
      </c>
      <c r="B11" s="151">
        <v>14.38</v>
      </c>
      <c r="C11" s="17">
        <v>16.42</v>
      </c>
      <c r="D11" s="17">
        <f t="shared" si="2"/>
        <v>13.136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52">
        <v>39524.0</v>
      </c>
      <c r="B12" s="151">
        <v>14.33</v>
      </c>
      <c r="C12" s="17">
        <v>16.42</v>
      </c>
      <c r="D12" s="17">
        <f t="shared" si="2"/>
        <v>13.136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2">
        <v>39531.0</v>
      </c>
      <c r="B13" s="151">
        <v>14.31</v>
      </c>
      <c r="C13" s="17">
        <v>16.42</v>
      </c>
      <c r="D13" s="17">
        <f t="shared" si="2"/>
        <v>13.136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2">
        <v>39538.0</v>
      </c>
      <c r="B14" s="151">
        <v>16.25</v>
      </c>
      <c r="C14" s="17">
        <v>16.42</v>
      </c>
      <c r="D14" s="17">
        <f t="shared" si="2"/>
        <v>13.136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52">
        <v>39545.0</v>
      </c>
      <c r="B15" s="151">
        <v>16.68</v>
      </c>
      <c r="C15" s="17">
        <v>16.42</v>
      </c>
      <c r="D15" s="17">
        <f t="shared" si="2"/>
        <v>13.136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52">
        <v>39552.0</v>
      </c>
      <c r="B16" s="151">
        <v>16.27</v>
      </c>
      <c r="C16" s="17">
        <v>16.42</v>
      </c>
      <c r="D16" s="17">
        <f t="shared" si="2"/>
        <v>13.136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52">
        <v>39559.0</v>
      </c>
      <c r="B17" s="151">
        <v>16.63</v>
      </c>
      <c r="C17" s="17">
        <v>16.42</v>
      </c>
      <c r="D17" s="17">
        <f t="shared" si="2"/>
        <v>13.136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52">
        <v>39566.0</v>
      </c>
      <c r="B18" s="151">
        <v>17.32</v>
      </c>
      <c r="C18" s="17">
        <v>16.42</v>
      </c>
      <c r="D18" s="17">
        <f t="shared" si="2"/>
        <v>13.136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2">
        <v>39573.0</v>
      </c>
      <c r="B19" s="151">
        <v>17.29</v>
      </c>
      <c r="C19" s="17">
        <v>16.42</v>
      </c>
      <c r="D19" s="17">
        <f t="shared" si="2"/>
        <v>13.136</v>
      </c>
      <c r="E19" s="17" t="s">
        <v>518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52">
        <v>39580.0</v>
      </c>
      <c r="B20" s="151">
        <v>17.44</v>
      </c>
      <c r="C20" s="17">
        <v>16.42</v>
      </c>
      <c r="D20" s="17">
        <f t="shared" si="2"/>
        <v>13.136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52">
        <v>39587.0</v>
      </c>
      <c r="B21" s="151">
        <v>17.02</v>
      </c>
      <c r="C21" s="17">
        <v>16.42</v>
      </c>
      <c r="D21" s="17">
        <f t="shared" si="2"/>
        <v>13.136</v>
      </c>
      <c r="E21" s="17" t="s">
        <v>514</v>
      </c>
      <c r="F21" s="17">
        <v>2009.0</v>
      </c>
      <c r="G21" s="17">
        <v>2010.0</v>
      </c>
      <c r="H21" s="17">
        <v>2011.0</v>
      </c>
      <c r="I21" s="17">
        <v>2012.0</v>
      </c>
      <c r="J21" s="17">
        <v>2013.0</v>
      </c>
      <c r="K21" s="17">
        <v>2014.0</v>
      </c>
      <c r="L21" s="17">
        <v>2015.0</v>
      </c>
      <c r="M21" s="17">
        <v>2016.0</v>
      </c>
      <c r="N21" s="17">
        <v>2017.0</v>
      </c>
      <c r="O21" s="17">
        <v>2018.0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52">
        <v>39594.0</v>
      </c>
      <c r="B22" s="151">
        <v>16.34</v>
      </c>
      <c r="C22" s="17">
        <v>16.42</v>
      </c>
      <c r="D22" s="17">
        <f t="shared" si="2"/>
        <v>13.136</v>
      </c>
      <c r="E22" s="17" t="s">
        <v>519</v>
      </c>
      <c r="F22" s="17">
        <v>3662.1720000000005</v>
      </c>
      <c r="G22" s="17">
        <f t="shared" ref="G22:P22" si="12">F22*1.08</f>
        <v>3955.14576</v>
      </c>
      <c r="H22" s="17">
        <f t="shared" si="12"/>
        <v>4271.557421</v>
      </c>
      <c r="I22" s="17">
        <f t="shared" si="12"/>
        <v>4613.282014</v>
      </c>
      <c r="J22" s="17">
        <f t="shared" si="12"/>
        <v>4982.344576</v>
      </c>
      <c r="K22" s="17">
        <f t="shared" si="12"/>
        <v>5380.932142</v>
      </c>
      <c r="L22" s="17">
        <f t="shared" si="12"/>
        <v>5811.406713</v>
      </c>
      <c r="M22" s="17">
        <f t="shared" si="12"/>
        <v>6276.31925</v>
      </c>
      <c r="N22" s="17">
        <f t="shared" si="12"/>
        <v>6778.42479</v>
      </c>
      <c r="O22" s="17">
        <f t="shared" si="12"/>
        <v>7320.698773</v>
      </c>
      <c r="P22" s="17">
        <f t="shared" si="12"/>
        <v>7906.354675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52">
        <v>39601.0</v>
      </c>
      <c r="B23" s="151">
        <v>16.59</v>
      </c>
      <c r="C23" s="17">
        <v>16.42</v>
      </c>
      <c r="D23" s="17">
        <f t="shared" si="2"/>
        <v>13.136</v>
      </c>
      <c r="E23" s="17" t="s">
        <v>27</v>
      </c>
      <c r="F23" s="17">
        <v>1098.6516000000001</v>
      </c>
      <c r="G23" s="17">
        <f t="shared" ref="G23:P23" si="13">G22*0.3</f>
        <v>1186.543728</v>
      </c>
      <c r="H23" s="17">
        <f t="shared" si="13"/>
        <v>1281.467226</v>
      </c>
      <c r="I23" s="17">
        <f t="shared" si="13"/>
        <v>1383.984604</v>
      </c>
      <c r="J23" s="17">
        <f t="shared" si="13"/>
        <v>1494.703373</v>
      </c>
      <c r="K23" s="17">
        <f t="shared" si="13"/>
        <v>1614.279643</v>
      </c>
      <c r="L23" s="17">
        <f t="shared" si="13"/>
        <v>1743.422014</v>
      </c>
      <c r="M23" s="17">
        <f t="shared" si="13"/>
        <v>1882.895775</v>
      </c>
      <c r="N23" s="17">
        <f t="shared" si="13"/>
        <v>2033.527437</v>
      </c>
      <c r="O23" s="17">
        <f t="shared" si="13"/>
        <v>2196.209632</v>
      </c>
      <c r="P23" s="17">
        <f t="shared" si="13"/>
        <v>2371.906403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52">
        <v>39608.0</v>
      </c>
      <c r="B24" s="151">
        <v>16.0</v>
      </c>
      <c r="C24" s="17">
        <v>16.42</v>
      </c>
      <c r="D24" s="17">
        <f t="shared" si="2"/>
        <v>13.136</v>
      </c>
      <c r="E24" s="17" t="s">
        <v>515</v>
      </c>
      <c r="F24" s="17">
        <v>791.0291520000001</v>
      </c>
      <c r="G24" s="17">
        <f t="shared" ref="G24:P24" si="14">G23*0.72</f>
        <v>854.3114842</v>
      </c>
      <c r="H24" s="17">
        <f t="shared" si="14"/>
        <v>922.6564029</v>
      </c>
      <c r="I24" s="17">
        <f t="shared" si="14"/>
        <v>996.4689151</v>
      </c>
      <c r="J24" s="17">
        <f t="shared" si="14"/>
        <v>1076.186428</v>
      </c>
      <c r="K24" s="17">
        <f t="shared" si="14"/>
        <v>1162.281343</v>
      </c>
      <c r="L24" s="17">
        <f t="shared" si="14"/>
        <v>1255.26385</v>
      </c>
      <c r="M24" s="17">
        <f t="shared" si="14"/>
        <v>1355.684958</v>
      </c>
      <c r="N24" s="17">
        <f t="shared" si="14"/>
        <v>1464.139755</v>
      </c>
      <c r="O24" s="17">
        <f t="shared" si="14"/>
        <v>1581.270935</v>
      </c>
      <c r="P24" s="17">
        <f t="shared" si="14"/>
        <v>1707.77261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52">
        <v>39615.0</v>
      </c>
      <c r="B25" s="151">
        <v>15.42</v>
      </c>
      <c r="C25" s="17">
        <v>16.42</v>
      </c>
      <c r="D25" s="17">
        <f t="shared" si="2"/>
        <v>13.136</v>
      </c>
      <c r="E25" s="17" t="s">
        <v>524</v>
      </c>
      <c r="F25" s="17">
        <v>795.85344</v>
      </c>
      <c r="G25" s="17">
        <f t="shared" ref="G25:P25" si="15">(G26-F25)/10+F25</f>
        <v>795.3710112</v>
      </c>
      <c r="H25" s="17">
        <f t="shared" si="15"/>
        <v>801.2650585</v>
      </c>
      <c r="I25" s="17">
        <f t="shared" si="15"/>
        <v>813.4041929</v>
      </c>
      <c r="J25" s="17">
        <f t="shared" si="15"/>
        <v>831.7106652</v>
      </c>
      <c r="K25" s="17">
        <f t="shared" si="15"/>
        <v>856.1582415</v>
      </c>
      <c r="L25" s="17">
        <f t="shared" si="15"/>
        <v>886.7705516</v>
      </c>
      <c r="M25" s="17">
        <f t="shared" si="15"/>
        <v>923.6198814</v>
      </c>
      <c r="N25" s="17">
        <f t="shared" si="15"/>
        <v>966.8263891</v>
      </c>
      <c r="O25" s="17">
        <f t="shared" si="15"/>
        <v>1016.557726</v>
      </c>
      <c r="P25" s="17">
        <f t="shared" si="15"/>
        <v>1073.029047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52">
        <v>39622.0</v>
      </c>
      <c r="B26" s="151">
        <v>15.77</v>
      </c>
      <c r="C26" s="17">
        <v>16.42</v>
      </c>
      <c r="D26" s="17">
        <f t="shared" si="2"/>
        <v>13.136</v>
      </c>
      <c r="E26" s="17" t="s">
        <v>516</v>
      </c>
      <c r="F26" s="17">
        <v>732.4344000000001</v>
      </c>
      <c r="G26" s="17">
        <f t="shared" ref="G26:P26" si="16">G22*0.2</f>
        <v>791.029152</v>
      </c>
      <c r="H26" s="17">
        <f t="shared" si="16"/>
        <v>854.3114842</v>
      </c>
      <c r="I26" s="17">
        <f t="shared" si="16"/>
        <v>922.6564029</v>
      </c>
      <c r="J26" s="17">
        <f t="shared" si="16"/>
        <v>996.4689151</v>
      </c>
      <c r="K26" s="17">
        <f t="shared" si="16"/>
        <v>1076.186428</v>
      </c>
      <c r="L26" s="17">
        <f t="shared" si="16"/>
        <v>1162.281343</v>
      </c>
      <c r="M26" s="17">
        <f t="shared" si="16"/>
        <v>1255.26385</v>
      </c>
      <c r="N26" s="17">
        <f t="shared" si="16"/>
        <v>1355.684958</v>
      </c>
      <c r="O26" s="17">
        <f t="shared" si="16"/>
        <v>1464.139755</v>
      </c>
      <c r="P26" s="17">
        <f t="shared" si="16"/>
        <v>1581.270935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52">
        <v>39629.0</v>
      </c>
      <c r="B27" s="151">
        <v>16.89</v>
      </c>
      <c r="C27" s="17">
        <v>16.42</v>
      </c>
      <c r="D27" s="17">
        <f t="shared" si="2"/>
        <v>13.136</v>
      </c>
      <c r="E27" s="17" t="s">
        <v>526</v>
      </c>
      <c r="F27" s="17">
        <v>0.0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52">
        <v>39636.0</v>
      </c>
      <c r="B28" s="151">
        <v>17.03</v>
      </c>
      <c r="C28" s="17">
        <v>16.42</v>
      </c>
      <c r="D28" s="17">
        <f t="shared" si="2"/>
        <v>13.136</v>
      </c>
      <c r="E28" s="17" t="s">
        <v>523</v>
      </c>
      <c r="F28" s="17">
        <v>854.4481919999998</v>
      </c>
      <c r="G28" s="17">
        <f t="shared" ref="G28:P28" si="17">G24+G25-G26</f>
        <v>858.6533434</v>
      </c>
      <c r="H28" s="17">
        <f t="shared" si="17"/>
        <v>869.6099772</v>
      </c>
      <c r="I28" s="17">
        <f t="shared" si="17"/>
        <v>887.2167052</v>
      </c>
      <c r="J28" s="17">
        <f t="shared" si="17"/>
        <v>911.4281784</v>
      </c>
      <c r="K28" s="17">
        <f t="shared" si="17"/>
        <v>942.2531557</v>
      </c>
      <c r="L28" s="17">
        <f t="shared" si="17"/>
        <v>979.753059</v>
      </c>
      <c r="M28" s="17">
        <f t="shared" si="17"/>
        <v>1024.040989</v>
      </c>
      <c r="N28" s="17">
        <f t="shared" si="17"/>
        <v>1075.281186</v>
      </c>
      <c r="O28" s="17">
        <f t="shared" si="17"/>
        <v>1133.688906</v>
      </c>
      <c r="P28" s="17">
        <f t="shared" si="17"/>
        <v>1199.530721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52">
        <v>39643.0</v>
      </c>
      <c r="B29" s="151">
        <v>18.32</v>
      </c>
      <c r="C29" s="17">
        <v>16.42</v>
      </c>
      <c r="D29" s="17">
        <f t="shared" si="2"/>
        <v>13.136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52">
        <v>39650.0</v>
      </c>
      <c r="B30" s="151">
        <v>17.69</v>
      </c>
      <c r="C30" s="17">
        <v>16.42</v>
      </c>
      <c r="D30" s="17">
        <f t="shared" si="2"/>
        <v>13.136</v>
      </c>
      <c r="E30" s="17" t="s">
        <v>472</v>
      </c>
      <c r="F30" s="17">
        <v>0.0677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52">
        <v>39657.0</v>
      </c>
      <c r="B31" s="151">
        <v>17.26</v>
      </c>
      <c r="C31" s="17">
        <v>16.42</v>
      </c>
      <c r="D31" s="17">
        <f t="shared" si="2"/>
        <v>13.136</v>
      </c>
      <c r="E31" s="17" t="s">
        <v>527</v>
      </c>
      <c r="F31" s="17">
        <v>0.9365926758452748</v>
      </c>
      <c r="G31" s="17">
        <v>0.877205840447012</v>
      </c>
      <c r="H31" s="17">
        <v>0.8215845653713701</v>
      </c>
      <c r="I31" s="17">
        <v>0.7694900865143487</v>
      </c>
      <c r="J31" s="17">
        <v>0.7206987791648859</v>
      </c>
      <c r="K31" s="17">
        <v>0.6750011980564632</v>
      </c>
      <c r="L31" s="17">
        <v>0.6322011782864692</v>
      </c>
      <c r="M31" s="17">
        <v>0.5921149932438599</v>
      </c>
      <c r="N31" s="17">
        <v>0.5545705659303735</v>
      </c>
      <c r="O31" s="17">
        <v>0.5194067302897569</v>
      </c>
      <c r="P31" s="17">
        <v>0.42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52">
        <v>39664.0</v>
      </c>
      <c r="B32" s="151">
        <v>17.79</v>
      </c>
      <c r="C32" s="17">
        <v>16.42</v>
      </c>
      <c r="D32" s="17">
        <f t="shared" si="2"/>
        <v>13.136</v>
      </c>
      <c r="E32" s="17" t="s">
        <v>528</v>
      </c>
      <c r="F32" s="17">
        <f t="shared" ref="F32:P32" si="18">F28*F31</f>
        <v>800.2699185</v>
      </c>
      <c r="G32" s="17">
        <f t="shared" si="18"/>
        <v>753.2157277</v>
      </c>
      <c r="H32" s="17">
        <f t="shared" si="18"/>
        <v>714.4581352</v>
      </c>
      <c r="I32" s="17">
        <f t="shared" si="18"/>
        <v>682.7044592</v>
      </c>
      <c r="J32" s="17">
        <f t="shared" si="18"/>
        <v>656.8651754</v>
      </c>
      <c r="K32" s="17">
        <f t="shared" si="18"/>
        <v>636.022009</v>
      </c>
      <c r="L32" s="17">
        <f t="shared" si="18"/>
        <v>619.4010383</v>
      </c>
      <c r="M32" s="17">
        <f t="shared" si="18"/>
        <v>606.3500235</v>
      </c>
      <c r="N32" s="17">
        <f t="shared" si="18"/>
        <v>596.3192957</v>
      </c>
      <c r="O32" s="17">
        <f t="shared" si="18"/>
        <v>588.8456478</v>
      </c>
      <c r="P32" s="17">
        <f t="shared" si="18"/>
        <v>503.802903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52">
        <v>39671.0</v>
      </c>
      <c r="B33" s="151">
        <v>17.95</v>
      </c>
      <c r="C33" s="17">
        <v>16.42</v>
      </c>
      <c r="D33" s="17">
        <f t="shared" si="2"/>
        <v>13.136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52">
        <v>39678.0</v>
      </c>
      <c r="B34" s="151">
        <v>17.37</v>
      </c>
      <c r="C34" s="17">
        <v>16.42</v>
      </c>
      <c r="D34" s="17">
        <f t="shared" si="2"/>
        <v>13.136</v>
      </c>
      <c r="E34" s="17" t="s">
        <v>529</v>
      </c>
      <c r="F34" s="17">
        <f>P28</f>
        <v>1199.530721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52">
        <v>39685.0</v>
      </c>
      <c r="B35" s="151">
        <v>18.35</v>
      </c>
      <c r="C35" s="17">
        <v>16.42</v>
      </c>
      <c r="D35" s="17">
        <f t="shared" si="2"/>
        <v>13.136</v>
      </c>
      <c r="E35" s="17" t="s">
        <v>530</v>
      </c>
      <c r="F35" s="17">
        <f>F34/(8%-2%)</f>
        <v>19992.17869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52">
        <v>39692.0</v>
      </c>
      <c r="B36" s="151">
        <v>18.24</v>
      </c>
      <c r="C36" s="17">
        <v>16.42</v>
      </c>
      <c r="D36" s="17">
        <f t="shared" si="2"/>
        <v>13.136</v>
      </c>
      <c r="E36" s="17" t="s">
        <v>531</v>
      </c>
      <c r="F36" s="17">
        <f>F35*0.5</f>
        <v>9996.089345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52">
        <v>39699.0</v>
      </c>
      <c r="B37" s="151">
        <v>19.11</v>
      </c>
      <c r="C37" s="17">
        <v>16.42</v>
      </c>
      <c r="D37" s="17">
        <f t="shared" si="2"/>
        <v>13.136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52">
        <v>39706.0</v>
      </c>
      <c r="B38" s="151">
        <v>17.88</v>
      </c>
      <c r="C38" s="17">
        <v>16.42</v>
      </c>
      <c r="D38" s="17">
        <f t="shared" si="2"/>
        <v>13.136</v>
      </c>
      <c r="E38" s="17" t="s">
        <v>532</v>
      </c>
      <c r="F38" s="17">
        <f>SUM(F32:O32)+F36</f>
        <v>16650.54078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52">
        <v>39713.0</v>
      </c>
      <c r="B39" s="151">
        <v>17.61</v>
      </c>
      <c r="C39" s="17">
        <v>16.42</v>
      </c>
      <c r="D39" s="17">
        <f t="shared" si="2"/>
        <v>13.136</v>
      </c>
      <c r="E39" s="17" t="s">
        <v>533</v>
      </c>
      <c r="F39" s="17">
        <v>5274.0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52">
        <v>39720.0</v>
      </c>
      <c r="B40" s="151">
        <v>16.62</v>
      </c>
      <c r="C40" s="17">
        <v>16.42</v>
      </c>
      <c r="D40" s="17">
        <f t="shared" si="2"/>
        <v>13.136</v>
      </c>
      <c r="E40" s="17" t="s">
        <v>534</v>
      </c>
      <c r="F40" s="17">
        <v>0.0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52">
        <v>39727.0</v>
      </c>
      <c r="B41" s="151">
        <v>15.72</v>
      </c>
      <c r="C41" s="17">
        <v>16.42</v>
      </c>
      <c r="D41" s="17">
        <f t="shared" si="2"/>
        <v>13.136</v>
      </c>
      <c r="E41" s="17" t="s">
        <v>535</v>
      </c>
      <c r="F41" s="17">
        <f>F38-F39</f>
        <v>11376.54078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52">
        <v>39734.0</v>
      </c>
      <c r="B42" s="151">
        <v>16.93</v>
      </c>
      <c r="C42" s="17">
        <v>16.42</v>
      </c>
      <c r="D42" s="17">
        <f t="shared" si="2"/>
        <v>13.136</v>
      </c>
      <c r="E42" s="17" t="s">
        <v>536</v>
      </c>
      <c r="F42" s="17">
        <v>430.0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52">
        <v>39741.0</v>
      </c>
      <c r="B43" s="151">
        <v>16.2</v>
      </c>
      <c r="C43" s="17">
        <v>16.42</v>
      </c>
      <c r="D43" s="17">
        <f t="shared" si="2"/>
        <v>13.136</v>
      </c>
      <c r="E43" s="17" t="s">
        <v>537</v>
      </c>
      <c r="F43" s="17">
        <f>F41/F42</f>
        <v>26.45707157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52">
        <v>39748.0</v>
      </c>
      <c r="B44" s="151">
        <v>17.02</v>
      </c>
      <c r="C44" s="17">
        <v>16.42</v>
      </c>
      <c r="D44" s="17">
        <f t="shared" si="2"/>
        <v>13.136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52">
        <v>39755.0</v>
      </c>
      <c r="B45" s="151">
        <v>17.88</v>
      </c>
      <c r="C45" s="17">
        <v>16.42</v>
      </c>
      <c r="D45" s="17">
        <f t="shared" si="2"/>
        <v>13.136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52">
        <v>39762.0</v>
      </c>
      <c r="B46" s="151">
        <v>18.2</v>
      </c>
      <c r="C46" s="17">
        <v>16.42</v>
      </c>
      <c r="D46" s="17">
        <f t="shared" si="2"/>
        <v>13.136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52">
        <v>39769.0</v>
      </c>
      <c r="B47" s="151">
        <v>16.1</v>
      </c>
      <c r="C47" s="17">
        <v>16.42</v>
      </c>
      <c r="D47" s="17">
        <f t="shared" si="2"/>
        <v>13.136</v>
      </c>
      <c r="E47" s="17" t="s">
        <v>518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52">
        <v>39776.0</v>
      </c>
      <c r="B48" s="151">
        <v>17.79</v>
      </c>
      <c r="C48" s="17">
        <v>16.42</v>
      </c>
      <c r="D48" s="17">
        <f t="shared" si="2"/>
        <v>13.136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52">
        <v>39783.0</v>
      </c>
      <c r="B49" s="151">
        <v>17.5</v>
      </c>
      <c r="C49" s="17">
        <v>16.42</v>
      </c>
      <c r="D49" s="17">
        <f t="shared" si="2"/>
        <v>13.136</v>
      </c>
      <c r="E49" s="17" t="s">
        <v>514</v>
      </c>
      <c r="F49" s="17">
        <v>2008.0</v>
      </c>
      <c r="G49" s="17">
        <v>2009.0</v>
      </c>
      <c r="H49" s="17">
        <v>2010.0</v>
      </c>
      <c r="I49" s="17">
        <v>2011.0</v>
      </c>
      <c r="J49" s="17">
        <v>2012.0</v>
      </c>
      <c r="K49" s="17">
        <v>2013.0</v>
      </c>
      <c r="L49" s="17">
        <v>2014.0</v>
      </c>
      <c r="M49" s="17">
        <v>2015.0</v>
      </c>
      <c r="N49" s="17">
        <v>2016.0</v>
      </c>
      <c r="O49" s="17">
        <v>2017.0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52">
        <v>39790.0</v>
      </c>
      <c r="B50" s="151">
        <v>17.33</v>
      </c>
      <c r="C50" s="17">
        <v>16.42</v>
      </c>
      <c r="D50" s="17">
        <f t="shared" si="2"/>
        <v>13.136</v>
      </c>
      <c r="E50" s="17" t="s">
        <v>519</v>
      </c>
      <c r="F50" s="17">
        <v>2996.3520000000003</v>
      </c>
      <c r="G50" s="17">
        <v>3236.0601600000005</v>
      </c>
      <c r="H50" s="17">
        <v>3494.944972800001</v>
      </c>
      <c r="I50" s="17">
        <v>3774.5405706240012</v>
      </c>
      <c r="J50" s="17">
        <v>4076.5038162739215</v>
      </c>
      <c r="K50" s="17">
        <v>4402.6241215758355</v>
      </c>
      <c r="L50" s="17">
        <v>4754.834051301903</v>
      </c>
      <c r="M50" s="17">
        <v>5135.2207754060555</v>
      </c>
      <c r="N50" s="17">
        <v>5546.03843743854</v>
      </c>
      <c r="O50" s="17">
        <v>5989.7215124336235</v>
      </c>
      <c r="P50" s="17">
        <v>6468.899233428314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52">
        <v>39797.0</v>
      </c>
      <c r="B51" s="151">
        <v>17.22</v>
      </c>
      <c r="C51" s="17">
        <v>16.42</v>
      </c>
      <c r="D51" s="17">
        <f t="shared" si="2"/>
        <v>13.136</v>
      </c>
      <c r="E51" s="17" t="s">
        <v>27</v>
      </c>
      <c r="F51" s="17">
        <v>898.9056</v>
      </c>
      <c r="G51" s="17">
        <v>970.8180480000001</v>
      </c>
      <c r="H51" s="17">
        <v>1048.4834918400002</v>
      </c>
      <c r="I51" s="17">
        <v>1132.3621711872004</v>
      </c>
      <c r="J51" s="17">
        <v>1222.9511448821763</v>
      </c>
      <c r="K51" s="17">
        <v>1320.7872364727507</v>
      </c>
      <c r="L51" s="17">
        <v>1426.4502153905707</v>
      </c>
      <c r="M51" s="17">
        <v>1540.5662326218167</v>
      </c>
      <c r="N51" s="17">
        <v>1663.811531231562</v>
      </c>
      <c r="O51" s="17">
        <v>1796.916453730087</v>
      </c>
      <c r="P51" s="17">
        <v>1940.669770028494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52">
        <v>39804.0</v>
      </c>
      <c r="B52" s="151">
        <v>17.23</v>
      </c>
      <c r="C52" s="17">
        <v>16.42</v>
      </c>
      <c r="D52" s="17">
        <f t="shared" si="2"/>
        <v>13.136</v>
      </c>
      <c r="E52" s="17" t="s">
        <v>515</v>
      </c>
      <c r="F52" s="17">
        <v>647.212032</v>
      </c>
      <c r="G52" s="17">
        <v>698.98899456</v>
      </c>
      <c r="H52" s="17">
        <v>754.9081141248001</v>
      </c>
      <c r="I52" s="17">
        <v>815.3007632547842</v>
      </c>
      <c r="J52" s="17">
        <v>880.5248243151669</v>
      </c>
      <c r="K52" s="17">
        <v>950.9668102603805</v>
      </c>
      <c r="L52" s="17">
        <v>1027.0441550812109</v>
      </c>
      <c r="M52" s="17">
        <v>1109.207687487708</v>
      </c>
      <c r="N52" s="17">
        <v>1197.9443024867246</v>
      </c>
      <c r="O52" s="17">
        <v>1293.7798466856625</v>
      </c>
      <c r="P52" s="17">
        <v>1397.2822344205156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52">
        <v>39811.0</v>
      </c>
      <c r="B53" s="151">
        <v>18.0</v>
      </c>
      <c r="C53" s="17">
        <v>16.42</v>
      </c>
      <c r="D53" s="17">
        <f t="shared" si="2"/>
        <v>13.136</v>
      </c>
      <c r="E53" s="17" t="s">
        <v>524</v>
      </c>
      <c r="F53" s="17">
        <v>485.71704000000005</v>
      </c>
      <c r="G53" s="17">
        <v>501.86653920000003</v>
      </c>
      <c r="H53" s="17">
        <v>521.5787847360001</v>
      </c>
      <c r="I53" s="17">
        <v>544.9117176748802</v>
      </c>
      <c r="J53" s="17">
        <v>571.9506222328706</v>
      </c>
      <c r="K53" s="17">
        <v>602.8080424411003</v>
      </c>
      <c r="L53" s="17">
        <v>637.6239192230283</v>
      </c>
      <c r="M53" s="17">
        <v>676.5659428088466</v>
      </c>
      <c r="N53" s="17">
        <v>719.8301172767327</v>
      </c>
      <c r="O53" s="17">
        <v>767.6415357977319</v>
      </c>
      <c r="P53" s="17">
        <v>820.2553668865249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52">
        <v>39818.0</v>
      </c>
      <c r="B54" s="151">
        <v>16.85</v>
      </c>
      <c r="C54" s="17">
        <v>17.3</v>
      </c>
      <c r="D54" s="17">
        <f t="shared" si="2"/>
        <v>13.84</v>
      </c>
      <c r="E54" s="17" t="s">
        <v>516</v>
      </c>
      <c r="F54" s="17">
        <v>599.2704000000001</v>
      </c>
      <c r="G54" s="17">
        <v>647.2120320000001</v>
      </c>
      <c r="H54" s="17">
        <v>698.9889945600003</v>
      </c>
      <c r="I54" s="17">
        <v>754.9081141248002</v>
      </c>
      <c r="J54" s="17">
        <v>815.3007632547843</v>
      </c>
      <c r="K54" s="17">
        <v>880.5248243151672</v>
      </c>
      <c r="L54" s="17">
        <v>950.9668102603806</v>
      </c>
      <c r="M54" s="17">
        <v>1027.044155081211</v>
      </c>
      <c r="N54" s="17">
        <v>1109.2076874877082</v>
      </c>
      <c r="O54" s="17">
        <v>1197.9443024867248</v>
      </c>
      <c r="P54" s="17">
        <v>1293.779846685663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52">
        <v>39825.0</v>
      </c>
      <c r="B55" s="151">
        <v>17.43</v>
      </c>
      <c r="C55" s="17">
        <v>17.3</v>
      </c>
      <c r="D55" s="17">
        <f t="shared" si="2"/>
        <v>13.84</v>
      </c>
      <c r="E55" s="17" t="s">
        <v>526</v>
      </c>
      <c r="F55" s="17">
        <v>0.0</v>
      </c>
      <c r="G55" s="17">
        <v>0.0</v>
      </c>
      <c r="H55" s="17">
        <v>0.0</v>
      </c>
      <c r="I55" s="17">
        <v>0.0</v>
      </c>
      <c r="J55" s="17">
        <v>0.0</v>
      </c>
      <c r="K55" s="17">
        <v>0.0</v>
      </c>
      <c r="L55" s="17">
        <v>0.0</v>
      </c>
      <c r="M55" s="17">
        <v>0.0</v>
      </c>
      <c r="N55" s="17">
        <v>0.0</v>
      </c>
      <c r="O55" s="17">
        <v>0.0</v>
      </c>
      <c r="P55" s="17">
        <v>0.0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52">
        <v>39832.0</v>
      </c>
      <c r="B56" s="151">
        <v>16.52</v>
      </c>
      <c r="C56" s="17">
        <v>17.3</v>
      </c>
      <c r="D56" s="17">
        <f t="shared" si="2"/>
        <v>13.84</v>
      </c>
      <c r="E56" s="17" t="s">
        <v>523</v>
      </c>
      <c r="F56" s="17">
        <v>533.658672</v>
      </c>
      <c r="G56" s="17">
        <v>553.6435017599999</v>
      </c>
      <c r="H56" s="17">
        <v>577.4979043008</v>
      </c>
      <c r="I56" s="17">
        <v>605.304366804864</v>
      </c>
      <c r="J56" s="17">
        <v>637.1746832932532</v>
      </c>
      <c r="K56" s="17">
        <v>673.2500283863136</v>
      </c>
      <c r="L56" s="17">
        <v>713.7012640438587</v>
      </c>
      <c r="M56" s="17">
        <v>758.7294752153434</v>
      </c>
      <c r="N56" s="17">
        <v>808.5667322757492</v>
      </c>
      <c r="O56" s="17">
        <v>863.4770799966693</v>
      </c>
      <c r="P56" s="17">
        <v>923.7577546213774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52">
        <v>39839.0</v>
      </c>
      <c r="B57" s="151">
        <v>16.19</v>
      </c>
      <c r="C57" s="17">
        <v>17.3</v>
      </c>
      <c r="D57" s="17">
        <f t="shared" si="2"/>
        <v>13.84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52">
        <v>39846.0</v>
      </c>
      <c r="B58" s="151">
        <v>16.69</v>
      </c>
      <c r="C58" s="17">
        <v>17.3</v>
      </c>
      <c r="D58" s="17">
        <f t="shared" si="2"/>
        <v>13.84</v>
      </c>
      <c r="E58" s="17" t="s">
        <v>472</v>
      </c>
      <c r="F58" s="17">
        <v>0.0677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52">
        <v>39853.0</v>
      </c>
      <c r="B59" s="151">
        <v>16.42</v>
      </c>
      <c r="C59" s="17">
        <v>17.3</v>
      </c>
      <c r="D59" s="17">
        <f t="shared" si="2"/>
        <v>13.84</v>
      </c>
      <c r="E59" s="17" t="s">
        <v>527</v>
      </c>
      <c r="F59" s="17">
        <v>0.9365926758452748</v>
      </c>
      <c r="G59" s="17">
        <v>0.877205840447012</v>
      </c>
      <c r="H59" s="17">
        <v>0.8215845653713701</v>
      </c>
      <c r="I59" s="17">
        <v>0.7694900865143487</v>
      </c>
      <c r="J59" s="17">
        <v>0.7206987791648859</v>
      </c>
      <c r="K59" s="17">
        <v>0.6750011980564632</v>
      </c>
      <c r="L59" s="17">
        <v>0.6322011782864692</v>
      </c>
      <c r="M59" s="17">
        <v>0.5921149932438599</v>
      </c>
      <c r="N59" s="17">
        <v>0.5545705659303735</v>
      </c>
      <c r="O59" s="17">
        <v>0.5194067302897569</v>
      </c>
      <c r="P59" s="17">
        <v>0.42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52">
        <v>39861.0</v>
      </c>
      <c r="B60" s="151">
        <v>15.0</v>
      </c>
      <c r="C60" s="17">
        <v>17.3</v>
      </c>
      <c r="D60" s="17">
        <f t="shared" si="2"/>
        <v>13.84</v>
      </c>
      <c r="E60" s="17" t="s">
        <v>528</v>
      </c>
      <c r="F60" s="17">
        <v>499.8208035965159</v>
      </c>
      <c r="G60" s="17">
        <v>485.6593132694075</v>
      </c>
      <c r="H60" s="17">
        <v>474.46336470784985</v>
      </c>
      <c r="I60" s="17">
        <v>465.7757095801879</v>
      </c>
      <c r="J60" s="17">
        <v>459.2110163642204</v>
      </c>
      <c r="K60" s="17">
        <v>454.44457575230956</v>
      </c>
      <c r="L60" s="17">
        <v>451.2027800730699</v>
      </c>
      <c r="M60" s="17">
        <v>449.2550980910504</v>
      </c>
      <c r="N60" s="17">
        <v>448.407310310635</v>
      </c>
      <c r="O60" s="17">
        <v>448.4958068012169</v>
      </c>
      <c r="P60" s="17">
        <v>387.9782569409785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52">
        <v>39867.0</v>
      </c>
      <c r="B61" s="151">
        <v>15.35</v>
      </c>
      <c r="C61" s="17">
        <v>17.3</v>
      </c>
      <c r="D61" s="17">
        <f t="shared" si="2"/>
        <v>13.84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52">
        <v>39874.0</v>
      </c>
      <c r="B62" s="151">
        <v>14.7</v>
      </c>
      <c r="C62" s="17">
        <v>17.3</v>
      </c>
      <c r="D62" s="17">
        <f t="shared" si="2"/>
        <v>13.84</v>
      </c>
      <c r="E62" s="17" t="s">
        <v>529</v>
      </c>
      <c r="F62" s="17">
        <v>923.7577546213774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52">
        <v>39881.0</v>
      </c>
      <c r="B63" s="151">
        <v>15.28</v>
      </c>
      <c r="C63" s="17">
        <v>17.3</v>
      </c>
      <c r="D63" s="17">
        <f t="shared" si="2"/>
        <v>13.84</v>
      </c>
      <c r="E63" s="17" t="s">
        <v>530</v>
      </c>
      <c r="F63" s="17">
        <v>15395.962577022958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52">
        <v>39888.0</v>
      </c>
      <c r="B64" s="151">
        <v>15.87</v>
      </c>
      <c r="C64" s="17">
        <v>17.3</v>
      </c>
      <c r="D64" s="17">
        <f t="shared" si="2"/>
        <v>13.84</v>
      </c>
      <c r="E64" s="17" t="s">
        <v>531</v>
      </c>
      <c r="F64" s="17">
        <v>7697.981288511479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52">
        <v>39895.0</v>
      </c>
      <c r="B65" s="151">
        <v>16.32</v>
      </c>
      <c r="C65" s="17">
        <v>17.3</v>
      </c>
      <c r="D65" s="17">
        <f t="shared" si="2"/>
        <v>13.84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52">
        <v>39902.0</v>
      </c>
      <c r="B66" s="151">
        <v>15.93</v>
      </c>
      <c r="C66" s="17">
        <v>17.3</v>
      </c>
      <c r="D66" s="17">
        <f t="shared" si="2"/>
        <v>13.84</v>
      </c>
      <c r="E66" s="17" t="s">
        <v>532</v>
      </c>
      <c r="F66" s="17">
        <v>12334.717067057942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52">
        <v>39909.0</v>
      </c>
      <c r="B67" s="151">
        <v>15.89</v>
      </c>
      <c r="C67" s="17">
        <v>17.3</v>
      </c>
      <c r="D67" s="17">
        <f t="shared" si="2"/>
        <v>13.84</v>
      </c>
      <c r="E67" s="17" t="s">
        <v>533</v>
      </c>
      <c r="F67" s="17">
        <v>5274.0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52">
        <v>39916.0</v>
      </c>
      <c r="B68" s="151">
        <v>15.27</v>
      </c>
      <c r="C68" s="17">
        <v>17.3</v>
      </c>
      <c r="D68" s="17">
        <f t="shared" si="2"/>
        <v>13.84</v>
      </c>
      <c r="E68" s="17" t="s">
        <v>534</v>
      </c>
      <c r="F68" s="17">
        <v>0.0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52">
        <v>39923.0</v>
      </c>
      <c r="B69" s="151">
        <v>15.01</v>
      </c>
      <c r="C69" s="17">
        <v>17.3</v>
      </c>
      <c r="D69" s="17">
        <f t="shared" si="2"/>
        <v>13.84</v>
      </c>
      <c r="E69" s="17" t="s">
        <v>535</v>
      </c>
      <c r="F69" s="17">
        <v>7060.717067057942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52">
        <v>39930.0</v>
      </c>
      <c r="B70" s="151">
        <v>15.2</v>
      </c>
      <c r="C70" s="17">
        <v>17.3</v>
      </c>
      <c r="D70" s="17">
        <f t="shared" si="2"/>
        <v>13.84</v>
      </c>
      <c r="E70" s="17" t="s">
        <v>536</v>
      </c>
      <c r="F70" s="17">
        <v>430.0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52">
        <v>39937.0</v>
      </c>
      <c r="B71" s="151">
        <v>15.89</v>
      </c>
      <c r="C71" s="17">
        <v>17.3</v>
      </c>
      <c r="D71" s="17">
        <f t="shared" si="2"/>
        <v>13.84</v>
      </c>
      <c r="E71" s="17" t="s">
        <v>537</v>
      </c>
      <c r="F71" s="17">
        <v>16.42027224897196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52">
        <v>39944.0</v>
      </c>
      <c r="B72" s="151">
        <v>15.48</v>
      </c>
      <c r="C72" s="17">
        <v>17.3</v>
      </c>
      <c r="D72" s="17">
        <f t="shared" si="2"/>
        <v>13.84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52">
        <v>39951.0</v>
      </c>
      <c r="B73" s="151">
        <v>15.69</v>
      </c>
      <c r="C73" s="17">
        <v>17.3</v>
      </c>
      <c r="D73" s="17">
        <f t="shared" si="2"/>
        <v>13.84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52">
        <v>39958.0</v>
      </c>
      <c r="B74" s="151">
        <v>15.61</v>
      </c>
      <c r="C74" s="17">
        <v>17.3</v>
      </c>
      <c r="D74" s="17">
        <f t="shared" si="2"/>
        <v>13.84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52">
        <v>39965.0</v>
      </c>
      <c r="B75" s="151">
        <v>15.67</v>
      </c>
      <c r="C75" s="17">
        <v>17.3</v>
      </c>
      <c r="D75" s="17">
        <f t="shared" si="2"/>
        <v>13.84</v>
      </c>
      <c r="E75" s="17" t="s">
        <v>518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52">
        <v>39972.0</v>
      </c>
      <c r="B76" s="151">
        <v>15.75</v>
      </c>
      <c r="C76" s="17">
        <v>17.3</v>
      </c>
      <c r="D76" s="17">
        <f t="shared" si="2"/>
        <v>13.84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52">
        <v>39979.0</v>
      </c>
      <c r="B77" s="151">
        <v>16.16</v>
      </c>
      <c r="C77" s="17">
        <v>17.3</v>
      </c>
      <c r="D77" s="17">
        <f t="shared" si="2"/>
        <v>13.84</v>
      </c>
      <c r="E77" s="17" t="s">
        <v>514</v>
      </c>
      <c r="F77" s="17">
        <v>2009.0</v>
      </c>
      <c r="G77" s="17">
        <v>2010.0</v>
      </c>
      <c r="H77" s="17">
        <v>2011.0</v>
      </c>
      <c r="I77" s="17">
        <v>2012.0</v>
      </c>
      <c r="J77" s="17">
        <v>2013.0</v>
      </c>
      <c r="K77" s="17">
        <v>2014.0</v>
      </c>
      <c r="L77" s="17">
        <v>2015.0</v>
      </c>
      <c r="M77" s="17">
        <v>2016.0</v>
      </c>
      <c r="N77" s="17">
        <v>2017.0</v>
      </c>
      <c r="O77" s="17">
        <v>2018.0</v>
      </c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52">
        <v>39986.0</v>
      </c>
      <c r="B78" s="151">
        <v>16.38</v>
      </c>
      <c r="C78" s="17">
        <v>17.3</v>
      </c>
      <c r="D78" s="17">
        <f t="shared" si="2"/>
        <v>13.84</v>
      </c>
      <c r="E78" s="17" t="s">
        <v>519</v>
      </c>
      <c r="F78" s="17">
        <v>3353.2920000000004</v>
      </c>
      <c r="G78" s="17">
        <v>3621.5553600000007</v>
      </c>
      <c r="H78" s="17">
        <v>3911.279788800001</v>
      </c>
      <c r="I78" s="17">
        <v>4224.182171904001</v>
      </c>
      <c r="J78" s="17">
        <v>4562.116745656321</v>
      </c>
      <c r="K78" s="17">
        <v>4927.086085308827</v>
      </c>
      <c r="L78" s="17">
        <v>5321.252972133533</v>
      </c>
      <c r="M78" s="17">
        <v>5746.953209904216</v>
      </c>
      <c r="N78" s="17">
        <v>6206.709466696554</v>
      </c>
      <c r="O78" s="17">
        <v>6703.246224032278</v>
      </c>
      <c r="P78" s="17">
        <v>7239.505921954861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52">
        <v>39993.0</v>
      </c>
      <c r="B79" s="151">
        <v>15.94</v>
      </c>
      <c r="C79" s="17">
        <v>17.3</v>
      </c>
      <c r="D79" s="17">
        <f t="shared" si="2"/>
        <v>13.84</v>
      </c>
      <c r="E79" s="17" t="s">
        <v>27</v>
      </c>
      <c r="F79" s="17">
        <v>1005.9876</v>
      </c>
      <c r="G79" s="17">
        <v>1086.4666080000002</v>
      </c>
      <c r="H79" s="17">
        <v>1173.3839366400002</v>
      </c>
      <c r="I79" s="17">
        <v>1267.2546515712002</v>
      </c>
      <c r="J79" s="17">
        <v>1368.6350236968963</v>
      </c>
      <c r="K79" s="17">
        <v>1478.125825592648</v>
      </c>
      <c r="L79" s="17">
        <v>1596.37589164006</v>
      </c>
      <c r="M79" s="17">
        <v>1724.0859629712647</v>
      </c>
      <c r="N79" s="17">
        <v>1862.0128400089661</v>
      </c>
      <c r="O79" s="17">
        <v>2010.9738672096835</v>
      </c>
      <c r="P79" s="17">
        <v>2171.851776586458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52">
        <v>40000.0</v>
      </c>
      <c r="B80" s="151">
        <v>14.91</v>
      </c>
      <c r="C80" s="17">
        <v>17.3</v>
      </c>
      <c r="D80" s="17">
        <f t="shared" si="2"/>
        <v>13.84</v>
      </c>
      <c r="E80" s="17" t="s">
        <v>515</v>
      </c>
      <c r="F80" s="17">
        <v>724.311072</v>
      </c>
      <c r="G80" s="17">
        <v>782.2559577600001</v>
      </c>
      <c r="H80" s="17">
        <v>844.8364343808001</v>
      </c>
      <c r="I80" s="17">
        <v>912.4233491312641</v>
      </c>
      <c r="J80" s="17">
        <v>985.4172170617653</v>
      </c>
      <c r="K80" s="17">
        <v>1064.2505944267066</v>
      </c>
      <c r="L80" s="17">
        <v>1149.3906419808432</v>
      </c>
      <c r="M80" s="17">
        <v>1241.3418933393107</v>
      </c>
      <c r="N80" s="17">
        <v>1340.6492448064555</v>
      </c>
      <c r="O80" s="17">
        <v>1447.901184390972</v>
      </c>
      <c r="P80" s="17">
        <v>1563.7332791422498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52">
        <v>40007.0</v>
      </c>
      <c r="B81" s="151">
        <v>15.62</v>
      </c>
      <c r="C81" s="17">
        <v>17.3</v>
      </c>
      <c r="D81" s="17">
        <f t="shared" si="2"/>
        <v>13.84</v>
      </c>
      <c r="E81" s="17" t="s">
        <v>524</v>
      </c>
      <c r="F81" s="17">
        <v>721.72584</v>
      </c>
      <c r="G81" s="17">
        <v>721.9843632</v>
      </c>
      <c r="H81" s="17">
        <v>728.011522656</v>
      </c>
      <c r="I81" s="17">
        <v>739.69401382848</v>
      </c>
      <c r="J81" s="17">
        <v>756.9669473587585</v>
      </c>
      <c r="K81" s="17">
        <v>779.8119743290592</v>
      </c>
      <c r="L81" s="17">
        <v>808.255836338824</v>
      </c>
      <c r="M81" s="17">
        <v>842.369316903026</v>
      </c>
      <c r="N81" s="17">
        <v>882.2665745466544</v>
      </c>
      <c r="O81" s="17">
        <v>928.1048415726345</v>
      </c>
      <c r="P81" s="17">
        <v>980.0844758544683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52">
        <v>40014.0</v>
      </c>
      <c r="B82" s="151">
        <v>15.67</v>
      </c>
      <c r="C82" s="17">
        <v>17.3</v>
      </c>
      <c r="D82" s="17">
        <f t="shared" si="2"/>
        <v>13.84</v>
      </c>
      <c r="E82" s="17" t="s">
        <v>516</v>
      </c>
      <c r="F82" s="17">
        <v>670.6584000000001</v>
      </c>
      <c r="G82" s="17">
        <v>724.3110720000002</v>
      </c>
      <c r="H82" s="17">
        <v>782.2559577600002</v>
      </c>
      <c r="I82" s="17">
        <v>844.8364343808003</v>
      </c>
      <c r="J82" s="17">
        <v>912.4233491312642</v>
      </c>
      <c r="K82" s="17">
        <v>985.4172170617654</v>
      </c>
      <c r="L82" s="17">
        <v>1064.2505944267066</v>
      </c>
      <c r="M82" s="17">
        <v>1149.3906419808434</v>
      </c>
      <c r="N82" s="17">
        <v>1241.341893339311</v>
      </c>
      <c r="O82" s="17">
        <v>1340.6492448064557</v>
      </c>
      <c r="P82" s="17">
        <v>1447.9011843909723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52">
        <v>40021.0</v>
      </c>
      <c r="B83" s="151">
        <v>15.73</v>
      </c>
      <c r="C83" s="17">
        <v>17.3</v>
      </c>
      <c r="D83" s="17">
        <f t="shared" si="2"/>
        <v>13.84</v>
      </c>
      <c r="E83" s="17" t="s">
        <v>526</v>
      </c>
      <c r="F83" s="17">
        <v>0.0</v>
      </c>
      <c r="G83" s="17">
        <v>0.0</v>
      </c>
      <c r="H83" s="17">
        <v>0.0</v>
      </c>
      <c r="I83" s="17">
        <v>0.0</v>
      </c>
      <c r="J83" s="17">
        <v>0.0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7">
        <v>0.0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52">
        <v>40028.0</v>
      </c>
      <c r="B84" s="151">
        <v>15.75</v>
      </c>
      <c r="C84" s="17">
        <v>17.3</v>
      </c>
      <c r="D84" s="17">
        <f t="shared" si="2"/>
        <v>13.84</v>
      </c>
      <c r="E84" s="17" t="s">
        <v>523</v>
      </c>
      <c r="F84" s="17">
        <v>775.3785119999999</v>
      </c>
      <c r="G84" s="17">
        <v>779.92924896</v>
      </c>
      <c r="H84" s="17">
        <v>790.5919992767999</v>
      </c>
      <c r="I84" s="17">
        <v>807.280928578944</v>
      </c>
      <c r="J84" s="17">
        <v>829.9608152892596</v>
      </c>
      <c r="K84" s="17">
        <v>858.6453516940004</v>
      </c>
      <c r="L84" s="17">
        <v>893.3958838929605</v>
      </c>
      <c r="M84" s="17">
        <v>934.3205682614932</v>
      </c>
      <c r="N84" s="17">
        <v>981.5739260137989</v>
      </c>
      <c r="O84" s="17">
        <v>1035.3567811571509</v>
      </c>
      <c r="P84" s="17">
        <v>1095.9165706057458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52">
        <v>40035.0</v>
      </c>
      <c r="B85" s="151">
        <v>15.63</v>
      </c>
      <c r="C85" s="17">
        <v>17.3</v>
      </c>
      <c r="D85" s="17">
        <f t="shared" si="2"/>
        <v>13.84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52">
        <v>40042.0</v>
      </c>
      <c r="B86" s="151">
        <v>15.57</v>
      </c>
      <c r="C86" s="17">
        <v>17.3</v>
      </c>
      <c r="D86" s="17">
        <f t="shared" si="2"/>
        <v>13.84</v>
      </c>
      <c r="E86" s="17" t="s">
        <v>472</v>
      </c>
      <c r="F86" s="17">
        <v>0.0677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52">
        <v>40049.0</v>
      </c>
      <c r="B87" s="151">
        <v>15.39</v>
      </c>
      <c r="C87" s="17">
        <v>17.3</v>
      </c>
      <c r="D87" s="17">
        <f t="shared" si="2"/>
        <v>13.84</v>
      </c>
      <c r="E87" s="17" t="s">
        <v>527</v>
      </c>
      <c r="F87" s="17">
        <v>0.9365926758452748</v>
      </c>
      <c r="G87" s="17">
        <v>0.877205840447012</v>
      </c>
      <c r="H87" s="17">
        <v>0.8215845653713701</v>
      </c>
      <c r="I87" s="17">
        <v>0.7694900865143487</v>
      </c>
      <c r="J87" s="17">
        <v>0.7206987791648859</v>
      </c>
      <c r="K87" s="17">
        <v>0.6750011980564632</v>
      </c>
      <c r="L87" s="17">
        <v>0.6322011782864692</v>
      </c>
      <c r="M87" s="17">
        <v>0.5921149932438599</v>
      </c>
      <c r="N87" s="17">
        <v>0.5545705659303735</v>
      </c>
      <c r="O87" s="17">
        <v>0.5194067302897569</v>
      </c>
      <c r="P87" s="17">
        <v>0.42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52">
        <v>40056.0</v>
      </c>
      <c r="B88" s="151">
        <v>15.87</v>
      </c>
      <c r="C88" s="17">
        <v>17.3</v>
      </c>
      <c r="D88" s="17">
        <f t="shared" si="2"/>
        <v>13.84</v>
      </c>
      <c r="E88" s="17" t="s">
        <v>528</v>
      </c>
      <c r="F88" s="17">
        <v>726.2138353470075</v>
      </c>
      <c r="G88" s="17">
        <v>684.1584923231636</v>
      </c>
      <c r="H88" s="17">
        <v>649.5381841119123</v>
      </c>
      <c r="I88" s="17">
        <v>621.1946715735953</v>
      </c>
      <c r="J88" s="17">
        <v>598.1517463336628</v>
      </c>
      <c r="K88" s="17">
        <v>579.5866410990634</v>
      </c>
      <c r="L88" s="17">
        <v>564.8059304734112</v>
      </c>
      <c r="M88" s="17">
        <v>553.2252169637534</v>
      </c>
      <c r="N88" s="17">
        <v>544.352007651971</v>
      </c>
      <c r="O88" s="17">
        <v>537.7712803841631</v>
      </c>
      <c r="P88" s="17">
        <v>460.2849596544132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52">
        <v>40063.0</v>
      </c>
      <c r="B89" s="151">
        <v>15.88</v>
      </c>
      <c r="C89" s="17">
        <v>17.3</v>
      </c>
      <c r="D89" s="17">
        <f t="shared" si="2"/>
        <v>13.84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52">
        <v>40070.0</v>
      </c>
      <c r="B90" s="151">
        <v>16.42</v>
      </c>
      <c r="C90" s="17">
        <v>17.3</v>
      </c>
      <c r="D90" s="17">
        <f t="shared" si="2"/>
        <v>13.84</v>
      </c>
      <c r="E90" s="17" t="s">
        <v>529</v>
      </c>
      <c r="F90" s="17">
        <v>1095.9165706057458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52">
        <v>40077.0</v>
      </c>
      <c r="B91" s="151">
        <v>15.96</v>
      </c>
      <c r="C91" s="17">
        <v>17.3</v>
      </c>
      <c r="D91" s="17">
        <f t="shared" si="2"/>
        <v>13.84</v>
      </c>
      <c r="E91" s="17" t="s">
        <v>530</v>
      </c>
      <c r="F91" s="17">
        <v>18265.276176762432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52">
        <v>40084.0</v>
      </c>
      <c r="B92" s="151">
        <v>16.04</v>
      </c>
      <c r="C92" s="17">
        <v>17.3</v>
      </c>
      <c r="D92" s="17">
        <f t="shared" si="2"/>
        <v>13.84</v>
      </c>
      <c r="E92" s="17" t="s">
        <v>531</v>
      </c>
      <c r="F92" s="17">
        <v>9132.638088381216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52">
        <v>40091.0</v>
      </c>
      <c r="B93" s="151">
        <v>16.79</v>
      </c>
      <c r="C93" s="17">
        <v>17.3</v>
      </c>
      <c r="D93" s="17">
        <f t="shared" si="2"/>
        <v>13.84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52">
        <v>40099.0</v>
      </c>
      <c r="B94" s="151">
        <v>16.76</v>
      </c>
      <c r="C94" s="17">
        <v>17.3</v>
      </c>
      <c r="D94" s="17">
        <f t="shared" si="2"/>
        <v>13.84</v>
      </c>
      <c r="E94" s="17" t="s">
        <v>532</v>
      </c>
      <c r="F94" s="17">
        <v>15191.63609464292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52">
        <v>40105.0</v>
      </c>
      <c r="B95" s="151">
        <v>16.78</v>
      </c>
      <c r="C95" s="17">
        <v>17.3</v>
      </c>
      <c r="D95" s="17">
        <f t="shared" si="2"/>
        <v>13.84</v>
      </c>
      <c r="E95" s="17" t="s">
        <v>533</v>
      </c>
      <c r="F95" s="17">
        <v>5274.0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52">
        <v>40112.0</v>
      </c>
      <c r="B96" s="151">
        <v>16.19</v>
      </c>
      <c r="C96" s="17">
        <v>17.3</v>
      </c>
      <c r="D96" s="17">
        <f t="shared" si="2"/>
        <v>13.84</v>
      </c>
      <c r="E96" s="17" t="s">
        <v>534</v>
      </c>
      <c r="F96" s="17">
        <v>0.0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52">
        <v>40119.0</v>
      </c>
      <c r="B97" s="151">
        <v>16.69</v>
      </c>
      <c r="C97" s="17">
        <v>17.3</v>
      </c>
      <c r="D97" s="17">
        <f t="shared" si="2"/>
        <v>13.84</v>
      </c>
      <c r="E97" s="17" t="s">
        <v>535</v>
      </c>
      <c r="F97" s="17">
        <v>9917.63609464292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52">
        <v>40126.0</v>
      </c>
      <c r="B98" s="151">
        <v>16.63</v>
      </c>
      <c r="C98" s="17">
        <v>17.3</v>
      </c>
      <c r="D98" s="17">
        <f t="shared" si="2"/>
        <v>13.84</v>
      </c>
      <c r="E98" s="17" t="s">
        <v>536</v>
      </c>
      <c r="F98" s="17">
        <v>430.0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52">
        <v>40133.0</v>
      </c>
      <c r="B99" s="151">
        <v>16.82</v>
      </c>
      <c r="C99" s="17">
        <v>17.3</v>
      </c>
      <c r="D99" s="17">
        <f t="shared" si="2"/>
        <v>13.84</v>
      </c>
      <c r="E99" s="17" t="s">
        <v>537</v>
      </c>
      <c r="F99" s="17">
        <v>17.3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52">
        <v>40140.0</v>
      </c>
      <c r="B100" s="151">
        <v>17.28</v>
      </c>
      <c r="C100" s="17">
        <v>17.3</v>
      </c>
      <c r="D100" s="17">
        <f t="shared" si="2"/>
        <v>13.84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52">
        <v>40147.0</v>
      </c>
      <c r="B101" s="151">
        <v>17.92</v>
      </c>
      <c r="C101" s="17">
        <v>17.3</v>
      </c>
      <c r="D101" s="17">
        <f t="shared" si="2"/>
        <v>13.84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52">
        <v>40154.0</v>
      </c>
      <c r="B102" s="151">
        <v>18.43</v>
      </c>
      <c r="C102" s="17">
        <v>17.3</v>
      </c>
      <c r="D102" s="17">
        <f t="shared" si="2"/>
        <v>13.84</v>
      </c>
      <c r="E102" s="17" t="s">
        <v>518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52">
        <v>40161.0</v>
      </c>
      <c r="B103" s="151">
        <v>18.65</v>
      </c>
      <c r="C103" s="17">
        <v>17.3</v>
      </c>
      <c r="D103" s="17">
        <f t="shared" si="2"/>
        <v>13.84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52">
        <v>40168.0</v>
      </c>
      <c r="B104" s="151">
        <v>18.26</v>
      </c>
      <c r="C104" s="17">
        <v>17.3</v>
      </c>
      <c r="D104" s="17">
        <f t="shared" si="2"/>
        <v>13.84</v>
      </c>
      <c r="E104" s="17" t="s">
        <v>514</v>
      </c>
      <c r="F104" s="17">
        <v>2009.0</v>
      </c>
      <c r="G104" s="17">
        <v>2010.0</v>
      </c>
      <c r="H104" s="17">
        <v>2011.0</v>
      </c>
      <c r="I104" s="17">
        <v>2012.0</v>
      </c>
      <c r="J104" s="17">
        <v>2013.0</v>
      </c>
      <c r="K104" s="17">
        <v>2014.0</v>
      </c>
      <c r="L104" s="17">
        <v>2015.0</v>
      </c>
      <c r="M104" s="17">
        <v>2016.0</v>
      </c>
      <c r="N104" s="17">
        <v>2017.0</v>
      </c>
      <c r="O104" s="17">
        <v>2018.0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52">
        <v>40176.0</v>
      </c>
      <c r="B105" s="151">
        <v>18.35</v>
      </c>
      <c r="C105" s="17">
        <v>17.3</v>
      </c>
      <c r="D105" s="17">
        <f t="shared" si="2"/>
        <v>13.84</v>
      </c>
      <c r="E105" s="17" t="s">
        <v>519</v>
      </c>
      <c r="F105" s="17">
        <v>3662.1720000000005</v>
      </c>
      <c r="G105" s="17">
        <v>3955.145760000001</v>
      </c>
      <c r="H105" s="17">
        <v>4271.557420800001</v>
      </c>
      <c r="I105" s="17">
        <v>4613.282014464001</v>
      </c>
      <c r="J105" s="17">
        <v>4982.344575621121</v>
      </c>
      <c r="K105" s="17">
        <v>5380.932141670812</v>
      </c>
      <c r="L105" s="17">
        <v>5811.406713004477</v>
      </c>
      <c r="M105" s="17">
        <v>6276.319250044836</v>
      </c>
      <c r="N105" s="17">
        <v>6778.424790048423</v>
      </c>
      <c r="O105" s="17">
        <v>7320.6987732522975</v>
      </c>
      <c r="P105" s="17">
        <v>7906.354675112482</v>
      </c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52">
        <v>40182.0</v>
      </c>
      <c r="B106" s="151">
        <v>17.62</v>
      </c>
      <c r="C106" s="17">
        <v>18.1</v>
      </c>
      <c r="D106" s="17">
        <f t="shared" si="2"/>
        <v>14.48</v>
      </c>
      <c r="E106" s="17" t="s">
        <v>27</v>
      </c>
      <c r="F106" s="17">
        <v>1098.6516000000001</v>
      </c>
      <c r="G106" s="17">
        <v>1186.543728</v>
      </c>
      <c r="H106" s="17">
        <v>1281.4672262400002</v>
      </c>
      <c r="I106" s="17">
        <v>1383.9846043392001</v>
      </c>
      <c r="J106" s="17">
        <v>1494.7033726863363</v>
      </c>
      <c r="K106" s="17">
        <v>1614.2796425012434</v>
      </c>
      <c r="L106" s="17">
        <v>1743.422013901343</v>
      </c>
      <c r="M106" s="17">
        <v>1882.8957750134507</v>
      </c>
      <c r="N106" s="17">
        <v>2033.5274370145269</v>
      </c>
      <c r="O106" s="17">
        <v>2196.2096319756893</v>
      </c>
      <c r="P106" s="17">
        <v>2371.9064025337448</v>
      </c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52">
        <v>40189.0</v>
      </c>
      <c r="B107" s="151">
        <v>17.21</v>
      </c>
      <c r="C107" s="17">
        <v>18.1</v>
      </c>
      <c r="D107" s="17">
        <f t="shared" si="2"/>
        <v>14.48</v>
      </c>
      <c r="E107" s="17" t="s">
        <v>515</v>
      </c>
      <c r="F107" s="17">
        <v>791.0291520000001</v>
      </c>
      <c r="G107" s="17">
        <v>854.3114841600001</v>
      </c>
      <c r="H107" s="17">
        <v>922.6564028928001</v>
      </c>
      <c r="I107" s="17">
        <v>996.468915124224</v>
      </c>
      <c r="J107" s="17">
        <v>1076.186428334162</v>
      </c>
      <c r="K107" s="17">
        <v>1162.2813426008952</v>
      </c>
      <c r="L107" s="17">
        <v>1255.263850008967</v>
      </c>
      <c r="M107" s="17">
        <v>1355.6849580096844</v>
      </c>
      <c r="N107" s="17">
        <v>1464.1397546504593</v>
      </c>
      <c r="O107" s="17">
        <v>1581.2709350224961</v>
      </c>
      <c r="P107" s="17">
        <v>1707.772609824296</v>
      </c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52">
        <v>40196.0</v>
      </c>
      <c r="B108" s="151">
        <v>17.25</v>
      </c>
      <c r="C108" s="17">
        <v>18.1</v>
      </c>
      <c r="D108" s="17">
        <f t="shared" si="2"/>
        <v>14.48</v>
      </c>
      <c r="E108" s="17" t="s">
        <v>524</v>
      </c>
      <c r="F108" s="17">
        <v>795.85344</v>
      </c>
      <c r="G108" s="17">
        <v>795.3710112</v>
      </c>
      <c r="H108" s="17">
        <v>801.265058496</v>
      </c>
      <c r="I108" s="17">
        <v>813.40419293568</v>
      </c>
      <c r="J108" s="17">
        <v>831.7106651545345</v>
      </c>
      <c r="K108" s="17">
        <v>856.1582414724973</v>
      </c>
      <c r="L108" s="17">
        <v>886.7705515853371</v>
      </c>
      <c r="M108" s="17">
        <v>923.6198814277001</v>
      </c>
      <c r="N108" s="17">
        <v>966.8263890858985</v>
      </c>
      <c r="O108" s="17">
        <v>1016.5577256423546</v>
      </c>
      <c r="P108" s="17">
        <v>1073.029046580369</v>
      </c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52">
        <v>40203.0</v>
      </c>
      <c r="B109" s="151">
        <v>16.91</v>
      </c>
      <c r="C109" s="17">
        <v>18.1</v>
      </c>
      <c r="D109" s="17">
        <f t="shared" si="2"/>
        <v>14.48</v>
      </c>
      <c r="E109" s="17" t="s">
        <v>516</v>
      </c>
      <c r="F109" s="17">
        <v>732.4344000000001</v>
      </c>
      <c r="G109" s="17">
        <v>791.0291520000002</v>
      </c>
      <c r="H109" s="17">
        <v>854.3114841600002</v>
      </c>
      <c r="I109" s="17">
        <v>922.6564028928002</v>
      </c>
      <c r="J109" s="17">
        <v>996.4689151242243</v>
      </c>
      <c r="K109" s="17">
        <v>1076.1864283341624</v>
      </c>
      <c r="L109" s="17">
        <v>1162.2813426008954</v>
      </c>
      <c r="M109" s="17">
        <v>1255.2638500089672</v>
      </c>
      <c r="N109" s="17">
        <v>1355.6849580096848</v>
      </c>
      <c r="O109" s="17">
        <v>1464.1397546504595</v>
      </c>
      <c r="P109" s="17">
        <v>1581.2709350224966</v>
      </c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52">
        <v>40210.0</v>
      </c>
      <c r="B110" s="151">
        <v>16.77</v>
      </c>
      <c r="C110" s="17">
        <v>18.1</v>
      </c>
      <c r="D110" s="17">
        <f t="shared" si="2"/>
        <v>14.48</v>
      </c>
      <c r="E110" s="17" t="s">
        <v>526</v>
      </c>
      <c r="F110" s="17">
        <v>0.0</v>
      </c>
      <c r="G110" s="17">
        <v>0.0</v>
      </c>
      <c r="H110" s="17">
        <v>0.0</v>
      </c>
      <c r="I110" s="17">
        <v>0.0</v>
      </c>
      <c r="J110" s="17">
        <v>0.0</v>
      </c>
      <c r="K110" s="17">
        <v>0.0</v>
      </c>
      <c r="L110" s="17">
        <v>0.0</v>
      </c>
      <c r="M110" s="17">
        <v>0.0</v>
      </c>
      <c r="N110" s="17">
        <v>0.0</v>
      </c>
      <c r="O110" s="17">
        <v>0.0</v>
      </c>
      <c r="P110" s="17">
        <v>0.0</v>
      </c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52">
        <v>40217.0</v>
      </c>
      <c r="B111" s="151">
        <v>16.46</v>
      </c>
      <c r="C111" s="17">
        <v>18.1</v>
      </c>
      <c r="D111" s="17">
        <f t="shared" si="2"/>
        <v>14.48</v>
      </c>
      <c r="E111" s="17" t="s">
        <v>523</v>
      </c>
      <c r="F111" s="17">
        <v>854.4481919999998</v>
      </c>
      <c r="G111" s="17">
        <v>858.6533433599999</v>
      </c>
      <c r="H111" s="17">
        <v>869.6099772288001</v>
      </c>
      <c r="I111" s="17">
        <v>887.2167051671039</v>
      </c>
      <c r="J111" s="17">
        <v>911.4281783644723</v>
      </c>
      <c r="K111" s="17">
        <v>942.2531557392299</v>
      </c>
      <c r="L111" s="17">
        <v>979.7530589934088</v>
      </c>
      <c r="M111" s="17">
        <v>1024.0409894284173</v>
      </c>
      <c r="N111" s="17">
        <v>1075.2811857266731</v>
      </c>
      <c r="O111" s="17">
        <v>1133.6889060143913</v>
      </c>
      <c r="P111" s="17">
        <v>1199.5307213821682</v>
      </c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52">
        <v>40225.0</v>
      </c>
      <c r="B112" s="151">
        <v>17.14</v>
      </c>
      <c r="C112" s="17">
        <v>18.1</v>
      </c>
      <c r="D112" s="17">
        <f t="shared" si="2"/>
        <v>14.48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52">
        <v>40231.0</v>
      </c>
      <c r="B113" s="151">
        <v>17.03</v>
      </c>
      <c r="C113" s="17">
        <v>18.1</v>
      </c>
      <c r="D113" s="17">
        <f t="shared" si="2"/>
        <v>14.48</v>
      </c>
      <c r="E113" s="17" t="s">
        <v>472</v>
      </c>
      <c r="F113" s="17">
        <v>0.0677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52">
        <v>40238.0</v>
      </c>
      <c r="B114" s="151">
        <v>17.65</v>
      </c>
      <c r="C114" s="17">
        <v>18.1</v>
      </c>
      <c r="D114" s="17">
        <f t="shared" si="2"/>
        <v>14.48</v>
      </c>
      <c r="E114" s="17" t="s">
        <v>527</v>
      </c>
      <c r="F114" s="17">
        <v>0.9365926758452748</v>
      </c>
      <c r="G114" s="17">
        <v>0.877205840447012</v>
      </c>
      <c r="H114" s="17">
        <v>0.8215845653713701</v>
      </c>
      <c r="I114" s="17">
        <v>0.7694900865143487</v>
      </c>
      <c r="J114" s="17">
        <v>0.7206987791648859</v>
      </c>
      <c r="K114" s="17">
        <v>0.6750011980564632</v>
      </c>
      <c r="L114" s="17">
        <v>0.6322011782864692</v>
      </c>
      <c r="M114" s="17">
        <v>0.5921149932438599</v>
      </c>
      <c r="N114" s="17">
        <v>0.5545705659303735</v>
      </c>
      <c r="O114" s="17">
        <v>0.5194067302897569</v>
      </c>
      <c r="P114" s="17">
        <v>0.42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52">
        <v>40245.0</v>
      </c>
      <c r="B115" s="151">
        <v>17.65</v>
      </c>
      <c r="C115" s="17">
        <v>18.1</v>
      </c>
      <c r="D115" s="17">
        <f t="shared" si="2"/>
        <v>14.48</v>
      </c>
      <c r="E115" s="17" t="s">
        <v>528</v>
      </c>
      <c r="F115" s="17">
        <v>800.269918516437</v>
      </c>
      <c r="G115" s="17">
        <v>753.2157277147455</v>
      </c>
      <c r="H115" s="17">
        <v>714.4581351841308</v>
      </c>
      <c r="I115" s="17">
        <v>682.7044592160102</v>
      </c>
      <c r="J115" s="17">
        <v>656.865175443751</v>
      </c>
      <c r="K115" s="17">
        <v>636.0220089964633</v>
      </c>
      <c r="L115" s="17">
        <v>619.4010383254056</v>
      </c>
      <c r="M115" s="17">
        <v>606.3500235368429</v>
      </c>
      <c r="N115" s="17">
        <v>596.3192957027242</v>
      </c>
      <c r="O115" s="17">
        <v>588.8456478387066</v>
      </c>
      <c r="P115" s="17">
        <v>503.8029029805106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52">
        <v>40252.0</v>
      </c>
      <c r="B116" s="151">
        <v>17.21</v>
      </c>
      <c r="C116" s="17">
        <v>18.1</v>
      </c>
      <c r="D116" s="17">
        <f t="shared" si="2"/>
        <v>14.48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52">
        <v>40259.0</v>
      </c>
      <c r="B117" s="151">
        <v>17.24</v>
      </c>
      <c r="C117" s="17">
        <v>18.1</v>
      </c>
      <c r="D117" s="17">
        <f t="shared" si="2"/>
        <v>14.48</v>
      </c>
      <c r="E117" s="17" t="s">
        <v>529</v>
      </c>
      <c r="F117" s="17">
        <v>1199.5307213821682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52">
        <v>40266.0</v>
      </c>
      <c r="B118" s="151">
        <v>17.24</v>
      </c>
      <c r="C118" s="17">
        <v>18.1</v>
      </c>
      <c r="D118" s="17">
        <f t="shared" si="2"/>
        <v>14.48</v>
      </c>
      <c r="E118" s="17" t="s">
        <v>530</v>
      </c>
      <c r="F118" s="17">
        <v>19992.178689702803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52">
        <v>40273.0</v>
      </c>
      <c r="B119" s="151">
        <v>16.99</v>
      </c>
      <c r="C119" s="17">
        <v>18.1</v>
      </c>
      <c r="D119" s="17">
        <f t="shared" si="2"/>
        <v>14.48</v>
      </c>
      <c r="E119" s="17" t="s">
        <v>531</v>
      </c>
      <c r="F119" s="17">
        <v>9996.089344851402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52">
        <v>40280.0</v>
      </c>
      <c r="B120" s="151">
        <v>16.75</v>
      </c>
      <c r="C120" s="17">
        <v>18.1</v>
      </c>
      <c r="D120" s="17">
        <f t="shared" si="2"/>
        <v>14.48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52">
        <v>40287.0</v>
      </c>
      <c r="B121" s="151">
        <v>16.68</v>
      </c>
      <c r="C121" s="17">
        <v>18.1</v>
      </c>
      <c r="D121" s="17">
        <f t="shared" si="2"/>
        <v>14.48</v>
      </c>
      <c r="E121" s="17" t="s">
        <v>532</v>
      </c>
      <c r="F121" s="17">
        <v>16650.54077532662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52">
        <v>40294.0</v>
      </c>
      <c r="B122" s="151">
        <v>16.4</v>
      </c>
      <c r="C122" s="17">
        <v>18.1</v>
      </c>
      <c r="D122" s="17">
        <f t="shared" si="2"/>
        <v>14.48</v>
      </c>
      <c r="E122" s="17" t="s">
        <v>533</v>
      </c>
      <c r="F122" s="17">
        <v>5274.0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52">
        <v>40301.0</v>
      </c>
      <c r="B123" s="151">
        <v>16.26</v>
      </c>
      <c r="C123" s="17">
        <v>18.1</v>
      </c>
      <c r="D123" s="17">
        <f t="shared" si="2"/>
        <v>14.48</v>
      </c>
      <c r="E123" s="17" t="s">
        <v>534</v>
      </c>
      <c r="F123" s="17">
        <v>0.0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52">
        <v>40308.0</v>
      </c>
      <c r="B124" s="151">
        <v>16.55</v>
      </c>
      <c r="C124" s="17">
        <v>18.1</v>
      </c>
      <c r="D124" s="17">
        <f t="shared" si="2"/>
        <v>14.48</v>
      </c>
      <c r="E124" s="17" t="s">
        <v>535</v>
      </c>
      <c r="F124" s="17">
        <v>11376.540775326619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52">
        <v>40315.0</v>
      </c>
      <c r="B125" s="151">
        <v>16.43</v>
      </c>
      <c r="C125" s="17">
        <v>18.1</v>
      </c>
      <c r="D125" s="17">
        <f t="shared" si="2"/>
        <v>14.48</v>
      </c>
      <c r="E125" s="17" t="s">
        <v>536</v>
      </c>
      <c r="F125" s="17">
        <v>430.0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52">
        <v>40323.0</v>
      </c>
      <c r="B126" s="151">
        <v>16.59</v>
      </c>
      <c r="C126" s="17">
        <v>18.1</v>
      </c>
      <c r="D126" s="17">
        <f t="shared" si="2"/>
        <v>14.48</v>
      </c>
      <c r="E126" s="17" t="s">
        <v>537</v>
      </c>
      <c r="F126" s="17">
        <v>17.9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52">
        <v>40329.0</v>
      </c>
      <c r="B127" s="151">
        <v>16.56</v>
      </c>
      <c r="C127" s="17">
        <v>18.1</v>
      </c>
      <c r="D127" s="17">
        <f t="shared" si="2"/>
        <v>14.48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52">
        <v>40336.0</v>
      </c>
      <c r="B128" s="151">
        <v>17.15</v>
      </c>
      <c r="C128" s="17">
        <v>18.1</v>
      </c>
      <c r="D128" s="17">
        <f t="shared" si="2"/>
        <v>14.48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52">
        <v>40343.0</v>
      </c>
      <c r="B129" s="151">
        <v>17.19</v>
      </c>
      <c r="C129" s="17">
        <v>18.1</v>
      </c>
      <c r="D129" s="17">
        <f t="shared" si="2"/>
        <v>14.48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52">
        <v>40350.0</v>
      </c>
      <c r="B130" s="151">
        <v>16.7</v>
      </c>
      <c r="C130" s="17">
        <v>18.1</v>
      </c>
      <c r="D130" s="17">
        <f t="shared" si="2"/>
        <v>14.48</v>
      </c>
      <c r="E130" s="17" t="s">
        <v>518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52">
        <v>40357.0</v>
      </c>
      <c r="B131" s="151">
        <v>16.94</v>
      </c>
      <c r="C131" s="17">
        <v>18.1</v>
      </c>
      <c r="D131" s="17">
        <f t="shared" si="2"/>
        <v>14.48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52">
        <v>40364.0</v>
      </c>
      <c r="B132" s="151">
        <v>17.52</v>
      </c>
      <c r="C132" s="17">
        <v>18.1</v>
      </c>
      <c r="D132" s="17">
        <f t="shared" si="2"/>
        <v>14.48</v>
      </c>
      <c r="E132" s="17" t="s">
        <v>514</v>
      </c>
      <c r="F132" s="17">
        <v>2008.0</v>
      </c>
      <c r="G132" s="17">
        <v>2009.0</v>
      </c>
      <c r="H132" s="17">
        <v>2010.0</v>
      </c>
      <c r="I132" s="17">
        <v>2011.0</v>
      </c>
      <c r="J132" s="17">
        <v>2012.0</v>
      </c>
      <c r="K132" s="17">
        <v>2013.0</v>
      </c>
      <c r="L132" s="17">
        <v>2014.0</v>
      </c>
      <c r="M132" s="17">
        <v>2015.0</v>
      </c>
      <c r="N132" s="17">
        <v>2016.0</v>
      </c>
      <c r="O132" s="17">
        <v>2017.0</v>
      </c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52">
        <v>40371.0</v>
      </c>
      <c r="B133" s="151">
        <v>17.58</v>
      </c>
      <c r="C133" s="17">
        <v>18.1</v>
      </c>
      <c r="D133" s="17">
        <f t="shared" si="2"/>
        <v>14.48</v>
      </c>
      <c r="E133" s="17" t="s">
        <v>519</v>
      </c>
      <c r="F133" s="17">
        <v>2996.3520000000003</v>
      </c>
      <c r="G133" s="17">
        <v>3236.0601600000005</v>
      </c>
      <c r="H133" s="17">
        <v>3494.944972800001</v>
      </c>
      <c r="I133" s="17">
        <v>3774.5405706240012</v>
      </c>
      <c r="J133" s="17">
        <v>4076.5038162739215</v>
      </c>
      <c r="K133" s="17">
        <v>4402.6241215758355</v>
      </c>
      <c r="L133" s="17">
        <v>4754.834051301903</v>
      </c>
      <c r="M133" s="17">
        <v>5135.2207754060555</v>
      </c>
      <c r="N133" s="17">
        <v>5546.03843743854</v>
      </c>
      <c r="O133" s="17">
        <v>5989.7215124336235</v>
      </c>
      <c r="P133" s="17">
        <v>6468.899233428314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52">
        <v>40378.0</v>
      </c>
      <c r="B134" s="151">
        <v>17.85</v>
      </c>
      <c r="C134" s="17">
        <v>18.1</v>
      </c>
      <c r="D134" s="17">
        <f t="shared" si="2"/>
        <v>14.48</v>
      </c>
      <c r="E134" s="17" t="s">
        <v>27</v>
      </c>
      <c r="F134" s="17">
        <v>898.9056</v>
      </c>
      <c r="G134" s="17">
        <v>970.8180480000001</v>
      </c>
      <c r="H134" s="17">
        <v>1048.4834918400002</v>
      </c>
      <c r="I134" s="17">
        <v>1132.3621711872004</v>
      </c>
      <c r="J134" s="17">
        <v>1222.9511448821763</v>
      </c>
      <c r="K134" s="17">
        <v>1320.7872364727507</v>
      </c>
      <c r="L134" s="17">
        <v>1426.4502153905707</v>
      </c>
      <c r="M134" s="17">
        <v>1540.5662326218167</v>
      </c>
      <c r="N134" s="17">
        <v>1663.811531231562</v>
      </c>
      <c r="O134" s="17">
        <v>1796.916453730087</v>
      </c>
      <c r="P134" s="17">
        <v>1940.669770028494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52">
        <v>40385.0</v>
      </c>
      <c r="B135" s="151">
        <v>17.53</v>
      </c>
      <c r="C135" s="17">
        <v>18.1</v>
      </c>
      <c r="D135" s="17">
        <f t="shared" si="2"/>
        <v>14.48</v>
      </c>
      <c r="E135" s="17" t="s">
        <v>515</v>
      </c>
      <c r="F135" s="17">
        <v>647.212032</v>
      </c>
      <c r="G135" s="17">
        <v>698.98899456</v>
      </c>
      <c r="H135" s="17">
        <v>754.9081141248001</v>
      </c>
      <c r="I135" s="17">
        <v>815.3007632547842</v>
      </c>
      <c r="J135" s="17">
        <v>880.5248243151669</v>
      </c>
      <c r="K135" s="17">
        <v>950.9668102603805</v>
      </c>
      <c r="L135" s="17">
        <v>1027.0441550812109</v>
      </c>
      <c r="M135" s="17">
        <v>1109.207687487708</v>
      </c>
      <c r="N135" s="17">
        <v>1197.9443024867246</v>
      </c>
      <c r="O135" s="17">
        <v>1293.7798466856625</v>
      </c>
      <c r="P135" s="17">
        <v>1397.2822344205156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52">
        <v>40393.0</v>
      </c>
      <c r="B136" s="151">
        <v>18.21</v>
      </c>
      <c r="C136" s="17">
        <v>18.1</v>
      </c>
      <c r="D136" s="17">
        <f t="shared" si="2"/>
        <v>14.48</v>
      </c>
      <c r="E136" s="17" t="s">
        <v>524</v>
      </c>
      <c r="F136" s="17">
        <v>485.71704000000005</v>
      </c>
      <c r="G136" s="17">
        <v>501.86653920000003</v>
      </c>
      <c r="H136" s="17">
        <v>521.5787847360001</v>
      </c>
      <c r="I136" s="17">
        <v>544.9117176748802</v>
      </c>
      <c r="J136" s="17">
        <v>571.9506222328706</v>
      </c>
      <c r="K136" s="17">
        <v>602.8080424411003</v>
      </c>
      <c r="L136" s="17">
        <v>637.6239192230283</v>
      </c>
      <c r="M136" s="17">
        <v>676.5659428088466</v>
      </c>
      <c r="N136" s="17">
        <v>719.8301172767327</v>
      </c>
      <c r="O136" s="17">
        <v>767.6415357977319</v>
      </c>
      <c r="P136" s="17">
        <v>820.2553668865249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52">
        <v>40399.0</v>
      </c>
      <c r="B137" s="151">
        <v>18.07</v>
      </c>
      <c r="C137" s="17">
        <v>18.1</v>
      </c>
      <c r="D137" s="17">
        <f t="shared" si="2"/>
        <v>14.48</v>
      </c>
      <c r="E137" s="17" t="s">
        <v>516</v>
      </c>
      <c r="F137" s="17">
        <v>599.2704000000001</v>
      </c>
      <c r="G137" s="17">
        <v>647.2120320000001</v>
      </c>
      <c r="H137" s="17">
        <v>698.9889945600003</v>
      </c>
      <c r="I137" s="17">
        <v>754.9081141248002</v>
      </c>
      <c r="J137" s="17">
        <v>815.3007632547843</v>
      </c>
      <c r="K137" s="17">
        <v>880.5248243151672</v>
      </c>
      <c r="L137" s="17">
        <v>950.9668102603806</v>
      </c>
      <c r="M137" s="17">
        <v>1027.044155081211</v>
      </c>
      <c r="N137" s="17">
        <v>1109.2076874877082</v>
      </c>
      <c r="O137" s="17">
        <v>1197.9443024867248</v>
      </c>
      <c r="P137" s="17">
        <v>1293.779846685663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52">
        <v>40406.0</v>
      </c>
      <c r="B138" s="151">
        <v>18.6</v>
      </c>
      <c r="C138" s="17">
        <v>18.1</v>
      </c>
      <c r="D138" s="17">
        <f t="shared" si="2"/>
        <v>14.48</v>
      </c>
      <c r="E138" s="17" t="s">
        <v>526</v>
      </c>
      <c r="F138" s="17">
        <v>0.0</v>
      </c>
      <c r="G138" s="17">
        <v>0.0</v>
      </c>
      <c r="H138" s="17">
        <v>0.0</v>
      </c>
      <c r="I138" s="17">
        <v>0.0</v>
      </c>
      <c r="J138" s="17">
        <v>0.0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7">
        <v>0.0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52">
        <v>40413.0</v>
      </c>
      <c r="B139" s="151">
        <v>19.24</v>
      </c>
      <c r="C139" s="17">
        <v>18.1</v>
      </c>
      <c r="D139" s="17">
        <f t="shared" si="2"/>
        <v>14.48</v>
      </c>
      <c r="E139" s="17" t="s">
        <v>523</v>
      </c>
      <c r="F139" s="17">
        <v>533.658672</v>
      </c>
      <c r="G139" s="17">
        <v>553.6435017599999</v>
      </c>
      <c r="H139" s="17">
        <v>577.4979043008</v>
      </c>
      <c r="I139" s="17">
        <v>605.304366804864</v>
      </c>
      <c r="J139" s="17">
        <v>637.1746832932532</v>
      </c>
      <c r="K139" s="17">
        <v>673.2500283863136</v>
      </c>
      <c r="L139" s="17">
        <v>713.7012640438587</v>
      </c>
      <c r="M139" s="17">
        <v>758.7294752153434</v>
      </c>
      <c r="N139" s="17">
        <v>808.5667322757492</v>
      </c>
      <c r="O139" s="17">
        <v>863.4770799966693</v>
      </c>
      <c r="P139" s="17">
        <v>923.7577546213774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52">
        <v>40441.0</v>
      </c>
      <c r="B140" s="151">
        <v>19.63</v>
      </c>
      <c r="C140" s="17">
        <v>18.1</v>
      </c>
      <c r="D140" s="17">
        <f t="shared" si="2"/>
        <v>14.48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52">
        <v>40448.0</v>
      </c>
      <c r="B141" s="151">
        <v>19.49</v>
      </c>
      <c r="C141" s="17">
        <v>18.1</v>
      </c>
      <c r="D141" s="17">
        <f t="shared" si="2"/>
        <v>14.48</v>
      </c>
      <c r="E141" s="17" t="s">
        <v>472</v>
      </c>
      <c r="F141" s="17">
        <v>0.0677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52">
        <v>40455.0</v>
      </c>
      <c r="B142" s="151">
        <v>19.69</v>
      </c>
      <c r="C142" s="17">
        <v>18.1</v>
      </c>
      <c r="D142" s="17">
        <f t="shared" si="2"/>
        <v>14.48</v>
      </c>
      <c r="E142" s="17" t="s">
        <v>527</v>
      </c>
      <c r="F142" s="17">
        <v>0.9365926758452748</v>
      </c>
      <c r="G142" s="17">
        <v>0.877205840447012</v>
      </c>
      <c r="H142" s="17">
        <v>0.8215845653713701</v>
      </c>
      <c r="I142" s="17">
        <v>0.7694900865143487</v>
      </c>
      <c r="J142" s="17">
        <v>0.7206987791648859</v>
      </c>
      <c r="K142" s="17">
        <v>0.6750011980564632</v>
      </c>
      <c r="L142" s="17">
        <v>0.6322011782864692</v>
      </c>
      <c r="M142" s="17">
        <v>0.5921149932438599</v>
      </c>
      <c r="N142" s="17">
        <v>0.5545705659303735</v>
      </c>
      <c r="O142" s="17">
        <v>0.5194067302897569</v>
      </c>
      <c r="P142" s="17">
        <v>0.42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52">
        <v>40463.0</v>
      </c>
      <c r="B143" s="151">
        <v>19.74</v>
      </c>
      <c r="C143" s="17">
        <v>18.1</v>
      </c>
      <c r="D143" s="17">
        <f t="shared" si="2"/>
        <v>14.48</v>
      </c>
      <c r="E143" s="17" t="s">
        <v>528</v>
      </c>
      <c r="F143" s="17">
        <v>499.8208035965159</v>
      </c>
      <c r="G143" s="17">
        <v>485.6593132694075</v>
      </c>
      <c r="H143" s="17">
        <v>474.46336470784985</v>
      </c>
      <c r="I143" s="17">
        <v>465.7757095801879</v>
      </c>
      <c r="J143" s="17">
        <v>459.2110163642204</v>
      </c>
      <c r="K143" s="17">
        <v>454.44457575230956</v>
      </c>
      <c r="L143" s="17">
        <v>451.2027800730699</v>
      </c>
      <c r="M143" s="17">
        <v>449.2550980910504</v>
      </c>
      <c r="N143" s="17">
        <v>448.407310310635</v>
      </c>
      <c r="O143" s="17">
        <v>448.4958068012169</v>
      </c>
      <c r="P143" s="17">
        <v>387.9782569409785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52">
        <v>40469.0</v>
      </c>
      <c r="B144" s="151">
        <v>19.41</v>
      </c>
      <c r="C144" s="17">
        <v>18.1</v>
      </c>
      <c r="D144" s="17">
        <f t="shared" si="2"/>
        <v>14.48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52">
        <v>40476.0</v>
      </c>
      <c r="B145" s="151">
        <v>19.19</v>
      </c>
      <c r="C145" s="17">
        <v>18.1</v>
      </c>
      <c r="D145" s="17">
        <f t="shared" si="2"/>
        <v>14.48</v>
      </c>
      <c r="E145" s="17" t="s">
        <v>529</v>
      </c>
      <c r="F145" s="17">
        <v>923.7577546213774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52">
        <v>40483.0</v>
      </c>
      <c r="B146" s="151">
        <v>18.98</v>
      </c>
      <c r="C146" s="17">
        <v>18.1</v>
      </c>
      <c r="D146" s="17">
        <f t="shared" si="2"/>
        <v>14.48</v>
      </c>
      <c r="E146" s="17" t="s">
        <v>530</v>
      </c>
      <c r="F146" s="17">
        <v>15395.962577022958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52">
        <v>40490.0</v>
      </c>
      <c r="B147" s="151">
        <v>18.3</v>
      </c>
      <c r="C147" s="17">
        <v>18.1</v>
      </c>
      <c r="D147" s="17">
        <f t="shared" si="2"/>
        <v>14.48</v>
      </c>
      <c r="E147" s="17" t="s">
        <v>531</v>
      </c>
      <c r="F147" s="17">
        <v>7697.981288511479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52">
        <v>40497.0</v>
      </c>
      <c r="B148" s="151">
        <v>18.49</v>
      </c>
      <c r="C148" s="17">
        <v>18.1</v>
      </c>
      <c r="D148" s="17">
        <f t="shared" si="2"/>
        <v>14.48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52">
        <v>40504.0</v>
      </c>
      <c r="B149" s="151">
        <v>18.17</v>
      </c>
      <c r="C149" s="17">
        <v>18.1</v>
      </c>
      <c r="D149" s="17">
        <f t="shared" si="2"/>
        <v>14.48</v>
      </c>
      <c r="E149" s="17" t="s">
        <v>532</v>
      </c>
      <c r="F149" s="17">
        <v>12334.717067057942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52">
        <v>40511.0</v>
      </c>
      <c r="B150" s="151">
        <v>18.13</v>
      </c>
      <c r="C150" s="17">
        <v>18.1</v>
      </c>
      <c r="D150" s="17">
        <f t="shared" si="2"/>
        <v>14.48</v>
      </c>
      <c r="E150" s="17" t="s">
        <v>533</v>
      </c>
      <c r="F150" s="17">
        <v>5274.0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52">
        <v>40518.0</v>
      </c>
      <c r="B151" s="151">
        <v>18.13</v>
      </c>
      <c r="C151" s="17">
        <v>18.1</v>
      </c>
      <c r="D151" s="17">
        <f t="shared" si="2"/>
        <v>14.48</v>
      </c>
      <c r="E151" s="17" t="s">
        <v>534</v>
      </c>
      <c r="F151" s="17">
        <v>0.0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52">
        <v>40525.0</v>
      </c>
      <c r="B152" s="151">
        <v>18.52</v>
      </c>
      <c r="C152" s="17">
        <v>18.1</v>
      </c>
      <c r="D152" s="17">
        <f t="shared" si="2"/>
        <v>14.48</v>
      </c>
      <c r="E152" s="17" t="s">
        <v>535</v>
      </c>
      <c r="F152" s="17">
        <v>7060.717067057942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52">
        <v>40532.0</v>
      </c>
      <c r="B153" s="151">
        <v>18.78</v>
      </c>
      <c r="C153" s="17">
        <v>18.1</v>
      </c>
      <c r="D153" s="17">
        <f t="shared" si="2"/>
        <v>14.48</v>
      </c>
      <c r="E153" s="17" t="s">
        <v>536</v>
      </c>
      <c r="F153" s="17">
        <v>430.0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52">
        <v>40541.0</v>
      </c>
      <c r="B154" s="151">
        <v>18.86</v>
      </c>
      <c r="C154" s="17">
        <v>18.1</v>
      </c>
      <c r="D154" s="17">
        <f t="shared" si="2"/>
        <v>14.48</v>
      </c>
      <c r="E154" s="17" t="s">
        <v>537</v>
      </c>
      <c r="F154" s="17">
        <v>19.3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52">
        <v>40547.0</v>
      </c>
      <c r="B155" s="151">
        <v>18.11</v>
      </c>
      <c r="C155" s="17">
        <v>19.7</v>
      </c>
      <c r="D155" s="17">
        <f t="shared" si="2"/>
        <v>15.76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52">
        <v>40553.0</v>
      </c>
      <c r="B156" s="151">
        <v>18.49</v>
      </c>
      <c r="C156" s="17">
        <v>19.7</v>
      </c>
      <c r="D156" s="17">
        <f t="shared" si="2"/>
        <v>15.76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52">
        <v>40560.0</v>
      </c>
      <c r="B157" s="151">
        <v>18.71</v>
      </c>
      <c r="C157" s="17">
        <v>19.7</v>
      </c>
      <c r="D157" s="17">
        <f t="shared" si="2"/>
        <v>15.76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52">
        <v>40567.0</v>
      </c>
      <c r="B158" s="151">
        <v>18.62</v>
      </c>
      <c r="C158" s="17">
        <v>19.7</v>
      </c>
      <c r="D158" s="17">
        <f t="shared" si="2"/>
        <v>15.76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52">
        <v>40574.0</v>
      </c>
      <c r="B159" s="151">
        <v>19.17</v>
      </c>
      <c r="C159" s="17">
        <v>19.7</v>
      </c>
      <c r="D159" s="17">
        <f t="shared" si="2"/>
        <v>15.76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52">
        <v>40581.0</v>
      </c>
      <c r="B160" s="151">
        <v>19.21</v>
      </c>
      <c r="C160" s="17">
        <v>19.7</v>
      </c>
      <c r="D160" s="17">
        <f t="shared" si="2"/>
        <v>15.76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52">
        <v>40588.0</v>
      </c>
      <c r="B161" s="151">
        <v>18.72</v>
      </c>
      <c r="C161" s="17">
        <v>19.7</v>
      </c>
      <c r="D161" s="17">
        <f t="shared" si="2"/>
        <v>15.76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52">
        <v>40596.0</v>
      </c>
      <c r="B162" s="151">
        <v>18.42</v>
      </c>
      <c r="C162" s="17">
        <v>19.7</v>
      </c>
      <c r="D162" s="17">
        <f t="shared" si="2"/>
        <v>15.76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52">
        <v>40602.0</v>
      </c>
      <c r="B163" s="151">
        <v>18.25</v>
      </c>
      <c r="C163" s="17">
        <v>19.7</v>
      </c>
      <c r="D163" s="17">
        <f t="shared" si="2"/>
        <v>15.76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52">
        <v>40609.0</v>
      </c>
      <c r="B164" s="151">
        <v>18.09</v>
      </c>
      <c r="C164" s="17">
        <v>19.7</v>
      </c>
      <c r="D164" s="17">
        <f t="shared" si="2"/>
        <v>15.76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52">
        <v>40616.0</v>
      </c>
      <c r="B165" s="151">
        <v>18.3</v>
      </c>
      <c r="C165" s="17">
        <v>19.7</v>
      </c>
      <c r="D165" s="17">
        <f t="shared" si="2"/>
        <v>15.76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52">
        <v>40623.0</v>
      </c>
      <c r="B166" s="151">
        <v>17.97</v>
      </c>
      <c r="C166" s="17">
        <v>19.7</v>
      </c>
      <c r="D166" s="17">
        <f t="shared" si="2"/>
        <v>15.76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52">
        <v>40630.0</v>
      </c>
      <c r="B167" s="151">
        <v>18.18</v>
      </c>
      <c r="C167" s="17">
        <v>19.7</v>
      </c>
      <c r="D167" s="17">
        <f t="shared" si="2"/>
        <v>15.76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52">
        <v>40637.0</v>
      </c>
      <c r="B168" s="151">
        <v>18.44</v>
      </c>
      <c r="C168" s="17">
        <v>19.7</v>
      </c>
      <c r="D168" s="17">
        <f t="shared" si="2"/>
        <v>15.76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52">
        <v>40644.0</v>
      </c>
      <c r="B169" s="151">
        <v>17.17</v>
      </c>
      <c r="C169" s="17">
        <v>19.7</v>
      </c>
      <c r="D169" s="17">
        <f t="shared" si="2"/>
        <v>15.76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52">
        <v>40651.0</v>
      </c>
      <c r="B170" s="151">
        <v>17.57</v>
      </c>
      <c r="C170" s="17">
        <v>19.7</v>
      </c>
      <c r="D170" s="17">
        <f t="shared" si="2"/>
        <v>15.76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52">
        <v>40658.0</v>
      </c>
      <c r="B171" s="151">
        <v>17.91</v>
      </c>
      <c r="C171" s="17">
        <v>19.7</v>
      </c>
      <c r="D171" s="17">
        <f t="shared" si="2"/>
        <v>15.76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52">
        <v>40665.0</v>
      </c>
      <c r="B172" s="151">
        <v>18.03</v>
      </c>
      <c r="C172" s="17">
        <v>19.7</v>
      </c>
      <c r="D172" s="17">
        <f t="shared" si="2"/>
        <v>15.76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52">
        <v>40672.0</v>
      </c>
      <c r="B173" s="151">
        <v>18.0</v>
      </c>
      <c r="C173" s="17">
        <v>19.7</v>
      </c>
      <c r="D173" s="17">
        <f t="shared" si="2"/>
        <v>15.76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52">
        <v>40679.0</v>
      </c>
      <c r="B174" s="151">
        <v>18.54</v>
      </c>
      <c r="C174" s="17">
        <v>19.7</v>
      </c>
      <c r="D174" s="17">
        <f t="shared" si="2"/>
        <v>15.76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52">
        <v>40687.0</v>
      </c>
      <c r="B175" s="151">
        <v>18.48</v>
      </c>
      <c r="C175" s="17">
        <v>19.7</v>
      </c>
      <c r="D175" s="17">
        <f t="shared" si="2"/>
        <v>15.76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52">
        <v>40693.0</v>
      </c>
      <c r="B176" s="151">
        <v>18.46</v>
      </c>
      <c r="C176" s="17">
        <v>19.7</v>
      </c>
      <c r="D176" s="17">
        <f t="shared" si="2"/>
        <v>15.76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52">
        <v>40700.0</v>
      </c>
      <c r="B177" s="151">
        <v>18.4</v>
      </c>
      <c r="C177" s="17">
        <v>19.7</v>
      </c>
      <c r="D177" s="17">
        <f t="shared" si="2"/>
        <v>15.76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52">
        <v>40707.0</v>
      </c>
      <c r="B178" s="151">
        <v>18.38</v>
      </c>
      <c r="C178" s="17">
        <v>19.7</v>
      </c>
      <c r="D178" s="17">
        <f t="shared" si="2"/>
        <v>15.76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52">
        <v>40714.0</v>
      </c>
      <c r="B179" s="151">
        <v>18.58</v>
      </c>
      <c r="C179" s="17">
        <v>19.7</v>
      </c>
      <c r="D179" s="17">
        <f t="shared" si="2"/>
        <v>15.76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52">
        <v>40721.0</v>
      </c>
      <c r="B180" s="151">
        <v>19.86</v>
      </c>
      <c r="C180" s="17">
        <v>19.7</v>
      </c>
      <c r="D180" s="17">
        <f t="shared" si="2"/>
        <v>15.76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52">
        <v>40728.0</v>
      </c>
      <c r="B181" s="151">
        <v>19.69</v>
      </c>
      <c r="C181" s="17">
        <v>19.7</v>
      </c>
      <c r="D181" s="17">
        <f t="shared" si="2"/>
        <v>15.76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52">
        <v>40735.0</v>
      </c>
      <c r="B182" s="151">
        <v>19.75</v>
      </c>
      <c r="C182" s="17">
        <v>19.7</v>
      </c>
      <c r="D182" s="17">
        <f t="shared" si="2"/>
        <v>15.76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52">
        <v>40742.0</v>
      </c>
      <c r="B183" s="151">
        <v>19.76</v>
      </c>
      <c r="C183" s="17">
        <v>19.7</v>
      </c>
      <c r="D183" s="17">
        <f t="shared" si="2"/>
        <v>15.76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52">
        <v>40749.0</v>
      </c>
      <c r="B184" s="151">
        <v>19.56</v>
      </c>
      <c r="C184" s="17">
        <v>19.7</v>
      </c>
      <c r="D184" s="17">
        <f t="shared" si="2"/>
        <v>15.76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52">
        <v>40757.0</v>
      </c>
      <c r="B185" s="151">
        <v>18.89</v>
      </c>
      <c r="C185" s="17">
        <v>19.7</v>
      </c>
      <c r="D185" s="17">
        <f t="shared" si="2"/>
        <v>15.76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52">
        <v>40763.0</v>
      </c>
      <c r="B186" s="151">
        <v>19.38</v>
      </c>
      <c r="C186" s="17">
        <v>19.7</v>
      </c>
      <c r="D186" s="17">
        <f t="shared" si="2"/>
        <v>15.76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52">
        <v>40770.0</v>
      </c>
      <c r="B187" s="151">
        <v>19.31</v>
      </c>
      <c r="C187" s="17">
        <v>19.7</v>
      </c>
      <c r="D187" s="17">
        <f t="shared" si="2"/>
        <v>15.76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52">
        <v>40777.0</v>
      </c>
      <c r="B188" s="151">
        <v>19.61</v>
      </c>
      <c r="C188" s="17">
        <v>19.7</v>
      </c>
      <c r="D188" s="17">
        <f t="shared" si="2"/>
        <v>15.76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52">
        <v>40784.0</v>
      </c>
      <c r="B189" s="151">
        <v>19.47</v>
      </c>
      <c r="C189" s="17">
        <v>19.7</v>
      </c>
      <c r="D189" s="17">
        <f t="shared" si="2"/>
        <v>15.76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52">
        <v>40792.0</v>
      </c>
      <c r="B190" s="151">
        <v>19.56</v>
      </c>
      <c r="C190" s="17">
        <v>19.7</v>
      </c>
      <c r="D190" s="17">
        <f t="shared" si="2"/>
        <v>15.76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52">
        <v>40798.0</v>
      </c>
      <c r="B191" s="151">
        <v>19.45</v>
      </c>
      <c r="C191" s="17">
        <v>19.7</v>
      </c>
      <c r="D191" s="17">
        <f t="shared" si="2"/>
        <v>15.76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52">
        <v>40805.0</v>
      </c>
      <c r="B192" s="151">
        <v>19.27</v>
      </c>
      <c r="C192" s="17">
        <v>19.7</v>
      </c>
      <c r="D192" s="17">
        <f t="shared" si="2"/>
        <v>15.76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52">
        <v>40812.0</v>
      </c>
      <c r="B193" s="151">
        <v>19.41</v>
      </c>
      <c r="C193" s="17">
        <v>19.7</v>
      </c>
      <c r="D193" s="17">
        <f t="shared" si="2"/>
        <v>15.76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52">
        <v>40819.0</v>
      </c>
      <c r="B194" s="151">
        <v>19.06</v>
      </c>
      <c r="C194" s="17">
        <v>19.7</v>
      </c>
      <c r="D194" s="17">
        <f t="shared" si="2"/>
        <v>15.76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52">
        <v>40827.0</v>
      </c>
      <c r="B195" s="151">
        <v>19.48</v>
      </c>
      <c r="C195" s="17">
        <v>19.7</v>
      </c>
      <c r="D195" s="17">
        <f t="shared" si="2"/>
        <v>15.76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52">
        <v>40833.0</v>
      </c>
      <c r="B196" s="151">
        <v>18.69</v>
      </c>
      <c r="C196" s="17">
        <v>19.7</v>
      </c>
      <c r="D196" s="17">
        <f t="shared" si="2"/>
        <v>15.76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52">
        <v>40840.0</v>
      </c>
      <c r="B197" s="151">
        <v>18.32</v>
      </c>
      <c r="C197" s="17">
        <v>19.7</v>
      </c>
      <c r="D197" s="17">
        <f t="shared" si="2"/>
        <v>15.76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52">
        <v>40847.0</v>
      </c>
      <c r="B198" s="151">
        <v>18.71</v>
      </c>
      <c r="C198" s="17">
        <v>19.7</v>
      </c>
      <c r="D198" s="17">
        <f t="shared" si="2"/>
        <v>15.76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52">
        <v>40854.0</v>
      </c>
      <c r="B199" s="151">
        <v>19.08</v>
      </c>
      <c r="C199" s="17">
        <v>19.7</v>
      </c>
      <c r="D199" s="17">
        <f t="shared" si="2"/>
        <v>15.76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52">
        <v>40861.0</v>
      </c>
      <c r="B200" s="151">
        <v>19.58</v>
      </c>
      <c r="C200" s="17">
        <v>19.7</v>
      </c>
      <c r="D200" s="17">
        <f t="shared" si="2"/>
        <v>15.76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52">
        <v>40868.0</v>
      </c>
      <c r="B201" s="151">
        <v>18.85</v>
      </c>
      <c r="C201" s="17">
        <v>19.7</v>
      </c>
      <c r="D201" s="17">
        <f t="shared" si="2"/>
        <v>15.76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52">
        <v>40875.0</v>
      </c>
      <c r="B202" s="151">
        <v>18.77</v>
      </c>
      <c r="C202" s="17">
        <v>19.7</v>
      </c>
      <c r="D202" s="17">
        <f t="shared" si="2"/>
        <v>15.76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52">
        <v>40882.0</v>
      </c>
      <c r="B203" s="151">
        <v>18.71</v>
      </c>
      <c r="C203" s="17">
        <v>19.7</v>
      </c>
      <c r="D203" s="17">
        <f t="shared" si="2"/>
        <v>15.76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52">
        <v>40889.0</v>
      </c>
      <c r="B204" s="151">
        <v>18.2</v>
      </c>
      <c r="C204" s="17">
        <v>19.7</v>
      </c>
      <c r="D204" s="17">
        <f t="shared" si="2"/>
        <v>15.76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52">
        <v>40896.0</v>
      </c>
      <c r="B205" s="151">
        <v>18.48</v>
      </c>
      <c r="C205" s="17">
        <v>19.7</v>
      </c>
      <c r="D205" s="17">
        <f t="shared" si="2"/>
        <v>15.76</v>
      </c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52">
        <v>40903.0</v>
      </c>
      <c r="B206" s="151">
        <v>18.7</v>
      </c>
      <c r="C206" s="17">
        <v>19.7</v>
      </c>
      <c r="D206" s="17">
        <f t="shared" si="2"/>
        <v>15.76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52">
        <v>40910.0</v>
      </c>
      <c r="B207" s="151">
        <v>18.84</v>
      </c>
      <c r="C207" s="17">
        <v>21.9</v>
      </c>
      <c r="D207" s="17">
        <f t="shared" si="2"/>
        <v>17.52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52">
        <v>40917.0</v>
      </c>
      <c r="B208" s="151">
        <v>18.45</v>
      </c>
      <c r="C208" s="17">
        <v>21.9</v>
      </c>
      <c r="D208" s="17">
        <f t="shared" si="2"/>
        <v>17.52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52">
        <v>40924.0</v>
      </c>
      <c r="B209" s="151">
        <v>18.56</v>
      </c>
      <c r="C209" s="17">
        <v>21.9</v>
      </c>
      <c r="D209" s="17">
        <f t="shared" si="2"/>
        <v>17.52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52">
        <v>40931.0</v>
      </c>
      <c r="B210" s="151">
        <v>18.3</v>
      </c>
      <c r="C210" s="17">
        <v>21.9</v>
      </c>
      <c r="D210" s="17">
        <f t="shared" si="2"/>
        <v>17.52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52">
        <v>40938.0</v>
      </c>
      <c r="B211" s="151">
        <v>18.24</v>
      </c>
      <c r="C211" s="17">
        <v>21.9</v>
      </c>
      <c r="D211" s="17">
        <f t="shared" si="2"/>
        <v>17.52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52">
        <v>40945.0</v>
      </c>
      <c r="B212" s="151">
        <v>18.19</v>
      </c>
      <c r="C212" s="17">
        <v>21.9</v>
      </c>
      <c r="D212" s="17">
        <f t="shared" si="2"/>
        <v>17.52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52">
        <v>40952.0</v>
      </c>
      <c r="B213" s="151">
        <v>18.68</v>
      </c>
      <c r="C213" s="17">
        <v>21.9</v>
      </c>
      <c r="D213" s="17">
        <f t="shared" si="2"/>
        <v>17.52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52">
        <v>40959.0</v>
      </c>
      <c r="B214" s="151">
        <v>18.9</v>
      </c>
      <c r="C214" s="17">
        <v>21.9</v>
      </c>
      <c r="D214" s="17">
        <f t="shared" si="2"/>
        <v>17.52</v>
      </c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52">
        <v>40966.0</v>
      </c>
      <c r="B215" s="151">
        <v>19.06</v>
      </c>
      <c r="C215" s="17">
        <v>21.9</v>
      </c>
      <c r="D215" s="17">
        <f t="shared" si="2"/>
        <v>17.52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52">
        <v>40973.0</v>
      </c>
      <c r="B216" s="151">
        <v>18.86</v>
      </c>
      <c r="C216" s="17">
        <v>21.9</v>
      </c>
      <c r="D216" s="17">
        <f t="shared" si="2"/>
        <v>17.52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52">
        <v>40980.0</v>
      </c>
      <c r="B217" s="151">
        <v>19.25</v>
      </c>
      <c r="C217" s="17">
        <v>21.9</v>
      </c>
      <c r="D217" s="17">
        <f t="shared" si="2"/>
        <v>17.52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52">
        <v>40987.0</v>
      </c>
      <c r="B218" s="151">
        <v>19.83</v>
      </c>
      <c r="C218" s="17">
        <v>21.9</v>
      </c>
      <c r="D218" s="17">
        <f t="shared" si="2"/>
        <v>17.52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52">
        <v>40994.0</v>
      </c>
      <c r="B219" s="151">
        <v>19.79</v>
      </c>
      <c r="C219" s="17">
        <v>21.9</v>
      </c>
      <c r="D219" s="17">
        <f t="shared" si="2"/>
        <v>17.52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52">
        <v>41001.0</v>
      </c>
      <c r="B220" s="151">
        <v>19.59</v>
      </c>
      <c r="C220" s="17">
        <v>21.9</v>
      </c>
      <c r="D220" s="17">
        <f t="shared" si="2"/>
        <v>17.52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52">
        <v>41008.0</v>
      </c>
      <c r="B221" s="151">
        <v>18.53</v>
      </c>
      <c r="C221" s="17">
        <v>21.9</v>
      </c>
      <c r="D221" s="17">
        <f t="shared" si="2"/>
        <v>17.52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52">
        <v>41015.0</v>
      </c>
      <c r="B222" s="151">
        <v>18.79</v>
      </c>
      <c r="C222" s="17">
        <v>21.9</v>
      </c>
      <c r="D222" s="17">
        <f t="shared" si="2"/>
        <v>17.52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52">
        <v>41022.0</v>
      </c>
      <c r="B223" s="151">
        <v>18.84</v>
      </c>
      <c r="C223" s="17">
        <v>21.9</v>
      </c>
      <c r="D223" s="17">
        <f t="shared" si="2"/>
        <v>17.52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52">
        <v>41029.0</v>
      </c>
      <c r="B224" s="151">
        <v>18.35</v>
      </c>
      <c r="C224" s="17">
        <v>21.9</v>
      </c>
      <c r="D224" s="17">
        <f t="shared" si="2"/>
        <v>17.52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52">
        <v>41036.0</v>
      </c>
      <c r="B225" s="151">
        <v>18.15</v>
      </c>
      <c r="C225" s="17">
        <v>21.9</v>
      </c>
      <c r="D225" s="17">
        <f t="shared" si="2"/>
        <v>17.52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52">
        <v>41043.0</v>
      </c>
      <c r="B226" s="151">
        <v>18.14</v>
      </c>
      <c r="C226" s="17">
        <v>21.9</v>
      </c>
      <c r="D226" s="17">
        <f t="shared" si="2"/>
        <v>17.52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52">
        <v>41050.0</v>
      </c>
      <c r="B227" s="151">
        <v>18.45</v>
      </c>
      <c r="C227" s="17">
        <v>21.9</v>
      </c>
      <c r="D227" s="17">
        <f t="shared" si="2"/>
        <v>17.52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52">
        <v>41057.0</v>
      </c>
      <c r="B228" s="151">
        <v>18.03</v>
      </c>
      <c r="C228" s="17">
        <v>21.9</v>
      </c>
      <c r="D228" s="17">
        <f t="shared" si="2"/>
        <v>17.52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52">
        <v>41064.0</v>
      </c>
      <c r="B229" s="151">
        <v>18.34</v>
      </c>
      <c r="C229" s="17">
        <v>21.9</v>
      </c>
      <c r="D229" s="17">
        <f t="shared" si="2"/>
        <v>17.52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52">
        <v>41071.0</v>
      </c>
      <c r="B230" s="151">
        <v>18.15</v>
      </c>
      <c r="C230" s="17">
        <v>21.9</v>
      </c>
      <c r="D230" s="17">
        <f t="shared" si="2"/>
        <v>17.52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52">
        <v>41078.0</v>
      </c>
      <c r="B231" s="151">
        <v>18.37</v>
      </c>
      <c r="C231" s="17">
        <v>21.9</v>
      </c>
      <c r="D231" s="17">
        <f t="shared" si="2"/>
        <v>17.52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52">
        <v>41085.0</v>
      </c>
      <c r="B232" s="151">
        <v>18.26</v>
      </c>
      <c r="C232" s="17">
        <v>21.9</v>
      </c>
      <c r="D232" s="17">
        <f t="shared" si="2"/>
        <v>17.52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52">
        <v>41092.0</v>
      </c>
      <c r="B233" s="151">
        <v>18.58</v>
      </c>
      <c r="C233" s="17">
        <v>21.9</v>
      </c>
      <c r="D233" s="17">
        <f t="shared" si="2"/>
        <v>17.52</v>
      </c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52">
        <v>41099.0</v>
      </c>
      <c r="B234" s="151">
        <v>19.01</v>
      </c>
      <c r="C234" s="17">
        <v>21.9</v>
      </c>
      <c r="D234" s="17">
        <f t="shared" si="2"/>
        <v>17.52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52">
        <v>41106.0</v>
      </c>
      <c r="B235" s="151">
        <v>18.55</v>
      </c>
      <c r="C235" s="17">
        <v>21.9</v>
      </c>
      <c r="D235" s="17">
        <f t="shared" si="2"/>
        <v>17.52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52">
        <v>41113.0</v>
      </c>
      <c r="B236" s="151">
        <v>18.96</v>
      </c>
      <c r="C236" s="17">
        <v>21.9</v>
      </c>
      <c r="D236" s="17">
        <f t="shared" si="2"/>
        <v>17.52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52">
        <v>41120.0</v>
      </c>
      <c r="B237" s="151">
        <v>18.8</v>
      </c>
      <c r="C237" s="17">
        <v>21.9</v>
      </c>
      <c r="D237" s="17">
        <f t="shared" si="2"/>
        <v>17.52</v>
      </c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52">
        <v>41127.0</v>
      </c>
      <c r="B238" s="151">
        <v>18.91</v>
      </c>
      <c r="C238" s="17">
        <v>21.9</v>
      </c>
      <c r="D238" s="17">
        <f t="shared" si="2"/>
        <v>17.52</v>
      </c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52">
        <v>41134.0</v>
      </c>
      <c r="B239" s="151">
        <v>19.15</v>
      </c>
      <c r="C239" s="17">
        <v>21.9</v>
      </c>
      <c r="D239" s="17">
        <f t="shared" si="2"/>
        <v>17.52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52">
        <v>41141.0</v>
      </c>
      <c r="B240" s="151">
        <v>19.13</v>
      </c>
      <c r="C240" s="17">
        <v>21.9</v>
      </c>
      <c r="D240" s="17">
        <f t="shared" si="2"/>
        <v>17.52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52">
        <v>41148.0</v>
      </c>
      <c r="B241" s="151">
        <v>19.29</v>
      </c>
      <c r="C241" s="17">
        <v>21.9</v>
      </c>
      <c r="D241" s="17">
        <f t="shared" si="2"/>
        <v>17.52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52">
        <v>41155.0</v>
      </c>
      <c r="B242" s="151">
        <v>19.52</v>
      </c>
      <c r="C242" s="17">
        <v>21.9</v>
      </c>
      <c r="D242" s="17">
        <f t="shared" si="2"/>
        <v>17.52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52">
        <v>41162.0</v>
      </c>
      <c r="B243" s="151">
        <v>19.27</v>
      </c>
      <c r="C243" s="17">
        <v>21.9</v>
      </c>
      <c r="D243" s="17">
        <f t="shared" si="2"/>
        <v>17.52</v>
      </c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52">
        <v>41169.0</v>
      </c>
      <c r="B244" s="151">
        <v>19.31</v>
      </c>
      <c r="C244" s="17">
        <v>21.9</v>
      </c>
      <c r="D244" s="17">
        <f t="shared" si="2"/>
        <v>17.52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52">
        <v>41176.0</v>
      </c>
      <c r="B245" s="151">
        <v>19.33</v>
      </c>
      <c r="C245" s="17">
        <v>21.9</v>
      </c>
      <c r="D245" s="17">
        <f t="shared" si="2"/>
        <v>17.52</v>
      </c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52">
        <v>41183.0</v>
      </c>
      <c r="B246" s="151">
        <v>19.51</v>
      </c>
      <c r="C246" s="17">
        <v>21.9</v>
      </c>
      <c r="D246" s="17">
        <f t="shared" si="2"/>
        <v>17.52</v>
      </c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52">
        <v>41190.0</v>
      </c>
      <c r="B247" s="151">
        <v>19.52</v>
      </c>
      <c r="C247" s="17">
        <v>21.9</v>
      </c>
      <c r="D247" s="17">
        <f t="shared" si="2"/>
        <v>17.52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52">
        <v>41197.0</v>
      </c>
      <c r="B248" s="151">
        <v>19.86</v>
      </c>
      <c r="C248" s="17">
        <v>21.9</v>
      </c>
      <c r="D248" s="17">
        <f t="shared" si="2"/>
        <v>17.52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52">
        <v>41204.0</v>
      </c>
      <c r="B249" s="151">
        <v>20.32</v>
      </c>
      <c r="C249" s="17">
        <v>21.9</v>
      </c>
      <c r="D249" s="17">
        <f t="shared" si="2"/>
        <v>17.52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52">
        <v>41211.0</v>
      </c>
      <c r="B250" s="151">
        <v>20.67</v>
      </c>
      <c r="C250" s="17">
        <v>21.9</v>
      </c>
      <c r="D250" s="17">
        <f t="shared" si="2"/>
        <v>17.52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52">
        <v>41218.0</v>
      </c>
      <c r="B251" s="151">
        <v>20.77</v>
      </c>
      <c r="C251" s="17">
        <v>21.9</v>
      </c>
      <c r="D251" s="17">
        <f t="shared" si="2"/>
        <v>17.52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52">
        <v>41225.0</v>
      </c>
      <c r="B252" s="151">
        <v>20.7</v>
      </c>
      <c r="C252" s="17">
        <v>21.9</v>
      </c>
      <c r="D252" s="17">
        <f t="shared" si="2"/>
        <v>17.52</v>
      </c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52">
        <v>41232.0</v>
      </c>
      <c r="B253" s="151">
        <v>20.96</v>
      </c>
      <c r="C253" s="17">
        <v>21.9</v>
      </c>
      <c r="D253" s="17">
        <f t="shared" si="2"/>
        <v>17.52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52">
        <v>41239.0</v>
      </c>
      <c r="B254" s="151">
        <v>21.21</v>
      </c>
      <c r="C254" s="17">
        <v>21.9</v>
      </c>
      <c r="D254" s="17">
        <f t="shared" si="2"/>
        <v>17.52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52">
        <v>41246.0</v>
      </c>
      <c r="B255" s="151">
        <v>21.17</v>
      </c>
      <c r="C255" s="17">
        <v>21.9</v>
      </c>
      <c r="D255" s="17">
        <f t="shared" si="2"/>
        <v>17.52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52">
        <v>41253.0</v>
      </c>
      <c r="B256" s="151">
        <v>21.51</v>
      </c>
      <c r="C256" s="17">
        <v>21.9</v>
      </c>
      <c r="D256" s="17">
        <f t="shared" si="2"/>
        <v>17.52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52">
        <v>41260.0</v>
      </c>
      <c r="B257" s="151">
        <v>21.89</v>
      </c>
      <c r="C257" s="17">
        <v>21.9</v>
      </c>
      <c r="D257" s="17">
        <f t="shared" si="2"/>
        <v>17.52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52">
        <v>41267.0</v>
      </c>
      <c r="B258" s="151">
        <v>21.98</v>
      </c>
      <c r="C258" s="17">
        <v>21.9</v>
      </c>
      <c r="D258" s="17">
        <f t="shared" si="2"/>
        <v>17.52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52">
        <v>41274.0</v>
      </c>
      <c r="B259" s="151">
        <v>22.22</v>
      </c>
      <c r="C259" s="17">
        <v>21.9</v>
      </c>
      <c r="D259" s="17">
        <f t="shared" si="2"/>
        <v>17.52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52">
        <v>41281.0</v>
      </c>
      <c r="B260" s="151">
        <v>22.34</v>
      </c>
      <c r="C260" s="17">
        <v>23.2</v>
      </c>
      <c r="D260" s="17">
        <f t="shared" si="2"/>
        <v>18.56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52">
        <v>41288.0</v>
      </c>
      <c r="B261" s="151">
        <v>22.92</v>
      </c>
      <c r="C261" s="17">
        <v>23.2</v>
      </c>
      <c r="D261" s="17">
        <f t="shared" si="2"/>
        <v>18.56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52">
        <v>41295.0</v>
      </c>
      <c r="B262" s="151">
        <v>22.99</v>
      </c>
      <c r="C262" s="17">
        <v>23.2</v>
      </c>
      <c r="D262" s="17">
        <f t="shared" si="2"/>
        <v>18.56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52">
        <v>41302.0</v>
      </c>
      <c r="B263" s="151">
        <v>22.92</v>
      </c>
      <c r="C263" s="17">
        <v>23.2</v>
      </c>
      <c r="D263" s="17">
        <f t="shared" si="2"/>
        <v>18.56</v>
      </c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52">
        <v>41309.0</v>
      </c>
      <c r="B264" s="151">
        <v>23.08</v>
      </c>
      <c r="C264" s="17">
        <v>23.2</v>
      </c>
      <c r="D264" s="17">
        <f t="shared" si="2"/>
        <v>18.56</v>
      </c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52">
        <v>41316.0</v>
      </c>
      <c r="B265" s="151">
        <v>23.29</v>
      </c>
      <c r="C265" s="17">
        <v>23.2</v>
      </c>
      <c r="D265" s="17">
        <f t="shared" si="2"/>
        <v>18.56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52">
        <v>41323.0</v>
      </c>
      <c r="B266" s="151">
        <v>23.87</v>
      </c>
      <c r="C266" s="17">
        <v>23.2</v>
      </c>
      <c r="D266" s="17">
        <f t="shared" si="2"/>
        <v>18.56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52">
        <v>41330.0</v>
      </c>
      <c r="B267" s="151">
        <v>23.96</v>
      </c>
      <c r="C267" s="17">
        <v>23.2</v>
      </c>
      <c r="D267" s="17">
        <f t="shared" si="2"/>
        <v>18.56</v>
      </c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52">
        <v>41337.0</v>
      </c>
      <c r="B268" s="151">
        <v>24.02</v>
      </c>
      <c r="C268" s="17">
        <v>23.2</v>
      </c>
      <c r="D268" s="17">
        <f t="shared" si="2"/>
        <v>18.56</v>
      </c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52">
        <v>41344.0</v>
      </c>
      <c r="B269" s="151">
        <v>24.37</v>
      </c>
      <c r="C269" s="17">
        <v>23.2</v>
      </c>
      <c r="D269" s="17">
        <f t="shared" si="2"/>
        <v>18.56</v>
      </c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52">
        <v>41351.0</v>
      </c>
      <c r="B270" s="151">
        <v>24.4</v>
      </c>
      <c r="C270" s="17">
        <v>23.2</v>
      </c>
      <c r="D270" s="17">
        <f t="shared" si="2"/>
        <v>18.56</v>
      </c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52">
        <v>41358.0</v>
      </c>
      <c r="B271" s="151">
        <v>24.71</v>
      </c>
      <c r="C271" s="17">
        <v>23.2</v>
      </c>
      <c r="D271" s="17">
        <f t="shared" si="2"/>
        <v>18.56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52">
        <v>41365.0</v>
      </c>
      <c r="B272" s="151">
        <v>24.04</v>
      </c>
      <c r="C272" s="17">
        <v>23.2</v>
      </c>
      <c r="D272" s="17">
        <f t="shared" si="2"/>
        <v>18.56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52">
        <v>41372.0</v>
      </c>
      <c r="B273" s="151">
        <v>23.85</v>
      </c>
      <c r="C273" s="17">
        <v>23.2</v>
      </c>
      <c r="D273" s="17">
        <f t="shared" si="2"/>
        <v>18.56</v>
      </c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52">
        <v>41379.0</v>
      </c>
      <c r="B274" s="151">
        <v>22.77</v>
      </c>
      <c r="C274" s="17">
        <v>23.2</v>
      </c>
      <c r="D274" s="17">
        <f t="shared" si="2"/>
        <v>18.56</v>
      </c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51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51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51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51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51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51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51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51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51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51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51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51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51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51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51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51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51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51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51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51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51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51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51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51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51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51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51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51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51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51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51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51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51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51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51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51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51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51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51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51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51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51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51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51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51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51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51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51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51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51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51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51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51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51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51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51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51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51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51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51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51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51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51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51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51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51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51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51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51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51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51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51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51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51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51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51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51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51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51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51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51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51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51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51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51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51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51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51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51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51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51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51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51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51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51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51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51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51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51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51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51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51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51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51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51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51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51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51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51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51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51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51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51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51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51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51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51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51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51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51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51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51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51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51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51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51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51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51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51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51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51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51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51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51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51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51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51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51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51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51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51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51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51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51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51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51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51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51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51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51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51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51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51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51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51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51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51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51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51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51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51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51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51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51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51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51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51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51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51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51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51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51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51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51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51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51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51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51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51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51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51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51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51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51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51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51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51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51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51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51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51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51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51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51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51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51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51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51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51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51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51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51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51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51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51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51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51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51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51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51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51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51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51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51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51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51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51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51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51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51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51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51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51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51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51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51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51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51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51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51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51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51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51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51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51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51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51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51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51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51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51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51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51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51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51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51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51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51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51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51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51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51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51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51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51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51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51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51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51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51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51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51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51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51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51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51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51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51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51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51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51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51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51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51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51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51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51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51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51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51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51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51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51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51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51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51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51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51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51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51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51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51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51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51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51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51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51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51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51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51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51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51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51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51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51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51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51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51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51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51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51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51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51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51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51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51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51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51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51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51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51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51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51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51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51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51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51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51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51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51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51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51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51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51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51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51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51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51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51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51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51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51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51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51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51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51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51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51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51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51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51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51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51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51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51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51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51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51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51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51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51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51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51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51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51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51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51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51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51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51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51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51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51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51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51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51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51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51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51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51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51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51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51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51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51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51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51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51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51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51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51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51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51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51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51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51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51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51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51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51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51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51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51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51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51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51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51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51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51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51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51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51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51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51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51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51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51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51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51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51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51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51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51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51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51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51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51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51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51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51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51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51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51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51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51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51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51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51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51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51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51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51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51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51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51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51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51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51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51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51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51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51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51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51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51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51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51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51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51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51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51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51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51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51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51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51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51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51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51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51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51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51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51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51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51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51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51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51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51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51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51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51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51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51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51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51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51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51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51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51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51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51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51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51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51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51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51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51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51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51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51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51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51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51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51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51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51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51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51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51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51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51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51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51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51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51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51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51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51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51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51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51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51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51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51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51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51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51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51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51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51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51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51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51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51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51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51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51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51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51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51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51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51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51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51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51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51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51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51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51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51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51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51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51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51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51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51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51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51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51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51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51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51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51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51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51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51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51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51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51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51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51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51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51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51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51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51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51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51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51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51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51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51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51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51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51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51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51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51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51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51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51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51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51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51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51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51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51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51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51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51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51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51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51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51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51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51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51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51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51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51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51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51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51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51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51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51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51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51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51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51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51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51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51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51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51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51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51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51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51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51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51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51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51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51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51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51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51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51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51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51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51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51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51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51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51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51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51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51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51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51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51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51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51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51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51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51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51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51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51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51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51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51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51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51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51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51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51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51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51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51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51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51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51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51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51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51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51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51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51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51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51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51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51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51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51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51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51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51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51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51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51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51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51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51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51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51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51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51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51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51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51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51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51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51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51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51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51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51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51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51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51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51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51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51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51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51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51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51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51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51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51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51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51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51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51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6.13"/>
    <col customWidth="1" min="3" max="4" width="7.0"/>
    <col customWidth="1" min="5" max="5" width="6.38"/>
    <col customWidth="1" min="6" max="6" width="11.38"/>
    <col customWidth="1" min="7" max="8" width="4.38"/>
    <col customWidth="1" min="9" max="9" width="10.13"/>
    <col customWidth="1" min="10" max="10" width="9.0"/>
    <col customWidth="1" min="11" max="11" width="11.5"/>
    <col customWidth="1" min="12" max="12" width="10.13"/>
    <col customWidth="1" min="13" max="14" width="7.88"/>
    <col customWidth="1" min="15" max="15" width="11.25"/>
    <col customWidth="1" min="16" max="16" width="7.88"/>
    <col customWidth="1" min="17" max="26" width="7.63"/>
  </cols>
  <sheetData>
    <row r="1">
      <c r="A1" s="17" t="s">
        <v>611</v>
      </c>
      <c r="B1" s="110" t="s">
        <v>612</v>
      </c>
      <c r="C1" s="110" t="s">
        <v>316</v>
      </c>
      <c r="D1" s="110" t="s">
        <v>613</v>
      </c>
      <c r="E1" s="110" t="s">
        <v>614</v>
      </c>
      <c r="F1" s="110" t="s">
        <v>615</v>
      </c>
      <c r="G1" s="110" t="s">
        <v>440</v>
      </c>
      <c r="H1" s="110" t="s">
        <v>447</v>
      </c>
      <c r="I1" s="110" t="s">
        <v>211</v>
      </c>
      <c r="J1" s="110" t="s">
        <v>210</v>
      </c>
      <c r="K1" s="110" t="s">
        <v>216</v>
      </c>
      <c r="L1" s="110" t="s">
        <v>8</v>
      </c>
      <c r="M1" s="110" t="s">
        <v>446</v>
      </c>
      <c r="N1" s="110" t="s">
        <v>616</v>
      </c>
      <c r="O1" s="17" t="s">
        <v>542</v>
      </c>
      <c r="P1" s="17" t="s">
        <v>562</v>
      </c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 t="s">
        <v>617</v>
      </c>
      <c r="B2" s="110" t="s">
        <v>618</v>
      </c>
      <c r="C2" s="110">
        <v>23.11</v>
      </c>
      <c r="D2" s="110" t="s">
        <v>619</v>
      </c>
      <c r="E2" s="110" t="s">
        <v>620</v>
      </c>
      <c r="F2" s="109">
        <v>0.1174</v>
      </c>
      <c r="G2" s="110">
        <v>1.61</v>
      </c>
      <c r="H2" s="110">
        <v>1.02</v>
      </c>
      <c r="I2" s="110">
        <v>0.7</v>
      </c>
      <c r="J2" s="110">
        <v>0.5</v>
      </c>
      <c r="K2" s="110">
        <v>3.4</v>
      </c>
      <c r="L2" s="109">
        <v>0.512</v>
      </c>
      <c r="M2" s="17">
        <v>20.3</v>
      </c>
      <c r="N2" s="153">
        <v>6.0</v>
      </c>
      <c r="O2" s="17">
        <v>6.0</v>
      </c>
      <c r="P2" s="17">
        <v>1.86</v>
      </c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621</v>
      </c>
      <c r="B3" s="110" t="s">
        <v>622</v>
      </c>
      <c r="C3" s="110">
        <v>47.16</v>
      </c>
      <c r="D3" s="110" t="s">
        <v>623</v>
      </c>
      <c r="E3" s="110" t="s">
        <v>624</v>
      </c>
      <c r="F3" s="109">
        <v>0.0251</v>
      </c>
      <c r="G3" s="110">
        <v>3.39</v>
      </c>
      <c r="H3" s="110">
        <v>2.22</v>
      </c>
      <c r="I3" s="110">
        <v>0.6</v>
      </c>
      <c r="J3" s="110">
        <v>0.5</v>
      </c>
      <c r="K3" s="110">
        <v>3.9</v>
      </c>
      <c r="L3" s="109">
        <v>0.395</v>
      </c>
      <c r="M3" s="17">
        <v>29.1</v>
      </c>
      <c r="N3" s="17">
        <v>7.5</v>
      </c>
      <c r="O3" s="17">
        <v>5.0</v>
      </c>
      <c r="P3" s="17">
        <v>1.86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625</v>
      </c>
      <c r="B4" s="110" t="s">
        <v>626</v>
      </c>
      <c r="C4" s="110">
        <v>51.76</v>
      </c>
      <c r="D4" s="110" t="s">
        <v>627</v>
      </c>
      <c r="E4" s="110" t="s">
        <v>628</v>
      </c>
      <c r="F4" s="109">
        <v>0.0397</v>
      </c>
      <c r="G4" s="110">
        <v>3.26</v>
      </c>
      <c r="H4" s="110">
        <v>1.58</v>
      </c>
      <c r="I4" s="110">
        <v>0.7</v>
      </c>
      <c r="J4" s="110">
        <v>0.6</v>
      </c>
      <c r="K4" s="110">
        <v>5.2</v>
      </c>
      <c r="L4" s="109">
        <v>0.703</v>
      </c>
      <c r="M4" s="17">
        <v>45.1</v>
      </c>
      <c r="N4" s="17">
        <v>8.7</v>
      </c>
      <c r="O4" s="17">
        <v>6.0</v>
      </c>
      <c r="P4" s="17">
        <v>1.91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629</v>
      </c>
      <c r="B5" s="110" t="s">
        <v>630</v>
      </c>
      <c r="C5" s="110">
        <v>36.25</v>
      </c>
      <c r="D5" s="110" t="s">
        <v>631</v>
      </c>
      <c r="E5" s="110" t="s">
        <v>632</v>
      </c>
      <c r="F5" s="109">
        <v>0.0306</v>
      </c>
      <c r="G5" s="110">
        <v>2.02</v>
      </c>
      <c r="H5" s="110">
        <v>1.22</v>
      </c>
      <c r="I5" s="110">
        <v>0.5</v>
      </c>
      <c r="J5" s="110">
        <v>0.4</v>
      </c>
      <c r="K5" s="110">
        <v>2.7</v>
      </c>
      <c r="L5" s="109">
        <v>0.553</v>
      </c>
      <c r="M5" s="17">
        <v>16.2</v>
      </c>
      <c r="N5" s="17">
        <v>6.1</v>
      </c>
      <c r="O5" s="17">
        <v>5.0</v>
      </c>
      <c r="P5" s="17">
        <v>1.42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633</v>
      </c>
      <c r="B6" s="110" t="s">
        <v>634</v>
      </c>
      <c r="C6" s="110">
        <v>44.35</v>
      </c>
      <c r="D6" s="110" t="s">
        <v>635</v>
      </c>
      <c r="E6" s="110" t="s">
        <v>636</v>
      </c>
      <c r="F6" s="109">
        <v>0.0517</v>
      </c>
      <c r="G6" s="110">
        <v>4.59</v>
      </c>
      <c r="H6" s="154">
        <v>1.0</v>
      </c>
      <c r="I6" s="110">
        <v>0.9</v>
      </c>
      <c r="J6" s="110">
        <v>0.9</v>
      </c>
      <c r="K6" s="110">
        <v>2.4</v>
      </c>
      <c r="L6" s="109">
        <v>0.497</v>
      </c>
      <c r="M6" s="17">
        <v>18.9</v>
      </c>
      <c r="N6" s="17">
        <v>7.7</v>
      </c>
      <c r="O6" s="17">
        <v>4.0</v>
      </c>
      <c r="P6" s="17">
        <v>1.37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637</v>
      </c>
      <c r="B7" s="110" t="s">
        <v>638</v>
      </c>
      <c r="C7" s="110">
        <v>45.95</v>
      </c>
      <c r="D7" s="110" t="s">
        <v>639</v>
      </c>
      <c r="E7" s="110" t="s">
        <v>640</v>
      </c>
      <c r="F7" s="109">
        <v>-0.0932</v>
      </c>
      <c r="G7" s="110">
        <v>2.56</v>
      </c>
      <c r="H7" s="154">
        <v>0.2</v>
      </c>
      <c r="I7" s="110">
        <v>0.9</v>
      </c>
      <c r="J7" s="110">
        <v>0.7</v>
      </c>
      <c r="K7" s="110">
        <v>6.9</v>
      </c>
      <c r="L7" s="109">
        <v>0.57</v>
      </c>
      <c r="M7" s="17">
        <v>20.4</v>
      </c>
      <c r="N7" s="153">
        <v>3.0</v>
      </c>
      <c r="O7" s="17">
        <v>7.0</v>
      </c>
      <c r="P7" s="17">
        <v>0.95</v>
      </c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641</v>
      </c>
      <c r="B8" s="110" t="s">
        <v>642</v>
      </c>
      <c r="C8" s="110">
        <v>24.46</v>
      </c>
      <c r="D8" s="110" t="s">
        <v>643</v>
      </c>
      <c r="E8" s="110" t="s">
        <v>644</v>
      </c>
      <c r="F8" s="109">
        <v>0.0189</v>
      </c>
      <c r="G8" s="110">
        <v>1.78</v>
      </c>
      <c r="H8" s="110">
        <v>0.92</v>
      </c>
      <c r="I8" s="110">
        <v>1.2</v>
      </c>
      <c r="J8" s="110">
        <v>1.1</v>
      </c>
      <c r="K8" s="110">
        <v>1.9</v>
      </c>
      <c r="L8" s="109">
        <v>0.637</v>
      </c>
      <c r="M8" s="153">
        <v>14.0</v>
      </c>
      <c r="N8" s="17">
        <v>7.5</v>
      </c>
      <c r="O8" s="17">
        <v>5.0</v>
      </c>
      <c r="P8" s="17">
        <v>2.21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645</v>
      </c>
      <c r="B9" s="110" t="s">
        <v>646</v>
      </c>
      <c r="C9" s="110">
        <v>48.78</v>
      </c>
      <c r="D9" s="110" t="s">
        <v>647</v>
      </c>
      <c r="E9" s="110" t="s">
        <v>648</v>
      </c>
      <c r="F9" s="109">
        <v>0.0512</v>
      </c>
      <c r="G9" s="110">
        <v>3.08</v>
      </c>
      <c r="H9" s="154">
        <v>0.5</v>
      </c>
      <c r="I9" s="110">
        <v>1.5</v>
      </c>
      <c r="J9" s="110">
        <v>0.9</v>
      </c>
      <c r="K9" s="155">
        <v>3.0</v>
      </c>
      <c r="L9" s="109">
        <v>0.377</v>
      </c>
      <c r="M9" s="17">
        <v>21.1</v>
      </c>
      <c r="N9" s="153">
        <v>7.0</v>
      </c>
      <c r="O9" s="17">
        <v>4.0</v>
      </c>
      <c r="P9" s="17">
        <v>1.86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649</v>
      </c>
      <c r="B10" s="110" t="s">
        <v>650</v>
      </c>
      <c r="C10" s="110">
        <v>32.11</v>
      </c>
      <c r="D10" s="110" t="s">
        <v>651</v>
      </c>
      <c r="E10" s="110" t="s">
        <v>652</v>
      </c>
      <c r="F10" s="109">
        <v>-0.0234</v>
      </c>
      <c r="G10" s="110">
        <v>2.63</v>
      </c>
      <c r="H10" s="154">
        <v>1.7</v>
      </c>
      <c r="I10" s="110">
        <v>0.5</v>
      </c>
      <c r="J10" s="110">
        <v>0.4</v>
      </c>
      <c r="K10" s="110">
        <v>3.4</v>
      </c>
      <c r="L10" s="109">
        <v>0.358</v>
      </c>
      <c r="M10" s="17">
        <v>21.7</v>
      </c>
      <c r="N10" s="17">
        <v>6.4</v>
      </c>
      <c r="O10" s="17">
        <v>5.0</v>
      </c>
      <c r="P10" s="17">
        <v>1.66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 t="s">
        <v>653</v>
      </c>
      <c r="L53" s="17"/>
      <c r="M53" s="17" t="s">
        <v>625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 t="s">
        <v>654</v>
      </c>
      <c r="N54" s="17">
        <v>15.9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 t="s">
        <v>655</v>
      </c>
      <c r="N55" s="17">
        <v>7.36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 t="s">
        <v>656</v>
      </c>
      <c r="N56" s="17">
        <v>1.83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 t="s">
        <v>657</v>
      </c>
      <c r="M58" s="17" t="s">
        <v>658</v>
      </c>
      <c r="N58" s="17" t="s">
        <v>659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>
        <v>1.61</v>
      </c>
      <c r="M59" s="17">
        <v>8.96</v>
      </c>
      <c r="N59" s="17">
        <v>11.16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>
        <f>N54*L59</f>
        <v>25.599</v>
      </c>
      <c r="M60" s="17">
        <f>N55*M59</f>
        <v>65.9456</v>
      </c>
      <c r="N60" s="17">
        <f>N59*N56</f>
        <v>20.4228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6.25"/>
    <col customWidth="1" min="3" max="3" width="9.75"/>
    <col customWidth="1" min="4" max="22" width="7.88"/>
    <col customWidth="1" min="23" max="26" width="7.63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56" t="s">
        <v>660</v>
      </c>
      <c r="C2" s="55"/>
      <c r="D2" s="5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9" t="s">
        <v>661</v>
      </c>
      <c r="C3" s="20" t="s">
        <v>662</v>
      </c>
      <c r="D3" s="21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22" t="s">
        <v>663</v>
      </c>
      <c r="C4" s="115">
        <v>897732.0</v>
      </c>
      <c r="D4" s="23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22" t="s">
        <v>302</v>
      </c>
      <c r="C5" s="17">
        <v>0.68</v>
      </c>
      <c r="D5" s="23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22" t="s">
        <v>664</v>
      </c>
      <c r="C6" s="17">
        <v>4.42</v>
      </c>
      <c r="D6" s="23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22" t="s">
        <v>561</v>
      </c>
      <c r="C7" s="110" t="s">
        <v>665</v>
      </c>
      <c r="D7" s="2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22" t="s">
        <v>666</v>
      </c>
      <c r="C8" s="110" t="s">
        <v>619</v>
      </c>
      <c r="D8" s="2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.0" customHeight="1">
      <c r="A9" s="17"/>
      <c r="B9" s="22"/>
      <c r="C9" s="17"/>
      <c r="D9" s="2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22" t="s">
        <v>667</v>
      </c>
      <c r="C10" s="50">
        <v>0.54</v>
      </c>
      <c r="D10" s="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22" t="s">
        <v>668</v>
      </c>
      <c r="C11" s="100">
        <v>0.205</v>
      </c>
      <c r="D11" s="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.0" customHeight="1">
      <c r="A12" s="17"/>
      <c r="B12" s="22"/>
      <c r="C12" s="17"/>
      <c r="D12" s="2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22" t="s">
        <v>669</v>
      </c>
      <c r="C13" s="17">
        <v>8.46</v>
      </c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22" t="s">
        <v>670</v>
      </c>
      <c r="C14" s="17">
        <v>0.66</v>
      </c>
      <c r="D14" s="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43" t="s">
        <v>671</v>
      </c>
      <c r="C15" s="45">
        <v>20.3</v>
      </c>
      <c r="D15" s="4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>
        <v>5583.2</v>
      </c>
      <c r="Q19" s="17">
        <v>6314.5599999999995</v>
      </c>
      <c r="R19" s="17">
        <v>6994.4</v>
      </c>
      <c r="S19" s="17">
        <v>7757.4</v>
      </c>
      <c r="T19" s="17">
        <v>9007.32</v>
      </c>
      <c r="U19" s="17">
        <v>10511.199999999999</v>
      </c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>
        <v>0.71</v>
      </c>
      <c r="H23" s="17">
        <v>0.82</v>
      </c>
      <c r="I23" s="17">
        <v>0.86</v>
      </c>
      <c r="J23" s="17">
        <v>0.9</v>
      </c>
      <c r="K23" s="17">
        <v>1.02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>
        <f>0.24*G25</f>
        <v>1.04</v>
      </c>
      <c r="F24" s="17">
        <f>0.08*G25</f>
        <v>0.3466666667</v>
      </c>
      <c r="G24" s="17">
        <f t="shared" ref="G24:H24" si="1">G23*$G$25</f>
        <v>3.076666667</v>
      </c>
      <c r="H24" s="17">
        <f t="shared" si="1"/>
        <v>3.553333333</v>
      </c>
      <c r="I24" s="17">
        <v>3.52</v>
      </c>
      <c r="J24" s="17">
        <f>J23*$G$25</f>
        <v>3.9</v>
      </c>
      <c r="K24" s="17">
        <v>4.42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57">
        <v>22.77</v>
      </c>
      <c r="C25" s="17"/>
      <c r="D25" s="17"/>
      <c r="E25" s="17"/>
      <c r="F25" s="17"/>
      <c r="G25" s="17">
        <f>K24/K23</f>
        <v>4.333333333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57">
        <v>24.71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57">
        <v>24.14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57">
        <v>22.77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57">
        <v>22.2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57">
        <v>21.21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57">
        <v>20.99</v>
      </c>
      <c r="C31" s="17"/>
      <c r="D31" s="17"/>
      <c r="E31" s="17"/>
      <c r="F31" s="17"/>
      <c r="G31" s="3">
        <v>244.7</v>
      </c>
      <c r="H31" s="3">
        <v>307.2</v>
      </c>
      <c r="I31" s="3">
        <v>336.3</v>
      </c>
      <c r="J31" s="3">
        <v>388.4</v>
      </c>
      <c r="K31" s="3">
        <v>440.7</v>
      </c>
      <c r="L31" s="3">
        <v>440.9</v>
      </c>
      <c r="M31" s="3">
        <v>441.0</v>
      </c>
      <c r="N31" s="3">
        <v>440.9</v>
      </c>
      <c r="O31" s="3">
        <v>417.3</v>
      </c>
      <c r="P31" s="3">
        <v>429.9</v>
      </c>
      <c r="Q31" s="3">
        <v>408.8</v>
      </c>
      <c r="R31" s="3">
        <v>428.4</v>
      </c>
      <c r="S31" s="3">
        <v>430.2</v>
      </c>
      <c r="T31" s="3">
        <v>433.1</v>
      </c>
      <c r="U31" s="3">
        <v>437.7</v>
      </c>
      <c r="V31" s="3">
        <v>448.0</v>
      </c>
      <c r="W31" s="17"/>
      <c r="X31" s="17"/>
      <c r="Y31" s="17"/>
      <c r="Z31" s="17"/>
    </row>
    <row r="32" ht="15.75" customHeight="1">
      <c r="A32" s="17"/>
      <c r="B32" s="157">
        <v>19.33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57">
        <v>19.29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57">
        <v>18.65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57">
        <v>18.26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57">
        <v>18.67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57">
        <v>19.17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>
        <v>4.06</v>
      </c>
      <c r="I39" s="17">
        <v>3.82</v>
      </c>
      <c r="J39" s="17">
        <v>3.82</v>
      </c>
      <c r="K39" s="17">
        <v>4.67</v>
      </c>
      <c r="L39" s="17">
        <v>4.21</v>
      </c>
      <c r="M39" s="17">
        <v>4.62</v>
      </c>
      <c r="N39" s="17">
        <v>5.26</v>
      </c>
      <c r="O39" s="17">
        <v>5.81</v>
      </c>
      <c r="P39" s="17">
        <v>6.4</v>
      </c>
      <c r="Q39" s="17">
        <v>6.68</v>
      </c>
      <c r="R39" s="17">
        <v>8.46</v>
      </c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>
        <v>5.1</v>
      </c>
      <c r="I42" s="17">
        <v>7.8</v>
      </c>
      <c r="J42" s="17">
        <v>25.3</v>
      </c>
      <c r="K42" s="17">
        <v>19.5</v>
      </c>
      <c r="L42" s="17">
        <v>29.8</v>
      </c>
      <c r="M42" s="17">
        <v>21.4</v>
      </c>
      <c r="N42" s="17">
        <v>19.2</v>
      </c>
      <c r="O42" s="17">
        <v>16.2</v>
      </c>
      <c r="P42" s="17">
        <v>20.3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 t="s">
        <v>293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>
        <v>2003.0</v>
      </c>
      <c r="G49" s="17">
        <v>2004.0</v>
      </c>
      <c r="H49" s="17">
        <v>2005.0</v>
      </c>
      <c r="I49" s="17">
        <v>2006.0</v>
      </c>
      <c r="J49" s="17">
        <v>2007.0</v>
      </c>
      <c r="K49" s="17">
        <v>2008.0</v>
      </c>
      <c r="L49" s="17">
        <v>2009.0</v>
      </c>
      <c r="M49" s="17">
        <v>2010.0</v>
      </c>
      <c r="N49" s="17">
        <v>2011.0</v>
      </c>
      <c r="O49" s="17">
        <v>2012.0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 t="s">
        <v>301</v>
      </c>
      <c r="F50" s="17">
        <v>4309.2</v>
      </c>
      <c r="G50" s="17">
        <v>4205.8</v>
      </c>
      <c r="H50" s="17">
        <v>4799.7</v>
      </c>
      <c r="I50" s="17">
        <v>5119.5</v>
      </c>
      <c r="J50" s="17">
        <v>5307.8</v>
      </c>
      <c r="K50" s="17">
        <v>5274.0</v>
      </c>
      <c r="L50" s="17">
        <v>5063.1</v>
      </c>
      <c r="M50" s="17">
        <v>6364.0</v>
      </c>
      <c r="N50" s="17">
        <v>8177.7</v>
      </c>
      <c r="O50" s="17">
        <v>7373.0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 t="s">
        <v>173</v>
      </c>
      <c r="F51" s="17">
        <v>2495.1</v>
      </c>
      <c r="G51" s="17">
        <v>2492.0</v>
      </c>
      <c r="H51" s="17">
        <v>2053.1</v>
      </c>
      <c r="I51" s="17">
        <v>1809.7</v>
      </c>
      <c r="J51" s="17">
        <v>1994.0</v>
      </c>
      <c r="K51" s="17">
        <v>2255.2</v>
      </c>
      <c r="L51" s="17">
        <v>2498.0</v>
      </c>
      <c r="M51" s="17">
        <v>2770.5</v>
      </c>
      <c r="N51" s="17">
        <v>3216.9</v>
      </c>
      <c r="O51" s="17">
        <v>3754.0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 t="s">
        <v>310</v>
      </c>
      <c r="F52" s="17">
        <v>1.7270650474930864</v>
      </c>
      <c r="G52" s="17">
        <v>1.6877207062600321</v>
      </c>
      <c r="H52" s="17">
        <v>2.3377818907992793</v>
      </c>
      <c r="I52" s="17">
        <v>2.828921920760347</v>
      </c>
      <c r="J52" s="17">
        <v>2.6618856569709126</v>
      </c>
      <c r="K52" s="17">
        <v>2.338595246541327</v>
      </c>
      <c r="L52" s="17">
        <v>2.0268614891913534</v>
      </c>
      <c r="M52" s="17">
        <v>2.2970582927269447</v>
      </c>
      <c r="N52" s="17">
        <v>2.5421057539867573</v>
      </c>
      <c r="O52" s="17">
        <v>1.964038359083644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>
        <f t="shared" ref="F53:O53" si="2">F50/(F50+F51)</f>
        <v>0.6333054098</v>
      </c>
      <c r="G53" s="17">
        <f t="shared" si="2"/>
        <v>0.6279375317</v>
      </c>
      <c r="H53" s="17">
        <f t="shared" si="2"/>
        <v>0.7003998366</v>
      </c>
      <c r="I53" s="17">
        <f t="shared" si="2"/>
        <v>0.7388298794</v>
      </c>
      <c r="J53" s="17">
        <f t="shared" si="2"/>
        <v>0.7269166507</v>
      </c>
      <c r="K53" s="17">
        <f t="shared" si="2"/>
        <v>0.7004728258</v>
      </c>
      <c r="L53" s="17">
        <f t="shared" si="2"/>
        <v>0.66962479</v>
      </c>
      <c r="M53" s="17">
        <f t="shared" si="2"/>
        <v>0.6966993267</v>
      </c>
      <c r="N53" s="17">
        <f t="shared" si="2"/>
        <v>0.7176820599</v>
      </c>
      <c r="O53" s="17">
        <f t="shared" si="2"/>
        <v>0.6626224499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 t="s">
        <v>320</v>
      </c>
      <c r="F54" s="17">
        <v>2.0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 t="s">
        <v>327</v>
      </c>
      <c r="F55" s="17">
        <v>0.3841737809511054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244061"/>
          <x14:sparklines>
            <x14:sparkline>
              <xm:f>Sheet1!B25:B37</xm:f>
              <xm:sqref>D3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Sheet1!F24:K24</xm:f>
              <xm:sqref>D6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Sheet1!Q31:V31</xm:f>
              <xm:sqref>D7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Sheet1!P19:U19</xm:f>
              <xm:sqref>D8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Sheet1!J39:R39</xm:f>
              <xm:sqref>D13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Sheet1!I53:O53</xm:f>
              <xm:sqref>D14</xm:sqref>
            </x14:sparkline>
          </x14:sparklines>
        </x14:sparklineGroup>
        <x14:sparklineGroup type="column" displayEmptyCellsAs="gap">
          <x14:colorSeries rgb="FF244061"/>
          <x14:sparklines>
            <x14:sparkline>
              <xm:f>Sheet1!H42:P42</xm:f>
              <xm:sqref>D15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2013-04-06T00:41:47Z</dcterms:created>
  <dc:creator>Sunzhaowei</dc:creator>
</cp:coreProperties>
</file>