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645" firstSheet="3" activeTab="10"/>
  </bookViews>
  <sheets>
    <sheet name="Income Statement" sheetId="1" r:id="rId1"/>
    <sheet name="Balance Sheet" sheetId="2" r:id="rId2"/>
    <sheet name="Cashflow Statement" sheetId="3" r:id="rId3"/>
    <sheet name="Ratios" sheetId="4" r:id="rId4"/>
    <sheet name="WACC" sheetId="5" r:id="rId5"/>
    <sheet name="Growth Rate" sheetId="6" r:id="rId6"/>
    <sheet name="FCFF Model" sheetId="7" r:id="rId7"/>
    <sheet name="Senesitivity Analysis" sheetId="10" r:id="rId8"/>
    <sheet name="Quality" sheetId="9" r:id="rId9"/>
    <sheet name="Price VS Instr" sheetId="8" r:id="rId10"/>
    <sheet name="Relative Method" sheetId="11" r:id="rId11"/>
    <sheet name="Sheet1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G53" i="12" l="1"/>
  <c r="H53" i="12"/>
  <c r="I53" i="12"/>
  <c r="J53" i="12"/>
  <c r="K53" i="12"/>
  <c r="L53" i="12"/>
  <c r="M53" i="12"/>
  <c r="N53" i="12"/>
  <c r="O53" i="12"/>
  <c r="F53" i="12"/>
  <c r="E24" i="12"/>
  <c r="F24" i="12"/>
  <c r="G25" i="12"/>
  <c r="H24" i="12" s="1"/>
  <c r="G24" i="12" l="1"/>
  <c r="J24" i="12"/>
  <c r="N60" i="11"/>
  <c r="M60" i="11"/>
  <c r="L60" i="11"/>
  <c r="E92" i="9" l="1"/>
  <c r="F92" i="9"/>
  <c r="G92" i="9"/>
  <c r="H92" i="9"/>
  <c r="I92" i="9"/>
  <c r="J92" i="9"/>
  <c r="K92" i="9"/>
  <c r="L92" i="9"/>
  <c r="M92" i="9"/>
  <c r="D92" i="9"/>
  <c r="E91" i="9"/>
  <c r="F91" i="9"/>
  <c r="G91" i="9"/>
  <c r="H91" i="9"/>
  <c r="I91" i="9"/>
  <c r="J91" i="9"/>
  <c r="K91" i="9"/>
  <c r="L91" i="9"/>
  <c r="M91" i="9"/>
  <c r="D91" i="9"/>
  <c r="E90" i="9"/>
  <c r="F90" i="9"/>
  <c r="G90" i="9"/>
  <c r="H90" i="9"/>
  <c r="I90" i="9"/>
  <c r="J90" i="9"/>
  <c r="K90" i="9"/>
  <c r="L90" i="9"/>
  <c r="M90" i="9"/>
  <c r="D90" i="9"/>
  <c r="E89" i="9"/>
  <c r="F89" i="9"/>
  <c r="G89" i="9"/>
  <c r="H89" i="9"/>
  <c r="I89" i="9"/>
  <c r="J89" i="9"/>
  <c r="K89" i="9"/>
  <c r="L89" i="9"/>
  <c r="M89" i="9"/>
  <c r="D89" i="9"/>
  <c r="E88" i="9"/>
  <c r="F88" i="9"/>
  <c r="G88" i="9"/>
  <c r="H88" i="9"/>
  <c r="I88" i="9"/>
  <c r="J88" i="9"/>
  <c r="K88" i="9"/>
  <c r="L88" i="9"/>
  <c r="M88" i="9"/>
  <c r="D88" i="9"/>
  <c r="E87" i="9"/>
  <c r="F87" i="9"/>
  <c r="G87" i="9"/>
  <c r="H87" i="9"/>
  <c r="I87" i="9"/>
  <c r="J87" i="9"/>
  <c r="K87" i="9"/>
  <c r="L87" i="9"/>
  <c r="M87" i="9"/>
  <c r="D87" i="9"/>
  <c r="E86" i="9"/>
  <c r="F86" i="9"/>
  <c r="G86" i="9"/>
  <c r="H86" i="9"/>
  <c r="I86" i="9"/>
  <c r="J86" i="9"/>
  <c r="K86" i="9"/>
  <c r="L86" i="9"/>
  <c r="M86" i="9"/>
  <c r="D86" i="9"/>
  <c r="E85" i="9"/>
  <c r="E83" i="9" s="1"/>
  <c r="F85" i="9"/>
  <c r="F83" i="9" s="1"/>
  <c r="G85" i="9"/>
  <c r="G82" i="9" s="1"/>
  <c r="H85" i="9"/>
  <c r="H82" i="9" s="1"/>
  <c r="I85" i="9"/>
  <c r="I83" i="9" s="1"/>
  <c r="J85" i="9"/>
  <c r="J83" i="9" s="1"/>
  <c r="K85" i="9"/>
  <c r="K82" i="9" s="1"/>
  <c r="L85" i="9"/>
  <c r="L82" i="9" s="1"/>
  <c r="M85" i="9"/>
  <c r="M83" i="9" s="1"/>
  <c r="D85" i="9"/>
  <c r="D83" i="9" s="1"/>
  <c r="E46" i="9"/>
  <c r="F46" i="9"/>
  <c r="G46" i="9"/>
  <c r="H46" i="9"/>
  <c r="I46" i="9"/>
  <c r="J46" i="9"/>
  <c r="K46" i="9"/>
  <c r="L46" i="9"/>
  <c r="M46" i="9"/>
  <c r="D46" i="9"/>
  <c r="E49" i="9"/>
  <c r="F49" i="9"/>
  <c r="G49" i="9"/>
  <c r="H49" i="9"/>
  <c r="I49" i="9"/>
  <c r="J49" i="9"/>
  <c r="K49" i="9"/>
  <c r="L49" i="9"/>
  <c r="M49" i="9"/>
  <c r="D49" i="9"/>
  <c r="E50" i="9"/>
  <c r="F50" i="9"/>
  <c r="G50" i="9"/>
  <c r="H50" i="9"/>
  <c r="I50" i="9"/>
  <c r="J50" i="9"/>
  <c r="K50" i="9"/>
  <c r="L50" i="9"/>
  <c r="M50" i="9"/>
  <c r="D50" i="9"/>
  <c r="E48" i="9"/>
  <c r="F48" i="9"/>
  <c r="G48" i="9"/>
  <c r="H48" i="9"/>
  <c r="I48" i="9"/>
  <c r="J48" i="9"/>
  <c r="K48" i="9"/>
  <c r="L48" i="9"/>
  <c r="M48" i="9"/>
  <c r="D48" i="9"/>
  <c r="E47" i="9"/>
  <c r="F47" i="9"/>
  <c r="G47" i="9"/>
  <c r="H47" i="9"/>
  <c r="I47" i="9"/>
  <c r="J47" i="9"/>
  <c r="K47" i="9"/>
  <c r="L47" i="9"/>
  <c r="M47" i="9"/>
  <c r="D47" i="9"/>
  <c r="E44" i="9"/>
  <c r="F44" i="9"/>
  <c r="F52" i="9" s="1"/>
  <c r="G44" i="9"/>
  <c r="H44" i="9"/>
  <c r="I44" i="9"/>
  <c r="J44" i="9"/>
  <c r="K44" i="9"/>
  <c r="L44" i="9"/>
  <c r="M44" i="9"/>
  <c r="D44" i="9"/>
  <c r="E45" i="9"/>
  <c r="F45" i="9"/>
  <c r="G45" i="9"/>
  <c r="H45" i="9"/>
  <c r="I45" i="9"/>
  <c r="J45" i="9"/>
  <c r="K45" i="9"/>
  <c r="L45" i="9"/>
  <c r="M45" i="9"/>
  <c r="D45" i="9"/>
  <c r="E19" i="9"/>
  <c r="F19" i="9"/>
  <c r="G19" i="9"/>
  <c r="H19" i="9"/>
  <c r="I19" i="9"/>
  <c r="J19" i="9"/>
  <c r="K19" i="9"/>
  <c r="L19" i="9"/>
  <c r="M19" i="9"/>
  <c r="D19" i="9"/>
  <c r="J52" i="9" l="1"/>
  <c r="E52" i="9"/>
  <c r="G52" i="9"/>
  <c r="L52" i="9"/>
  <c r="H52" i="9"/>
  <c r="D52" i="9"/>
  <c r="M52" i="9"/>
  <c r="D82" i="9"/>
  <c r="J82" i="9"/>
  <c r="F82" i="9"/>
  <c r="L83" i="9"/>
  <c r="H83" i="9"/>
  <c r="K52" i="9"/>
  <c r="M82" i="9"/>
  <c r="I82" i="9"/>
  <c r="E82" i="9"/>
  <c r="K83" i="9"/>
  <c r="G83" i="9"/>
  <c r="I5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" i="8"/>
  <c r="H2" i="8"/>
  <c r="H6" i="8" s="1"/>
  <c r="H5" i="8" s="1"/>
  <c r="F32" i="8"/>
  <c r="G22" i="8"/>
  <c r="H22" i="8" s="1"/>
  <c r="F2" i="8"/>
  <c r="G2" i="8" s="1"/>
  <c r="I2" i="8"/>
  <c r="K2" i="8" s="1"/>
  <c r="J2" i="8"/>
  <c r="L2" i="8" s="1"/>
  <c r="M2" i="8"/>
  <c r="O2" i="8"/>
  <c r="P2" i="8"/>
  <c r="C30" i="7"/>
  <c r="C29" i="7"/>
  <c r="C25" i="7"/>
  <c r="C34" i="7"/>
  <c r="C33" i="7"/>
  <c r="L25" i="7"/>
  <c r="K25" i="7"/>
  <c r="J25" i="7"/>
  <c r="I25" i="7"/>
  <c r="H25" i="7"/>
  <c r="G25" i="7"/>
  <c r="F25" i="7"/>
  <c r="E25" i="7"/>
  <c r="D25" i="7"/>
  <c r="C20" i="7"/>
  <c r="D15" i="7"/>
  <c r="D17" i="7" s="1"/>
  <c r="W14" i="7" s="1"/>
  <c r="C15" i="7"/>
  <c r="C17" i="7" s="1"/>
  <c r="V14" i="7" s="1"/>
  <c r="E14" i="7"/>
  <c r="F14" i="7" s="1"/>
  <c r="G14" i="7" s="1"/>
  <c r="H14" i="7" s="1"/>
  <c r="I14" i="7" s="1"/>
  <c r="J14" i="7" s="1"/>
  <c r="K14" i="7" s="1"/>
  <c r="L14" i="7" s="1"/>
  <c r="L20" i="7" s="1"/>
  <c r="D14" i="7"/>
  <c r="D20" i="7" s="1"/>
  <c r="M7" i="7"/>
  <c r="M4" i="7"/>
  <c r="M5" i="7" s="1"/>
  <c r="H15" i="7" l="1"/>
  <c r="H17" i="7" s="1"/>
  <c r="AA14" i="7" s="1"/>
  <c r="K15" i="7"/>
  <c r="K17" i="7" s="1"/>
  <c r="AD14" i="7" s="1"/>
  <c r="G15" i="7"/>
  <c r="G17" i="7" s="1"/>
  <c r="Z14" i="7" s="1"/>
  <c r="K20" i="7"/>
  <c r="G20" i="7"/>
  <c r="J15" i="7"/>
  <c r="J17" i="7" s="1"/>
  <c r="AC14" i="7" s="1"/>
  <c r="J20" i="7"/>
  <c r="F20" i="7"/>
  <c r="F15" i="7"/>
  <c r="F17" i="7" s="1"/>
  <c r="Y14" i="7" s="1"/>
  <c r="I15" i="7"/>
  <c r="I17" i="7" s="1"/>
  <c r="AB14" i="7" s="1"/>
  <c r="E15" i="7"/>
  <c r="E17" i="7" s="1"/>
  <c r="X14" i="7" s="1"/>
  <c r="I20" i="7"/>
  <c r="E20" i="7"/>
  <c r="L15" i="7"/>
  <c r="L17" i="7" s="1"/>
  <c r="AE14" i="7" s="1"/>
  <c r="H20" i="7"/>
  <c r="G3" i="8"/>
  <c r="G4" i="8" s="1"/>
  <c r="G6" i="8"/>
  <c r="G5" i="8" s="1"/>
  <c r="L6" i="8"/>
  <c r="L5" i="8" s="1"/>
  <c r="L3" i="8"/>
  <c r="L4" i="8" s="1"/>
  <c r="K3" i="8"/>
  <c r="K4" i="8" s="1"/>
  <c r="K6" i="8"/>
  <c r="K5" i="8" s="1"/>
  <c r="K8" i="8" s="1"/>
  <c r="H3" i="8"/>
  <c r="H4" i="8" s="1"/>
  <c r="H8" i="8" s="1"/>
  <c r="L8" i="8"/>
  <c r="I22" i="8"/>
  <c r="I23" i="8" s="1"/>
  <c r="I24" i="8" s="1"/>
  <c r="H23" i="8"/>
  <c r="H24" i="8" s="1"/>
  <c r="H26" i="8"/>
  <c r="G26" i="8"/>
  <c r="G25" i="8" s="1"/>
  <c r="G23" i="8"/>
  <c r="G24" i="8" s="1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4" i="7"/>
  <c r="E4" i="7"/>
  <c r="F4" i="7"/>
  <c r="G4" i="7"/>
  <c r="G5" i="7" s="1"/>
  <c r="H4" i="7"/>
  <c r="I4" i="7"/>
  <c r="J4" i="7"/>
  <c r="K4" i="7"/>
  <c r="K5" i="7" s="1"/>
  <c r="L4" i="7"/>
  <c r="C4" i="7"/>
  <c r="R24" i="6"/>
  <c r="R22" i="6"/>
  <c r="N22" i="6"/>
  <c r="R14" i="6"/>
  <c r="R15" i="6"/>
  <c r="R16" i="6"/>
  <c r="R18" i="6"/>
  <c r="R19" i="6"/>
  <c r="R20" i="6"/>
  <c r="R21" i="6"/>
  <c r="R13" i="6"/>
  <c r="N16" i="6"/>
  <c r="N21" i="6"/>
  <c r="P12" i="6"/>
  <c r="P13" i="6"/>
  <c r="N13" i="6" s="1"/>
  <c r="P14" i="6"/>
  <c r="N14" i="6" s="1"/>
  <c r="P15" i="6"/>
  <c r="N15" i="6" s="1"/>
  <c r="P16" i="6"/>
  <c r="P17" i="6"/>
  <c r="P18" i="6"/>
  <c r="N18" i="6" s="1"/>
  <c r="P19" i="6"/>
  <c r="N19" i="6" s="1"/>
  <c r="P20" i="6"/>
  <c r="N20" i="6" s="1"/>
  <c r="P21" i="6"/>
  <c r="O21" i="6"/>
  <c r="O20" i="6"/>
  <c r="O19" i="6"/>
  <c r="O18" i="6"/>
  <c r="O17" i="6"/>
  <c r="O16" i="6"/>
  <c r="O15" i="6"/>
  <c r="O14" i="6"/>
  <c r="O13" i="6"/>
  <c r="O12" i="6"/>
  <c r="M6" i="7" l="1"/>
  <c r="M9" i="7" s="1"/>
  <c r="C18" i="7"/>
  <c r="V15" i="7" s="1"/>
  <c r="V16" i="7" s="1"/>
  <c r="G8" i="8"/>
  <c r="J22" i="8"/>
  <c r="K22" i="8" s="1"/>
  <c r="I26" i="8"/>
  <c r="H25" i="8"/>
  <c r="H28" i="8" s="1"/>
  <c r="H32" i="8" s="1"/>
  <c r="G28" i="8"/>
  <c r="G32" i="8" s="1"/>
  <c r="J23" i="8"/>
  <c r="J24" i="8" s="1"/>
  <c r="J26" i="8"/>
  <c r="L9" i="7"/>
  <c r="L5" i="7"/>
  <c r="J9" i="7"/>
  <c r="J5" i="7"/>
  <c r="F9" i="7"/>
  <c r="F5" i="7"/>
  <c r="C9" i="7"/>
  <c r="C5" i="7"/>
  <c r="I9" i="7"/>
  <c r="I5" i="7"/>
  <c r="E9" i="7"/>
  <c r="E5" i="7"/>
  <c r="K9" i="7"/>
  <c r="G9" i="7"/>
  <c r="H9" i="7"/>
  <c r="H5" i="7"/>
  <c r="D9" i="7"/>
  <c r="D5" i="7"/>
  <c r="X17" i="6"/>
  <c r="X16" i="6"/>
  <c r="X15" i="6"/>
  <c r="X14" i="6"/>
  <c r="X13" i="6"/>
  <c r="X28" i="6"/>
  <c r="X27" i="6"/>
  <c r="X26" i="6"/>
  <c r="X25" i="6"/>
  <c r="X24" i="6"/>
  <c r="X23" i="6"/>
  <c r="X22" i="6"/>
  <c r="X21" i="6"/>
  <c r="X20" i="6"/>
  <c r="X19" i="6"/>
  <c r="X18" i="6"/>
  <c r="X12" i="6"/>
  <c r="K28" i="6"/>
  <c r="K24" i="6"/>
  <c r="I20" i="6"/>
  <c r="K20" i="6" s="1"/>
  <c r="I19" i="6"/>
  <c r="K19" i="6" s="1"/>
  <c r="I18" i="6"/>
  <c r="K18" i="6" s="1"/>
  <c r="I17" i="6"/>
  <c r="K17" i="6" s="1"/>
  <c r="I16" i="6"/>
  <c r="K16" i="6" s="1"/>
  <c r="I15" i="6"/>
  <c r="I14" i="6"/>
  <c r="I13" i="6"/>
  <c r="K13" i="6" s="1"/>
  <c r="I12" i="6"/>
  <c r="I11" i="6"/>
  <c r="C19" i="7" l="1"/>
  <c r="D18" i="7"/>
  <c r="W15" i="7" s="1"/>
  <c r="W16" i="7" s="1"/>
  <c r="C22" i="7"/>
  <c r="C26" i="7" s="1"/>
  <c r="I25" i="8"/>
  <c r="I28" i="8" s="1"/>
  <c r="I32" i="8" s="1"/>
  <c r="L22" i="8"/>
  <c r="K23" i="8"/>
  <c r="K24" i="8" s="1"/>
  <c r="K26" i="8"/>
  <c r="J15" i="6"/>
  <c r="K15" i="6"/>
  <c r="J12" i="6"/>
  <c r="K12" i="6"/>
  <c r="J19" i="6"/>
  <c r="J14" i="6"/>
  <c r="J13" i="6"/>
  <c r="K14" i="6"/>
  <c r="J17" i="6"/>
  <c r="J18" i="6"/>
  <c r="J16" i="6"/>
  <c r="J20" i="6"/>
  <c r="D22" i="7" l="1"/>
  <c r="D26" i="7" s="1"/>
  <c r="E18" i="7"/>
  <c r="X15" i="7" s="1"/>
  <c r="X16" i="7" s="1"/>
  <c r="D19" i="7"/>
  <c r="J25" i="8"/>
  <c r="J28" i="8" s="1"/>
  <c r="J32" i="8" s="1"/>
  <c r="L23" i="8"/>
  <c r="L24" i="8" s="1"/>
  <c r="L26" i="8"/>
  <c r="M22" i="8"/>
  <c r="AL82" i="5"/>
  <c r="AL78" i="5" s="1"/>
  <c r="F18" i="7" l="1"/>
  <c r="Y15" i="7" s="1"/>
  <c r="Y16" i="7" s="1"/>
  <c r="E22" i="7"/>
  <c r="E26" i="7" s="1"/>
  <c r="E19" i="7"/>
  <c r="K25" i="8"/>
  <c r="K28" i="8" s="1"/>
  <c r="K32" i="8" s="1"/>
  <c r="M23" i="8"/>
  <c r="M24" i="8" s="1"/>
  <c r="M26" i="8"/>
  <c r="N22" i="8"/>
  <c r="I9" i="5"/>
  <c r="AM98" i="5"/>
  <c r="AM99" i="5"/>
  <c r="AM100" i="5"/>
  <c r="AM97" i="5"/>
  <c r="AO97" i="5" s="1"/>
  <c r="AM95" i="5"/>
  <c r="AM94" i="5"/>
  <c r="AM93" i="5"/>
  <c r="AO93" i="5" s="1"/>
  <c r="AM92" i="5"/>
  <c r="AM91" i="5"/>
  <c r="AO92" i="5"/>
  <c r="AO91" i="5"/>
  <c r="AO100" i="5"/>
  <c r="AO99" i="5"/>
  <c r="AO98" i="5"/>
  <c r="AO96" i="5"/>
  <c r="AO95" i="5"/>
  <c r="AO94" i="5"/>
  <c r="AK86" i="5"/>
  <c r="AK85" i="5"/>
  <c r="AJ86" i="5"/>
  <c r="AJ85" i="5"/>
  <c r="AL79" i="5"/>
  <c r="AL77" i="5"/>
  <c r="AL74" i="5"/>
  <c r="AL75" i="5"/>
  <c r="AJ11" i="5"/>
  <c r="AK8" i="5"/>
  <c r="AL8" i="5"/>
  <c r="AM8" i="5"/>
  <c r="AN8" i="5"/>
  <c r="AO8" i="5"/>
  <c r="AP8" i="5"/>
  <c r="AQ8" i="5"/>
  <c r="AR8" i="5"/>
  <c r="AS8" i="5"/>
  <c r="AJ8" i="5"/>
  <c r="AK7" i="5"/>
  <c r="AL7" i="5"/>
  <c r="AM7" i="5"/>
  <c r="AN7" i="5"/>
  <c r="AO7" i="5"/>
  <c r="AP7" i="5"/>
  <c r="AQ7" i="5"/>
  <c r="AR7" i="5"/>
  <c r="AS7" i="5"/>
  <c r="AJ7" i="5"/>
  <c r="AK6" i="5"/>
  <c r="AL6" i="5"/>
  <c r="AM6" i="5"/>
  <c r="AN6" i="5"/>
  <c r="AO6" i="5"/>
  <c r="AP6" i="5"/>
  <c r="AQ6" i="5"/>
  <c r="AR6" i="5"/>
  <c r="AS6" i="5"/>
  <c r="AJ6" i="5"/>
  <c r="AC10" i="5"/>
  <c r="G18" i="7" l="1"/>
  <c r="Z15" i="7" s="1"/>
  <c r="Z16" i="7" s="1"/>
  <c r="F19" i="7"/>
  <c r="F22" i="7"/>
  <c r="F26" i="7" s="1"/>
  <c r="L25" i="8"/>
  <c r="L28" i="8" s="1"/>
  <c r="L32" i="8" s="1"/>
  <c r="N23" i="8"/>
  <c r="N24" i="8" s="1"/>
  <c r="N26" i="8"/>
  <c r="O22" i="8"/>
  <c r="P22" i="8" s="1"/>
  <c r="W81" i="5"/>
  <c r="W84" i="5"/>
  <c r="W79" i="5"/>
  <c r="W77" i="5"/>
  <c r="W73" i="5"/>
  <c r="W75" i="5"/>
  <c r="W11" i="5"/>
  <c r="X11" i="5"/>
  <c r="X9" i="5"/>
  <c r="W9" i="5"/>
  <c r="X8" i="5"/>
  <c r="W8" i="5"/>
  <c r="X7" i="5"/>
  <c r="W7" i="5"/>
  <c r="X5" i="5"/>
  <c r="W5" i="5"/>
  <c r="W20" i="5"/>
  <c r="J13" i="5"/>
  <c r="AJ91" i="5" s="1"/>
  <c r="AK91" i="5" s="1"/>
  <c r="AP91" i="5" s="1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14" i="5"/>
  <c r="H18" i="7" l="1"/>
  <c r="AA15" i="7" s="1"/>
  <c r="AA16" i="7" s="1"/>
  <c r="G19" i="7"/>
  <c r="G22" i="7"/>
  <c r="G26" i="7" s="1"/>
  <c r="M25" i="8"/>
  <c r="M28" i="8" s="1"/>
  <c r="M32" i="8" s="1"/>
  <c r="P23" i="8"/>
  <c r="P24" i="8" s="1"/>
  <c r="P26" i="8"/>
  <c r="O23" i="8"/>
  <c r="O24" i="8" s="1"/>
  <c r="O26" i="8"/>
  <c r="J15" i="5"/>
  <c r="AJ93" i="5" s="1"/>
  <c r="AK93" i="5" s="1"/>
  <c r="AP93" i="5" s="1"/>
  <c r="X13" i="5"/>
  <c r="W13" i="5"/>
  <c r="J14" i="5"/>
  <c r="AJ92" i="5" s="1"/>
  <c r="AK92" i="5" s="1"/>
  <c r="AP92" i="5" s="1"/>
  <c r="J74" i="5"/>
  <c r="AJ97" i="5" s="1"/>
  <c r="AK97" i="5" s="1"/>
  <c r="AP97" i="5" s="1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J18" i="5"/>
  <c r="J77" i="5"/>
  <c r="AJ100" i="5" s="1"/>
  <c r="AK100" i="5" s="1"/>
  <c r="AP100" i="5" s="1"/>
  <c r="J73" i="5"/>
  <c r="AJ96" i="5" s="1"/>
  <c r="AK96" i="5" s="1"/>
  <c r="AP96" i="5" s="1"/>
  <c r="J69" i="5"/>
  <c r="J65" i="5"/>
  <c r="J61" i="5"/>
  <c r="J57" i="5"/>
  <c r="J53" i="5"/>
  <c r="J49" i="5"/>
  <c r="J45" i="5"/>
  <c r="J41" i="5"/>
  <c r="J37" i="5"/>
  <c r="J33" i="5"/>
  <c r="J29" i="5"/>
  <c r="J25" i="5"/>
  <c r="J21" i="5"/>
  <c r="J17" i="5"/>
  <c r="J76" i="5"/>
  <c r="AJ99" i="5" s="1"/>
  <c r="AK99" i="5" s="1"/>
  <c r="AP99" i="5" s="1"/>
  <c r="J72" i="5"/>
  <c r="AJ95" i="5" s="1"/>
  <c r="AK95" i="5" s="1"/>
  <c r="AP95" i="5" s="1"/>
  <c r="J68" i="5"/>
  <c r="J64" i="5"/>
  <c r="J60" i="5"/>
  <c r="J56" i="5"/>
  <c r="J52" i="5"/>
  <c r="J48" i="5"/>
  <c r="J44" i="5"/>
  <c r="J40" i="5"/>
  <c r="J36" i="5"/>
  <c r="J32" i="5"/>
  <c r="J28" i="5"/>
  <c r="J24" i="5"/>
  <c r="J20" i="5"/>
  <c r="J16" i="5"/>
  <c r="J75" i="5"/>
  <c r="AJ98" i="5" s="1"/>
  <c r="AK98" i="5" s="1"/>
  <c r="AP98" i="5" s="1"/>
  <c r="J71" i="5"/>
  <c r="AJ94" i="5" s="1"/>
  <c r="AK94" i="5" s="1"/>
  <c r="AP94" i="5" s="1"/>
  <c r="J67" i="5"/>
  <c r="J63" i="5"/>
  <c r="J59" i="5"/>
  <c r="J55" i="5"/>
  <c r="J51" i="5"/>
  <c r="J47" i="5"/>
  <c r="J43" i="5"/>
  <c r="J39" i="5"/>
  <c r="J35" i="5"/>
  <c r="J31" i="5"/>
  <c r="J27" i="5"/>
  <c r="J23" i="5"/>
  <c r="J19" i="5"/>
  <c r="I18" i="7" l="1"/>
  <c r="AB15" i="7" s="1"/>
  <c r="AB16" i="7" s="1"/>
  <c r="H19" i="7"/>
  <c r="H22" i="7"/>
  <c r="H26" i="7" s="1"/>
  <c r="N25" i="8"/>
  <c r="N28" i="8" s="1"/>
  <c r="N32" i="8" s="1"/>
  <c r="W14" i="5"/>
  <c r="J18" i="7" l="1"/>
  <c r="AC15" i="7" s="1"/>
  <c r="AC16" i="7" s="1"/>
  <c r="I22" i="7"/>
  <c r="I26" i="7" s="1"/>
  <c r="I19" i="7"/>
  <c r="O25" i="8"/>
  <c r="Q82" i="5"/>
  <c r="K18" i="7" l="1"/>
  <c r="AD15" i="7" s="1"/>
  <c r="AD16" i="7" s="1"/>
  <c r="J19" i="7"/>
  <c r="J22" i="7"/>
  <c r="J26" i="7" s="1"/>
  <c r="O28" i="8"/>
  <c r="O32" i="8" s="1"/>
  <c r="P25" i="8"/>
  <c r="P28" i="8" s="1"/>
  <c r="Q75" i="5"/>
  <c r="Q12" i="5"/>
  <c r="L18" i="7" l="1"/>
  <c r="AE15" i="7" s="1"/>
  <c r="AE16" i="7" s="1"/>
  <c r="K22" i="7"/>
  <c r="K26" i="7" s="1"/>
  <c r="K19" i="7"/>
  <c r="P32" i="8"/>
  <c r="F34" i="8"/>
  <c r="F35" i="8" s="1"/>
  <c r="F36" i="8" s="1"/>
  <c r="F38" i="8" s="1"/>
  <c r="F41" i="8" s="1"/>
  <c r="F43" i="8" s="1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14" i="5"/>
  <c r="L22" i="7" l="1"/>
  <c r="L26" i="7" s="1"/>
  <c r="C32" i="7" s="1"/>
  <c r="C35" i="7" s="1"/>
  <c r="C37" i="7" s="1"/>
  <c r="L19" i="7"/>
  <c r="B8" i="5"/>
  <c r="B6" i="5"/>
  <c r="B7" i="5"/>
</calcChain>
</file>

<file path=xl/sharedStrings.xml><?xml version="1.0" encoding="utf-8"?>
<sst xmlns="http://schemas.openxmlformats.org/spreadsheetml/2006/main" count="908" uniqueCount="768">
  <si>
    <t>INCOME STATEMENT</t>
  </si>
  <si>
    <t>Operating Revenue</t>
  </si>
  <si>
    <t>Total Revenue</t>
  </si>
  <si>
    <t>Adjustments To Revenue</t>
  </si>
  <si>
    <t>Cost Of Sales</t>
  </si>
  <si>
    <t>Cost Of Sales With Depreciation</t>
  </si>
  <si>
    <t>Gross Margin</t>
  </si>
  <si>
    <t>Gross Operating Profit</t>
  </si>
  <si>
    <t>Research &amp; Development (R&amp;D) Expense</t>
  </si>
  <si>
    <t>Selling, General &amp; Administrative (SG&amp;A) Expense</t>
  </si>
  <si>
    <t>Advertising</t>
  </si>
  <si>
    <t>Operating Income</t>
  </si>
  <si>
    <t>EBITDA</t>
  </si>
  <si>
    <t>Depreciation</t>
  </si>
  <si>
    <t>Depreciation (Unrecognized)</t>
  </si>
  <si>
    <t>Amortization</t>
  </si>
  <si>
    <t>Amortization Of Intangibles</t>
  </si>
  <si>
    <t>Operating Profit After Depreciation</t>
  </si>
  <si>
    <t>Interest Income</t>
  </si>
  <si>
    <t>Earnings From Equity Interest</t>
  </si>
  <si>
    <t>Other Income Net</t>
  </si>
  <si>
    <t>Income, Acquired In Process R&amp;A</t>
  </si>
  <si>
    <t>Income, Restructuring And M&amp;A</t>
  </si>
  <si>
    <t>Other Special Charges</t>
  </si>
  <si>
    <t>Special Income Charges</t>
  </si>
  <si>
    <t>EBIT</t>
  </si>
  <si>
    <t>Interest Expense</t>
  </si>
  <si>
    <t>Pre-Tax Income</t>
  </si>
  <si>
    <t>Income Taxes</t>
  </si>
  <si>
    <t>Minority Interest</t>
  </si>
  <si>
    <t>Pref. Securities Of Subsid. Trust</t>
  </si>
  <si>
    <t>Income Before Income Taxes</t>
  </si>
  <si>
    <t>Net Income (Continuing Operations)</t>
  </si>
  <si>
    <t>Net Income (Discontinued Operations)</t>
  </si>
  <si>
    <t>Net Income (Total Operations)</t>
  </si>
  <si>
    <t>Extraordinary Income/Losses</t>
  </si>
  <si>
    <t>Income From Cum. Effect Of Acct. Change</t>
  </si>
  <si>
    <t>Income From Tax Loss Carryforward</t>
  </si>
  <si>
    <t>Other Gains/Losses</t>
  </si>
  <si>
    <t>Total Net Income</t>
  </si>
  <si>
    <t>Normalized Income</t>
  </si>
  <si>
    <t>Net Income Available For Common</t>
  </si>
  <si>
    <t>Preferred Dividends</t>
  </si>
  <si>
    <t>Excise Taxes</t>
  </si>
  <si>
    <t>Basic EPS (Continuing)</t>
  </si>
  <si>
    <t>Basic EPS (Discontinued)</t>
  </si>
  <si>
    <t>Basic EPS From Total Operations</t>
  </si>
  <si>
    <t>Basic EPS (Extraordinary Items)</t>
  </si>
  <si>
    <t>Basic EPS (Cum. Effect Of Acct. Change)</t>
  </si>
  <si>
    <t>Basic EPS (Tax Loss Carry Forward)</t>
  </si>
  <si>
    <t>Basic EPS (Other Gains/Losses)</t>
  </si>
  <si>
    <t>Basic EPS - Total</t>
  </si>
  <si>
    <t>Basic EPS - Normalized</t>
  </si>
  <si>
    <t>Diluted EPS (Continuing)</t>
  </si>
  <si>
    <t>Diluted EPS (Discontinued)</t>
  </si>
  <si>
    <t>Diluted EPS From Total Operations</t>
  </si>
  <si>
    <t>Diluted EPS (Extraordinary)</t>
  </si>
  <si>
    <t>Diluted EPS (Cum. Effect Of Acct. Change)</t>
  </si>
  <si>
    <t>Diluted EPS (Tax Loss Carry Forward)</t>
  </si>
  <si>
    <t>Diluted EPS (Other Gains/Losses)</t>
  </si>
  <si>
    <t>Diluted EPS - Total</t>
  </si>
  <si>
    <t>Diluted EPS - Normalized</t>
  </si>
  <si>
    <t>Dividends Paid Per Share (DPS)</t>
  </si>
  <si>
    <t>BALANCE SHEET</t>
  </si>
  <si>
    <t>ASSETS</t>
  </si>
  <si>
    <t>Cash &amp; Equivalents</t>
  </si>
  <si>
    <t>Restricted Cash</t>
  </si>
  <si>
    <t>Marketable Securities</t>
  </si>
  <si>
    <t>Accounts Receivable</t>
  </si>
  <si>
    <t>Loans Receivable</t>
  </si>
  <si>
    <t>Other Receivable</t>
  </si>
  <si>
    <t>Receivables</t>
  </si>
  <si>
    <t>Inventories, Raw Materials</t>
  </si>
  <si>
    <t>Inventories, Work In Progress</t>
  </si>
  <si>
    <t>Inventories, Purchased Components</t>
  </si>
  <si>
    <t>Inventories, Finished Goods</t>
  </si>
  <si>
    <t>Inventories, Other</t>
  </si>
  <si>
    <t>Inventories, Adjustments &amp; Allowances</t>
  </si>
  <si>
    <t>Inventories</t>
  </si>
  <si>
    <t>Prepaid Expenses</t>
  </si>
  <si>
    <t>Current Defered Income Taxes</t>
  </si>
  <si>
    <t>Other Current Assets</t>
  </si>
  <si>
    <t>Total Current Assets</t>
  </si>
  <si>
    <t>Land And Improvements</t>
  </si>
  <si>
    <t>Building And Improvements</t>
  </si>
  <si>
    <t>Machinery, Furniture &amp; Equipment</t>
  </si>
  <si>
    <t>Construction In Progress</t>
  </si>
  <si>
    <t>Other Fixed Assets</t>
  </si>
  <si>
    <t>Total Fixed Assets</t>
  </si>
  <si>
    <t>Gross Fixed Assets</t>
  </si>
  <si>
    <t>Accumulated Depreciation</t>
  </si>
  <si>
    <t>Net Fixed Assets</t>
  </si>
  <si>
    <t>Intangibles</t>
  </si>
  <si>
    <t>Cost In Excess</t>
  </si>
  <si>
    <t>Non-Current Deferred Income Taxes</t>
  </si>
  <si>
    <t>Other Non-Current Assets</t>
  </si>
  <si>
    <t>Total Non-Current Assets</t>
  </si>
  <si>
    <t>Total Assets</t>
  </si>
  <si>
    <t>Inventory Valuation Method</t>
  </si>
  <si>
    <t>C</t>
  </si>
  <si>
    <t>EQUITY &amp; LIABILITIES</t>
  </si>
  <si>
    <t>Accounts Payable</t>
  </si>
  <si>
    <t>Notes Payable</t>
  </si>
  <si>
    <t>Short-Term Debt</t>
  </si>
  <si>
    <t>Accrued Expenses</t>
  </si>
  <si>
    <t>Accrued Liabilities</t>
  </si>
  <si>
    <t>Deferred Revenues</t>
  </si>
  <si>
    <t>Current Deferred Income Taxes</t>
  </si>
  <si>
    <t>Other Current Liabilities</t>
  </si>
  <si>
    <t>Total Current Liabilities</t>
  </si>
  <si>
    <t>Long-Term Debt</t>
  </si>
  <si>
    <t>Capital Lease Obligations</t>
  </si>
  <si>
    <t>Deferred Income Taxes</t>
  </si>
  <si>
    <t>Other Non-Current Liabilities</t>
  </si>
  <si>
    <t>Minority Interest Liability</t>
  </si>
  <si>
    <t>Preferred Secur. Of Subsid. Trust</t>
  </si>
  <si>
    <t>Preferred Equity Outside Stock Equity</t>
  </si>
  <si>
    <t>Total Non-Current Liabilities</t>
  </si>
  <si>
    <t>Total Liabilities</t>
  </si>
  <si>
    <t>Preferred Stock Equity</t>
  </si>
  <si>
    <t>Common Stock Equity</t>
  </si>
  <si>
    <t>Common Par</t>
  </si>
  <si>
    <t>Additional Paid-In Capital</t>
  </si>
  <si>
    <t>Cumulative Translation Adjustments</t>
  </si>
  <si>
    <t>Retained Earnings</t>
  </si>
  <si>
    <t>Treasury Stock</t>
  </si>
  <si>
    <t>Other Equity Adjustments</t>
  </si>
  <si>
    <t>Total Capitalization</t>
  </si>
  <si>
    <t>Total Equity</t>
  </si>
  <si>
    <t>Total Liabilities &amp; Stock Equity</t>
  </si>
  <si>
    <t>Cash Flow</t>
  </si>
  <si>
    <t>Working Capital</t>
  </si>
  <si>
    <t>Free Cash Flow</t>
  </si>
  <si>
    <t>Invested Capital</t>
  </si>
  <si>
    <t>Shares Out (Common Class Only)</t>
  </si>
  <si>
    <t>Preferred Shares</t>
  </si>
  <si>
    <t>Total Ordinary Shares</t>
  </si>
  <si>
    <t>Total Common Shares Out</t>
  </si>
  <si>
    <t>Treasury Shares</t>
  </si>
  <si>
    <t>Basic Weighted Shares</t>
  </si>
  <si>
    <t>Diluted Weighted Shares</t>
  </si>
  <si>
    <t>Number Of Employees</t>
  </si>
  <si>
    <t>CASH-FLOW STATEMENT</t>
  </si>
  <si>
    <t>OPERATING ACTIVITIES</t>
  </si>
  <si>
    <t>Net Income/Loss</t>
  </si>
  <si>
    <t>Operating Gains</t>
  </si>
  <si>
    <t>Extraordinary Gains</t>
  </si>
  <si>
    <t>(Increase) Decrease In Receivables</t>
  </si>
  <si>
    <t>(Increase) Decrease In Inventories</t>
  </si>
  <si>
    <t>(Increase) Decrease In Prepaid Expenses</t>
  </si>
  <si>
    <t>(Increase) Decrease In Other Current Assets</t>
  </si>
  <si>
    <t>Decrease (Increase) In Payables</t>
  </si>
  <si>
    <t>Decrease (Increase) In Other Current Liabilities</t>
  </si>
  <si>
    <t>Decrease (Increase) In Other Working Capital</t>
  </si>
  <si>
    <t>Other Non-Cash Items</t>
  </si>
  <si>
    <t>Net Cash From Continuing Operations</t>
  </si>
  <si>
    <t>Net Cash From Discontinued Operations</t>
  </si>
  <si>
    <t>Net Cash From Total Operating Activities</t>
  </si>
  <si>
    <t>INVESTING ACTIVITIES</t>
  </si>
  <si>
    <t>Sale Of Property, Plant &amp; Equipment</t>
  </si>
  <si>
    <t>Sale Of Long-Term Investments</t>
  </si>
  <si>
    <t>Sale Of Short-Term Investments</t>
  </si>
  <si>
    <t>Purchase Of Property, Plant &amp; Equipment</t>
  </si>
  <si>
    <t>Acquisitions</t>
  </si>
  <si>
    <t>Purchase Of Long-Term Investments</t>
  </si>
  <si>
    <t>Purchase Of Short-Term Investments</t>
  </si>
  <si>
    <t>Other Investing Changes, Net</t>
  </si>
  <si>
    <t>Cash From Discontinued Investing Activities</t>
  </si>
  <si>
    <t>Net Cash From Investing Activities</t>
  </si>
  <si>
    <t>FINANCING ACTIVITIES</t>
  </si>
  <si>
    <t>Issuance Of Debt</t>
  </si>
  <si>
    <t>Issuance Of Capital Stock</t>
  </si>
  <si>
    <t>Repayment Of Long-Term Debt</t>
  </si>
  <si>
    <t>Repurchase Of Capital Stock</t>
  </si>
  <si>
    <t>Payment Of Cash Dividends</t>
  </si>
  <si>
    <t>Other Financing Charges, Net</t>
  </si>
  <si>
    <t>Cash From Discontinued Financing Activities</t>
  </si>
  <si>
    <t>Net Cash From Financing Activities</t>
  </si>
  <si>
    <t>NET CASH FLOW</t>
  </si>
  <si>
    <t>Effect Exchange Rate Changes</t>
  </si>
  <si>
    <t>Net Change In Cash &amp; Equivalents</t>
  </si>
  <si>
    <t>Cash At Beginning Of Period</t>
  </si>
  <si>
    <t>Cash End Of Period</t>
  </si>
  <si>
    <t>RATIOS CALCULATIONS</t>
  </si>
  <si>
    <t>PROFIT MARGINS</t>
  </si>
  <si>
    <t>Close PE Ratio</t>
  </si>
  <si>
    <t>High PE Ratio</t>
  </si>
  <si>
    <t>Low PE Ratio</t>
  </si>
  <si>
    <t>Gross Profit Margin</t>
  </si>
  <si>
    <t>Pre-Tax Profit Margin</t>
  </si>
  <si>
    <t>Post-Tax Profit Margin</t>
  </si>
  <si>
    <t>Net Profit Margin</t>
  </si>
  <si>
    <t>Interest Coverage (Cont. Operations)</t>
  </si>
  <si>
    <t>Interest As % Of Invested Capital</t>
  </si>
  <si>
    <t>Effective Tax Rate</t>
  </si>
  <si>
    <t>Income Per Employee</t>
  </si>
  <si>
    <t>NORMALIZED RATIOS</t>
  </si>
  <si>
    <t>Normalized Close PE Ratio</t>
  </si>
  <si>
    <t>Normalized High PE Ratio</t>
  </si>
  <si>
    <t>Normalized Low PE Ratio</t>
  </si>
  <si>
    <t>Normalized Net Profit Margin</t>
  </si>
  <si>
    <t>Normalized ROE</t>
  </si>
  <si>
    <t>Normalized ROA</t>
  </si>
  <si>
    <t>Normalized ROCI</t>
  </si>
  <si>
    <t>Normalized Income Per Employee</t>
  </si>
  <si>
    <t>SOLVENCY RATIOS</t>
  </si>
  <si>
    <t>Quick Ratio</t>
  </si>
  <si>
    <t>Current Ratio</t>
  </si>
  <si>
    <t>Payout Ratio</t>
  </si>
  <si>
    <t>Total Debt/Equity Ratio</t>
  </si>
  <si>
    <t>Long-Term Debt/Total Capital</t>
  </si>
  <si>
    <t>EFFICIENCY RATIOS</t>
  </si>
  <si>
    <t>Leverage Ratio</t>
  </si>
  <si>
    <t>Asset Turnover</t>
  </si>
  <si>
    <t>Cash As % Of Revenue</t>
  </si>
  <si>
    <t>Receivables As % Of Revenue</t>
  </si>
  <si>
    <t>SG&amp;A As % Of Revenue</t>
  </si>
  <si>
    <t>R&amp;D As % Of Revenue</t>
  </si>
  <si>
    <t>ACTIVITY RATIOS</t>
  </si>
  <si>
    <t>Revenue Per $ Cash</t>
  </si>
  <si>
    <t>Revenue Per $ Plant (Net)</t>
  </si>
  <si>
    <t>Revenue Per $ Common Equity</t>
  </si>
  <si>
    <t>Revenue Per $ Invested Capital</t>
  </si>
  <si>
    <t>LIQUIDITY RATIOS</t>
  </si>
  <si>
    <t>Receivables Turnover</t>
  </si>
  <si>
    <t>Inventory Turnover</t>
  </si>
  <si>
    <t>Receivables Per Day Sales</t>
  </si>
  <si>
    <t>Sales Per $ Receivables</t>
  </si>
  <si>
    <t>Sales Per $ Inventory</t>
  </si>
  <si>
    <t>Revenue/Assets</t>
  </si>
  <si>
    <t>Number Of Days Cost Of Goods In Inventory</t>
  </si>
  <si>
    <t>Current Assets Per Share</t>
  </si>
  <si>
    <t>Total Assets Per Share</t>
  </si>
  <si>
    <t>Intangibles As % Of Book-Value</t>
  </si>
  <si>
    <t>Inventory As % Of Revenue</t>
  </si>
  <si>
    <t>CAPITAL STRUCTURE RATIOS</t>
  </si>
  <si>
    <t>Long-Term Debt Per Share</t>
  </si>
  <si>
    <t>Current Liabilities Per Share</t>
  </si>
  <si>
    <t>Cash Per Share</t>
  </si>
  <si>
    <t>LT-Debt To Equity Ratio</t>
  </si>
  <si>
    <t>LT-Debt As % Of Invested Capital</t>
  </si>
  <si>
    <t>LT-Debt As % Of Total Debt</t>
  </si>
  <si>
    <t>Total Debt As % Total Assets</t>
  </si>
  <si>
    <t>Working Captial As % Of Equity</t>
  </si>
  <si>
    <t>Revenue Per Share</t>
  </si>
  <si>
    <t>Book Value Per Share</t>
  </si>
  <si>
    <t>Tangible Book Value Per Share</t>
  </si>
  <si>
    <t>Price/Revenue Ratio</t>
  </si>
  <si>
    <t>Price/Equity Ratio</t>
  </si>
  <si>
    <t>Price/Tangible Book Ratio</t>
  </si>
  <si>
    <t>Working Capital As % Of Price</t>
  </si>
  <si>
    <t>PROFITABILITY</t>
  </si>
  <si>
    <t>Working Capital Per Share</t>
  </si>
  <si>
    <t>Cash Flow Per Share</t>
  </si>
  <si>
    <t>Free Cash Flow Per Share</t>
  </si>
  <si>
    <t>Return On Stock Equity (ROE)</t>
  </si>
  <si>
    <t>Return On Capital Invested (ROCI)</t>
  </si>
  <si>
    <t>Return On Assets (ROA)</t>
  </si>
  <si>
    <t>Price/Cash Flow Ratio</t>
  </si>
  <si>
    <t>Price/Free Cash Flow Ratio</t>
  </si>
  <si>
    <t>Sales Per Employee</t>
  </si>
  <si>
    <t>AGAINST THE INDUSTRY RATIOS</t>
  </si>
  <si>
    <t>% Of Sales-To-Industry</t>
  </si>
  <si>
    <t>% Of Earnings-To-Industry</t>
  </si>
  <si>
    <t>% Of EPS-To-Industry</t>
  </si>
  <si>
    <t>% Of Price-To-Industry</t>
  </si>
  <si>
    <t>% Of PE-To-Industry</t>
  </si>
  <si>
    <t>% Of Price/Book-To-Industry</t>
  </si>
  <si>
    <t>% Of Price/Sales-To-Industry</t>
  </si>
  <si>
    <t>% Of Price/Cashflow-To-Industry</t>
  </si>
  <si>
    <t>% Of Pric/Free Cashlow-To-Industry</t>
  </si>
  <si>
    <t>% Of Debt/Equity-To-Industry</t>
  </si>
  <si>
    <t>% Of Current Ratio-To-Industry</t>
  </si>
  <si>
    <t>% Of Gross Profit Margin-To-Industry</t>
  </si>
  <si>
    <t>% Of Pre-Tax Profit Margin-To-Industry</t>
  </si>
  <si>
    <t>% Of Post-Tax Profit Margin-To-Industry</t>
  </si>
  <si>
    <t>% Of Net Profit Margin-To-Industry</t>
  </si>
  <si>
    <t>% Of ROE-To-Industry</t>
  </si>
  <si>
    <t>% Of Leverage-To-Industry</t>
  </si>
  <si>
    <t>Year</t>
    <phoneticPr fontId="5" type="noConversion"/>
  </si>
  <si>
    <t>Beta Analysis</t>
    <phoneticPr fontId="5" type="noConversion"/>
  </si>
  <si>
    <t>COMUPTING BETA FOR SJR</t>
    <phoneticPr fontId="5" type="noConversion"/>
  </si>
  <si>
    <t>MONTHLY RETURN FOR SJR AND S&amp;P STX (2009-2012)</t>
    <phoneticPr fontId="5" type="noConversion"/>
  </si>
  <si>
    <t>Price</t>
    <phoneticPr fontId="5" type="noConversion"/>
  </si>
  <si>
    <t>Date</t>
    <phoneticPr fontId="5" type="noConversion"/>
  </si>
  <si>
    <t>SJR</t>
    <phoneticPr fontId="5" type="noConversion"/>
  </si>
  <si>
    <t>TSX</t>
    <phoneticPr fontId="5" type="noConversion"/>
  </si>
  <si>
    <t>Return</t>
    <phoneticPr fontId="5" type="noConversion"/>
  </si>
  <si>
    <t>TSX</t>
    <phoneticPr fontId="5" type="noConversion"/>
  </si>
  <si>
    <t>Alpha</t>
    <phoneticPr fontId="5" type="noConversion"/>
  </si>
  <si>
    <t>Beta</t>
    <phoneticPr fontId="5" type="noConversion"/>
  </si>
  <si>
    <t>R-Squared</t>
    <phoneticPr fontId="5" type="noConversion"/>
  </si>
  <si>
    <t>Yahoo</t>
    <phoneticPr fontId="5" type="noConversion"/>
  </si>
  <si>
    <t>Bloomberg</t>
    <phoneticPr fontId="5" type="noConversion"/>
  </si>
  <si>
    <t>Summary Output</t>
    <phoneticPr fontId="5" type="noConversion"/>
  </si>
  <si>
    <t>Regression Statistics</t>
    <phoneticPr fontId="5" type="noConversion"/>
  </si>
  <si>
    <t>Multiple R</t>
    <phoneticPr fontId="5" type="noConversion"/>
  </si>
  <si>
    <t>Adjusted R Square</t>
    <phoneticPr fontId="5" type="noConversion"/>
  </si>
  <si>
    <t>Standard Error</t>
    <phoneticPr fontId="5" type="noConversion"/>
  </si>
  <si>
    <t>Observations</t>
    <phoneticPr fontId="5" type="noConversion"/>
  </si>
  <si>
    <t>ANOVA</t>
    <phoneticPr fontId="5" type="noConversion"/>
  </si>
  <si>
    <t>df</t>
    <phoneticPr fontId="5" type="noConversion"/>
  </si>
  <si>
    <t>SS</t>
    <phoneticPr fontId="5" type="noConversion"/>
  </si>
  <si>
    <t>MS</t>
    <phoneticPr fontId="5" type="noConversion"/>
  </si>
  <si>
    <t>F</t>
    <phoneticPr fontId="5" type="noConversion"/>
  </si>
  <si>
    <t>Significance F</t>
    <phoneticPr fontId="5" type="noConversion"/>
  </si>
  <si>
    <t>Regression</t>
    <phoneticPr fontId="5" type="noConversion"/>
  </si>
  <si>
    <t>Residual</t>
    <phoneticPr fontId="5" type="noConversion"/>
  </si>
  <si>
    <t>Total</t>
    <phoneticPr fontId="5" type="noConversion"/>
  </si>
  <si>
    <t>Google</t>
    <phoneticPr fontId="5" type="noConversion"/>
  </si>
  <si>
    <t>calculated</t>
    <phoneticPr fontId="5" type="noConversion"/>
  </si>
  <si>
    <t>Beta Analysis</t>
    <phoneticPr fontId="5" type="noConversion"/>
  </si>
  <si>
    <t>Euler's Formula</t>
    <phoneticPr fontId="5" type="noConversion"/>
  </si>
  <si>
    <t>THE GORDON MODEL COST OF EQUITY</t>
  </si>
  <si>
    <r>
      <t>Current Share Price, P</t>
    </r>
    <r>
      <rPr>
        <sz val="10"/>
        <color theme="1"/>
        <rFont val="Times New Roman"/>
        <family val="1"/>
      </rPr>
      <t>0</t>
    </r>
    <phoneticPr fontId="5" type="noConversion"/>
  </si>
  <si>
    <t>Current Dividend Growth Rate</t>
    <phoneticPr fontId="5" type="noConversion"/>
  </si>
  <si>
    <t>Anticipated Dividend Growth Rate</t>
    <phoneticPr fontId="5" type="noConversion"/>
  </si>
  <si>
    <t>Gordon Model Cost of Equity, Re</t>
    <phoneticPr fontId="5" type="noConversion"/>
  </si>
  <si>
    <t>Classic CAPM: Re = Rf +β (Rm - Rf)</t>
    <phoneticPr fontId="5" type="noConversion"/>
  </si>
  <si>
    <t>Risk Free Rate, Rf</t>
    <phoneticPr fontId="5" type="noConversion"/>
  </si>
  <si>
    <t>Expected Market Return Rm</t>
    <phoneticPr fontId="5" type="noConversion"/>
  </si>
  <si>
    <t>Tax-adjusted CAPM: Re = Rf(1-T) + β[(Rm-Rf(1-T)]</t>
    <phoneticPr fontId="5" type="noConversion"/>
  </si>
  <si>
    <t>COMPUTING UNLEVERED BETA</t>
    <phoneticPr fontId="5" type="noConversion"/>
  </si>
  <si>
    <t>Formula</t>
    <phoneticPr fontId="5" type="noConversion"/>
  </si>
  <si>
    <t>Unlevered Beta</t>
    <phoneticPr fontId="5" type="noConversion"/>
  </si>
  <si>
    <t>Financial Levered and Betas</t>
    <phoneticPr fontId="5" type="noConversion"/>
  </si>
  <si>
    <t>Debt to Capital</t>
    <phoneticPr fontId="5" type="noConversion"/>
  </si>
  <si>
    <t>D/E Ratio</t>
    <phoneticPr fontId="5" type="noConversion"/>
  </si>
  <si>
    <t>Beta</t>
    <phoneticPr fontId="5" type="noConversion"/>
  </si>
  <si>
    <t>R-square</t>
    <phoneticPr fontId="5" type="noConversion"/>
  </si>
  <si>
    <t>Recommended</t>
    <phoneticPr fontId="5" type="noConversion"/>
  </si>
  <si>
    <t>WACC Analysis</t>
    <phoneticPr fontId="5" type="noConversion"/>
  </si>
  <si>
    <t>Cost of Equity Analysis</t>
    <phoneticPr fontId="5" type="noConversion"/>
  </si>
  <si>
    <t>Cash and cash equivalents</t>
    <phoneticPr fontId="5" type="noConversion"/>
  </si>
  <si>
    <t>Short-term borrowings</t>
    <phoneticPr fontId="5" type="noConversion"/>
  </si>
  <si>
    <t>Current portion of long-term debt</t>
    <phoneticPr fontId="5" type="noConversion"/>
  </si>
  <si>
    <t>long-term debt</t>
    <phoneticPr fontId="5" type="noConversion"/>
  </si>
  <si>
    <t>Interest and other debt expense, net</t>
    <phoneticPr fontId="5" type="noConversion"/>
  </si>
  <si>
    <t>Net debt</t>
    <phoneticPr fontId="5" type="noConversion"/>
  </si>
  <si>
    <t>Total debt</t>
    <phoneticPr fontId="5" type="noConversion"/>
  </si>
  <si>
    <t>Cash Paid:</t>
    <phoneticPr fontId="5" type="noConversion"/>
  </si>
  <si>
    <t>Interest</t>
    <phoneticPr fontId="5" type="noConversion"/>
  </si>
  <si>
    <t>Interest Cost</t>
    <phoneticPr fontId="5" type="noConversion"/>
  </si>
  <si>
    <t>COMPUTING THE COST OF DEBT FOR SJR</t>
    <phoneticPr fontId="5" type="noConversion"/>
  </si>
  <si>
    <t>Description</t>
    <phoneticPr fontId="5" type="noConversion"/>
  </si>
  <si>
    <t>Rretax Interest Coverage</t>
    <phoneticPr fontId="5" type="noConversion"/>
  </si>
  <si>
    <t>EBITDA Interest Coverage</t>
    <phoneticPr fontId="5" type="noConversion"/>
  </si>
  <si>
    <t>Funds from Operations/ Total Debt</t>
    <phoneticPr fontId="5" type="noConversion"/>
  </si>
  <si>
    <t>Free Operating Cashflow/ Total Debt</t>
    <phoneticPr fontId="5" type="noConversion"/>
  </si>
  <si>
    <t>Pretax Return on Permanent Capital</t>
    <phoneticPr fontId="5" type="noConversion"/>
  </si>
  <si>
    <t>Operating Income/ Sales</t>
    <phoneticPr fontId="5" type="noConversion"/>
  </si>
  <si>
    <t>Ratio</t>
    <phoneticPr fontId="5" type="noConversion"/>
  </si>
  <si>
    <t>FINANCIAL RATIOS</t>
    <phoneticPr fontId="5" type="noConversion"/>
  </si>
  <si>
    <t>FINANCIAL RATIOS BY BOND RATING</t>
    <phoneticPr fontId="5" type="noConversion"/>
  </si>
  <si>
    <t>EBIT interest cov.</t>
    <phoneticPr fontId="5" type="noConversion"/>
  </si>
  <si>
    <t>EBITDA interest cov.</t>
    <phoneticPr fontId="5" type="noConversion"/>
  </si>
  <si>
    <t>Funds flow/total debt</t>
    <phoneticPr fontId="5" type="noConversion"/>
  </si>
  <si>
    <t>Free oper. Cash flow/ total debt (%)</t>
    <phoneticPr fontId="5" type="noConversion"/>
  </si>
  <si>
    <t>Return on capital (%)</t>
    <phoneticPr fontId="5" type="noConversion"/>
  </si>
  <si>
    <t>Oper. Income/ sales (%)</t>
    <phoneticPr fontId="5" type="noConversion"/>
  </si>
  <si>
    <t>Long-term debt/capital (%)</t>
    <phoneticPr fontId="5" type="noConversion"/>
  </si>
  <si>
    <t>Total Debt/ Capital (%)</t>
    <phoneticPr fontId="5" type="noConversion"/>
  </si>
  <si>
    <t>Number of firms</t>
    <phoneticPr fontId="5" type="noConversion"/>
  </si>
  <si>
    <t>AAA</t>
    <phoneticPr fontId="5" type="noConversion"/>
  </si>
  <si>
    <t>AA</t>
    <phoneticPr fontId="5" type="noConversion"/>
  </si>
  <si>
    <t>A</t>
    <phoneticPr fontId="5" type="noConversion"/>
  </si>
  <si>
    <t>BBB</t>
    <phoneticPr fontId="5" type="noConversion"/>
  </si>
  <si>
    <t>BB</t>
    <phoneticPr fontId="5" type="noConversion"/>
  </si>
  <si>
    <t>B</t>
    <phoneticPr fontId="5" type="noConversion"/>
  </si>
  <si>
    <t>CCC</t>
    <phoneticPr fontId="5" type="noConversion"/>
  </si>
  <si>
    <t>Source: Standard and Poors</t>
    <phoneticPr fontId="5" type="noConversion"/>
  </si>
  <si>
    <t>BB</t>
    <phoneticPr fontId="5" type="noConversion"/>
  </si>
  <si>
    <t>AA</t>
    <phoneticPr fontId="5" type="noConversion"/>
  </si>
  <si>
    <t>BOND RATINGS AND INTEREST RATES</t>
    <phoneticPr fontId="5" type="noConversion"/>
  </si>
  <si>
    <t>Interest Spread</t>
    <phoneticPr fontId="5" type="noConversion"/>
  </si>
  <si>
    <t>Risk Free Rate</t>
    <phoneticPr fontId="5" type="noConversion"/>
  </si>
  <si>
    <t>Cost of Debt</t>
    <phoneticPr fontId="5" type="noConversion"/>
  </si>
  <si>
    <t>Cost of Debt</t>
    <phoneticPr fontId="5" type="noConversion"/>
  </si>
  <si>
    <t>Cost of Debt Analysis</t>
    <phoneticPr fontId="5" type="noConversion"/>
  </si>
  <si>
    <t>Synthetic Rating for SJR</t>
    <phoneticPr fontId="5" type="noConversion"/>
  </si>
  <si>
    <t xml:space="preserve">COMPUTING D/E RATIO USING HISTORICAL BOOK VALUE </t>
    <phoneticPr fontId="5" type="noConversion"/>
  </si>
  <si>
    <t>Total Debt</t>
    <phoneticPr fontId="5" type="noConversion"/>
  </si>
  <si>
    <t>Total Equity</t>
    <phoneticPr fontId="5" type="noConversion"/>
  </si>
  <si>
    <t>D/E Ratio</t>
    <phoneticPr fontId="5" type="noConversion"/>
  </si>
  <si>
    <t>Target D/E ratio</t>
    <phoneticPr fontId="5" type="noConversion"/>
  </si>
  <si>
    <t>Standard Dev</t>
    <phoneticPr fontId="5" type="noConversion"/>
  </si>
  <si>
    <t>COMPUTING D/E RATIO BY ESTIMATING MV OF DEBT</t>
    <phoneticPr fontId="5" type="noConversion"/>
  </si>
  <si>
    <t>Formula</t>
    <phoneticPr fontId="5" type="noConversion"/>
  </si>
  <si>
    <t>Interest Expense on Debt, 2012</t>
    <phoneticPr fontId="5" type="noConversion"/>
  </si>
  <si>
    <t>Cost of debt</t>
    <phoneticPr fontId="5" type="noConversion"/>
  </si>
  <si>
    <t>Average Maturity of Debt</t>
    <phoneticPr fontId="5" type="noConversion"/>
  </si>
  <si>
    <t>Makret Value of Equity, 2012</t>
    <phoneticPr fontId="5" type="noConversion"/>
  </si>
  <si>
    <t>Book Value of Equity</t>
    <phoneticPr fontId="5" type="noConversion"/>
  </si>
  <si>
    <t>Source form bloomberg</t>
    <phoneticPr fontId="5" type="noConversion"/>
  </si>
  <si>
    <t>Market</t>
    <phoneticPr fontId="5" type="noConversion"/>
  </si>
  <si>
    <t>Book</t>
    <phoneticPr fontId="5" type="noConversion"/>
  </si>
  <si>
    <t>D/E</t>
    <phoneticPr fontId="5" type="noConversion"/>
  </si>
  <si>
    <t>D/V</t>
    <phoneticPr fontId="5" type="noConversion"/>
  </si>
  <si>
    <t>Book Value of Debt, 2012</t>
    <phoneticPr fontId="5" type="noConversion"/>
  </si>
  <si>
    <t>Estimated MV of SJR Debt</t>
    <phoneticPr fontId="5" type="noConversion"/>
  </si>
  <si>
    <t>COMPUTING OPTIMAL D/E RATIO  BY USING UNLEVERED BETA</t>
    <phoneticPr fontId="5" type="noConversion"/>
  </si>
  <si>
    <t>Debt Ratio</t>
    <phoneticPr fontId="5" type="noConversion"/>
  </si>
  <si>
    <t>Beta</t>
    <phoneticPr fontId="5" type="noConversion"/>
  </si>
  <si>
    <t>Cost of Equity</t>
    <phoneticPr fontId="5" type="noConversion"/>
  </si>
  <si>
    <t>Bond Rating</t>
    <phoneticPr fontId="5" type="noConversion"/>
  </si>
  <si>
    <t>Interest rate on debt</t>
    <phoneticPr fontId="5" type="noConversion"/>
  </si>
  <si>
    <t>Tax Rate</t>
    <phoneticPr fontId="5" type="noConversion"/>
  </si>
  <si>
    <t>Cost of Debt(after-tax)</t>
    <phoneticPr fontId="5" type="noConversion"/>
  </si>
  <si>
    <t>Cost of Capital</t>
    <phoneticPr fontId="5" type="noConversion"/>
  </si>
  <si>
    <t>AAA</t>
    <phoneticPr fontId="5" type="noConversion"/>
  </si>
  <si>
    <t>AA</t>
    <phoneticPr fontId="5" type="noConversion"/>
  </si>
  <si>
    <t>A-</t>
    <phoneticPr fontId="5" type="noConversion"/>
  </si>
  <si>
    <t>BB</t>
    <phoneticPr fontId="5" type="noConversion"/>
  </si>
  <si>
    <t>CCC</t>
    <phoneticPr fontId="5" type="noConversion"/>
  </si>
  <si>
    <t>C</t>
    <phoneticPr fontId="5" type="noConversion"/>
  </si>
  <si>
    <t>D/E Ratio Analysis</t>
    <phoneticPr fontId="5" type="noConversion"/>
  </si>
  <si>
    <t>Formula</t>
    <phoneticPr fontId="5" type="noConversion"/>
  </si>
  <si>
    <t>WACC (Normal)</t>
    <phoneticPr fontId="5" type="noConversion"/>
  </si>
  <si>
    <t>SJR Cost of Equity, Re</t>
    <phoneticPr fontId="5" type="noConversion"/>
  </si>
  <si>
    <t>SJR Cost of Equity, Re</t>
    <phoneticPr fontId="5" type="noConversion"/>
  </si>
  <si>
    <t>WACC (Optimal)</t>
    <phoneticPr fontId="5" type="noConversion"/>
  </si>
  <si>
    <t>WACC (Industry)</t>
    <phoneticPr fontId="5" type="noConversion"/>
  </si>
  <si>
    <t>12.76 Year</t>
    <phoneticPr fontId="5" type="noConversion"/>
  </si>
  <si>
    <t>Growth Rate Analysis</t>
    <phoneticPr fontId="5" type="noConversion"/>
  </si>
  <si>
    <t>Adjust Arithmetic Average Growth Rate</t>
    <phoneticPr fontId="5" type="noConversion"/>
  </si>
  <si>
    <t>Adjust Geometric Average Growth Rate</t>
    <phoneticPr fontId="5" type="noConversion"/>
  </si>
  <si>
    <t>Adjust growth rate will exclude abnormal years which are:</t>
    <phoneticPr fontId="5" type="noConversion"/>
  </si>
  <si>
    <t>1997: Asian financial crisis</t>
    <phoneticPr fontId="5" type="noConversion"/>
  </si>
  <si>
    <t>2000: American internet bubble</t>
    <phoneticPr fontId="5" type="noConversion"/>
  </si>
  <si>
    <t>2008: Subprime crsis</t>
    <phoneticPr fontId="5" type="noConversion"/>
  </si>
  <si>
    <t>2010: Sovereign debt crisis</t>
    <phoneticPr fontId="5" type="noConversion"/>
  </si>
  <si>
    <t>Arithmetic Average Free Cashflow Growth Rate for Past 10 Years</t>
    <phoneticPr fontId="5" type="noConversion"/>
  </si>
  <si>
    <t>Geometric Average Revenue Growth Rate for Past 10 Years</t>
    <phoneticPr fontId="5" type="noConversion"/>
  </si>
  <si>
    <t>Arithmetic Average  Revenue Growth Rate for Past 10 Years</t>
    <phoneticPr fontId="5" type="noConversion"/>
  </si>
  <si>
    <t>Geometric Average Free Cashflow Growth Rate for Past 10 Years</t>
    <phoneticPr fontId="5" type="noConversion"/>
  </si>
  <si>
    <t>Arithmetic Average  Revenue Growth Rate for Past 5 Years</t>
    <phoneticPr fontId="5" type="noConversion"/>
  </si>
  <si>
    <t>Geometric Average Revenue Growth Rate for Past 5 Years</t>
    <phoneticPr fontId="5" type="noConversion"/>
  </si>
  <si>
    <t>Arithmetic Average Free Cashflow Growth Rate for Past 5 Years</t>
    <phoneticPr fontId="5" type="noConversion"/>
  </si>
  <si>
    <t>Geometric Average Free Cashflow Growth Rate for Past 5 Years</t>
    <phoneticPr fontId="5" type="noConversion"/>
  </si>
  <si>
    <t>Arithmetic Average Free Cashflow Growth Rate for Past 3 Years</t>
    <phoneticPr fontId="5" type="noConversion"/>
  </si>
  <si>
    <t>Geometric Average Free Cashflow Growth Rate for Past 3 Years</t>
    <phoneticPr fontId="5" type="noConversion"/>
  </si>
  <si>
    <t>LINEAR AND LOG-LINEAR REGRESSION MODELS</t>
    <phoneticPr fontId="5" type="noConversion"/>
  </si>
  <si>
    <t>Formula:</t>
    <phoneticPr fontId="5" type="noConversion"/>
  </si>
  <si>
    <r>
      <t>EPS</t>
    </r>
    <r>
      <rPr>
        <sz val="10"/>
        <color theme="1"/>
        <rFont val="Times New Roman"/>
        <family val="1"/>
      </rPr>
      <t xml:space="preserve">t </t>
    </r>
    <r>
      <rPr>
        <sz val="11"/>
        <color theme="1"/>
        <rFont val="Times New Roman"/>
        <family val="1"/>
      </rPr>
      <t>= a + bt</t>
    </r>
    <phoneticPr fontId="5" type="noConversion"/>
  </si>
  <si>
    <r>
      <t>ln(EPS</t>
    </r>
    <r>
      <rPr>
        <sz val="10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) = a + bt</t>
    </r>
    <phoneticPr fontId="5" type="noConversion"/>
  </si>
  <si>
    <t>ln(EPSt) = Natural logarithm of earnings per share in period t</t>
    <phoneticPr fontId="5" type="noConversion"/>
  </si>
  <si>
    <t>Calendar Year</t>
    <phoneticPr fontId="5" type="noConversion"/>
  </si>
  <si>
    <t>EPS</t>
    <phoneticPr fontId="5" type="noConversion"/>
  </si>
  <si>
    <t>% Change in EPS</t>
    <phoneticPr fontId="5" type="noConversion"/>
  </si>
  <si>
    <t>ln (EPS)</t>
    <phoneticPr fontId="5" type="noConversion"/>
  </si>
  <si>
    <t xml:space="preserve">Growth Rate in Earnings per Share </t>
    <phoneticPr fontId="5" type="noConversion"/>
  </si>
  <si>
    <t>Growth Rate in Earnings per Share</t>
    <phoneticPr fontId="5" type="noConversion"/>
  </si>
  <si>
    <t>SJR Beta</t>
    <phoneticPr fontId="5" type="noConversion"/>
  </si>
  <si>
    <t>SJR Tax Rate, T</t>
    <phoneticPr fontId="5" type="noConversion"/>
  </si>
  <si>
    <t>SJR Beta</t>
    <phoneticPr fontId="5" type="noConversion"/>
  </si>
  <si>
    <t>COMPUTING THE COST OF EQUITY FOR SJR</t>
    <phoneticPr fontId="5" type="noConversion"/>
  </si>
  <si>
    <t>-</t>
    <phoneticPr fontId="5" type="noConversion"/>
  </si>
  <si>
    <t>Linear Regression: EPS = -0.145 +0.165t</t>
    <phoneticPr fontId="5" type="noConversion"/>
  </si>
  <si>
    <t>R^2 = 0.73</t>
    <phoneticPr fontId="5" type="noConversion"/>
  </si>
  <si>
    <t>Log-linear Regression: ln(EPS) = -1.64 + 0.248t</t>
    <phoneticPr fontId="5" type="noConversion"/>
  </si>
  <si>
    <t>R^2 = 0.58</t>
    <phoneticPr fontId="5" type="noConversion"/>
  </si>
  <si>
    <t>GROWTH RATE: STABLE RETURN ON CAPITAL SCENARIO</t>
    <phoneticPr fontId="5" type="noConversion"/>
  </si>
  <si>
    <t>Formula:</t>
    <phoneticPr fontId="5" type="noConversion"/>
  </si>
  <si>
    <t>Expected Growth = Reinvestment Rate * Return on Capital</t>
    <phoneticPr fontId="5" type="noConversion"/>
  </si>
  <si>
    <t>Calendar Year</t>
    <phoneticPr fontId="5" type="noConversion"/>
  </si>
  <si>
    <t>Reinvestment Rate</t>
    <phoneticPr fontId="5" type="noConversion"/>
  </si>
  <si>
    <t>Return on Capital</t>
    <phoneticPr fontId="5" type="noConversion"/>
  </si>
  <si>
    <t>2013E</t>
    <phoneticPr fontId="5" type="noConversion"/>
  </si>
  <si>
    <t>Growth Rate, 2013E</t>
    <phoneticPr fontId="5" type="noConversion"/>
  </si>
  <si>
    <t>ARIMA MODEL</t>
    <phoneticPr fontId="5" type="noConversion"/>
  </si>
  <si>
    <t>Output</t>
    <phoneticPr fontId="5" type="noConversion"/>
  </si>
  <si>
    <t xml:space="preserve">Variable </t>
    <phoneticPr fontId="5" type="noConversion"/>
  </si>
  <si>
    <t>Coefficient</t>
    <phoneticPr fontId="5" type="noConversion"/>
  </si>
  <si>
    <t>Std. Error</t>
    <phoneticPr fontId="5" type="noConversion"/>
  </si>
  <si>
    <t>T-Statistic</t>
    <phoneticPr fontId="5" type="noConversion"/>
  </si>
  <si>
    <t>Prob.</t>
    <phoneticPr fontId="5" type="noConversion"/>
  </si>
  <si>
    <t>AR(1)</t>
    <phoneticPr fontId="5" type="noConversion"/>
  </si>
  <si>
    <t>AR(2)</t>
    <phoneticPr fontId="5" type="noConversion"/>
  </si>
  <si>
    <t>MA(1)</t>
    <phoneticPr fontId="5" type="noConversion"/>
  </si>
  <si>
    <t>R-squared</t>
    <phoneticPr fontId="5" type="noConversion"/>
  </si>
  <si>
    <t>Adjusted R-squared</t>
    <phoneticPr fontId="5" type="noConversion"/>
  </si>
  <si>
    <t>S.E. of Regression</t>
    <phoneticPr fontId="5" type="noConversion"/>
  </si>
  <si>
    <t>Sum Squared Resid</t>
    <phoneticPr fontId="5" type="noConversion"/>
  </si>
  <si>
    <t>Log likehood</t>
    <phoneticPr fontId="5" type="noConversion"/>
  </si>
  <si>
    <t>Mean Dependent Var</t>
    <phoneticPr fontId="5" type="noConversion"/>
  </si>
  <si>
    <t>S.D. Dependent Var</t>
    <phoneticPr fontId="5" type="noConversion"/>
  </si>
  <si>
    <t>Akaike Info Criterion</t>
    <phoneticPr fontId="5" type="noConversion"/>
  </si>
  <si>
    <t>Schwarz Criterion</t>
    <phoneticPr fontId="5" type="noConversion"/>
  </si>
  <si>
    <t>Durbin-Watson Stat</t>
    <phoneticPr fontId="5" type="noConversion"/>
  </si>
  <si>
    <t>Inverted AR Roots</t>
    <phoneticPr fontId="5" type="noConversion"/>
  </si>
  <si>
    <t>Inverted MA Roots</t>
    <phoneticPr fontId="5" type="noConversion"/>
  </si>
  <si>
    <t>.57-.11i</t>
    <phoneticPr fontId="5" type="noConversion"/>
  </si>
  <si>
    <t>.57+.11i</t>
    <phoneticPr fontId="5" type="noConversion"/>
  </si>
  <si>
    <t>Forecast YF</t>
    <phoneticPr fontId="5" type="noConversion"/>
  </si>
  <si>
    <t>Actual Y</t>
    <phoneticPr fontId="5" type="noConversion"/>
  </si>
  <si>
    <t>Forecast Sample</t>
    <phoneticPr fontId="5" type="noConversion"/>
  </si>
  <si>
    <t>Adjusted Sample</t>
    <phoneticPr fontId="5" type="noConversion"/>
  </si>
  <si>
    <t>Included observations</t>
    <phoneticPr fontId="5" type="noConversion"/>
  </si>
  <si>
    <t>Root Mean S-quared Error</t>
    <phoneticPr fontId="5" type="noConversion"/>
  </si>
  <si>
    <t>Mean Abs. Error</t>
    <phoneticPr fontId="5" type="noConversion"/>
  </si>
  <si>
    <t>Mean Abs. Percent Error</t>
    <phoneticPr fontId="5" type="noConversion"/>
  </si>
  <si>
    <t>Eias Proportion</t>
    <phoneticPr fontId="5" type="noConversion"/>
  </si>
  <si>
    <t>Variance Proportion</t>
    <phoneticPr fontId="5" type="noConversion"/>
  </si>
  <si>
    <t>Covariance Propertion</t>
    <phoneticPr fontId="5" type="noConversion"/>
  </si>
  <si>
    <t>Growth Rate, 2013E</t>
    <phoneticPr fontId="5" type="noConversion"/>
  </si>
  <si>
    <t>Formula:</t>
    <phoneticPr fontId="5" type="noConversion"/>
  </si>
  <si>
    <t>ARIMA (p, d, q)</t>
    <phoneticPr fontId="5" type="noConversion"/>
  </si>
  <si>
    <t>Model 1: SARIMA (1, 0, 0) X (0, 1, 0)s =4</t>
    <phoneticPr fontId="5" type="noConversion"/>
  </si>
  <si>
    <t>Model 2: SARIMA (0, 1, 1) X (0, 1, 1)s = 4</t>
    <phoneticPr fontId="5" type="noConversion"/>
  </si>
  <si>
    <t>Model 3: SARIMA (1, 0, 0) X (0, 1, 1)s =4</t>
    <phoneticPr fontId="5" type="noConversion"/>
  </si>
  <si>
    <t>-</t>
  </si>
  <si>
    <t>FUNDAMENTAL GROWTH RATES</t>
    <phoneticPr fontId="5" type="noConversion"/>
  </si>
  <si>
    <t>Formula:</t>
    <phoneticPr fontId="5" type="noConversion"/>
  </si>
  <si>
    <t>Retention Ratio = Retained Earnings/ Current Earnings</t>
    <phoneticPr fontId="5" type="noConversion"/>
  </si>
  <si>
    <t>Return on Investment = ROE = Net Income/ Book Value of Equity</t>
    <phoneticPr fontId="5" type="noConversion"/>
  </si>
  <si>
    <t>Current Retention Ratio = 1- DPS/ EPS</t>
    <phoneticPr fontId="5" type="noConversion"/>
  </si>
  <si>
    <t>Calendar Year</t>
    <phoneticPr fontId="5" type="noConversion"/>
  </si>
  <si>
    <t>Retention Ratio</t>
    <phoneticPr fontId="5" type="noConversion"/>
  </si>
  <si>
    <t>ROE</t>
    <phoneticPr fontId="5" type="noConversion"/>
  </si>
  <si>
    <t>DPS</t>
    <phoneticPr fontId="5" type="noConversion"/>
  </si>
  <si>
    <t>EPS</t>
    <phoneticPr fontId="5" type="noConversion"/>
  </si>
  <si>
    <t>-</t>
    <phoneticPr fontId="5" type="noConversion"/>
  </si>
  <si>
    <t>-</t>
    <phoneticPr fontId="5" type="noConversion"/>
  </si>
  <si>
    <t>Expected Growth</t>
    <phoneticPr fontId="5" type="noConversion"/>
  </si>
  <si>
    <t>Growth Rate, 2013E</t>
    <phoneticPr fontId="5" type="noConversion"/>
  </si>
  <si>
    <t>2013E</t>
    <phoneticPr fontId="5" type="noConversion"/>
  </si>
  <si>
    <t>HISTORICAL FREE CASHFLOW</t>
    <phoneticPr fontId="5" type="noConversion"/>
  </si>
  <si>
    <t>HISTORICAL GROWTH RATE</t>
    <phoneticPr fontId="5" type="noConversion"/>
  </si>
  <si>
    <t>THE GORDON DIVIDEND MODEL</t>
    <phoneticPr fontId="5" type="noConversion"/>
  </si>
  <si>
    <t>BREAK-EVEN GROWTH ANALYSIS</t>
    <phoneticPr fontId="5" type="noConversion"/>
  </si>
  <si>
    <t>The Gordon Dividend Model Scenario</t>
    <phoneticPr fontId="5" type="noConversion"/>
  </si>
  <si>
    <t>Formula:</t>
    <phoneticPr fontId="5" type="noConversion"/>
  </si>
  <si>
    <t>Current Stock Price</t>
    <phoneticPr fontId="5" type="noConversion"/>
  </si>
  <si>
    <t>Current DPS</t>
    <phoneticPr fontId="5" type="noConversion"/>
  </si>
  <si>
    <t>Break-even Growth Rate</t>
    <phoneticPr fontId="5" type="noConversion"/>
  </si>
  <si>
    <t>The Discount Free Cashflow Scenario</t>
    <phoneticPr fontId="5" type="noConversion"/>
  </si>
  <si>
    <t>Cost of Equity</t>
    <phoneticPr fontId="5" type="noConversion"/>
  </si>
  <si>
    <t>PV of Firm=  Div/(r-g)</t>
    <phoneticPr fontId="5" type="noConversion"/>
  </si>
  <si>
    <t>Pv of Firm = FCFF/(WACC-g)</t>
    <phoneticPr fontId="5" type="noConversion"/>
  </si>
  <si>
    <t>Current Free Cashflow</t>
    <phoneticPr fontId="5" type="noConversion"/>
  </si>
  <si>
    <t>WACC</t>
    <phoneticPr fontId="5" type="noConversion"/>
  </si>
  <si>
    <t>Break-even Growth Rate</t>
    <phoneticPr fontId="5" type="noConversion"/>
  </si>
  <si>
    <t>Fiscal Year</t>
    <phoneticPr fontId="5" type="noConversion"/>
  </si>
  <si>
    <t>EBIT</t>
    <phoneticPr fontId="5" type="noConversion"/>
  </si>
  <si>
    <t>Depreciation</t>
    <phoneticPr fontId="5" type="noConversion"/>
  </si>
  <si>
    <t>Capital Expenditure</t>
    <phoneticPr fontId="5" type="noConversion"/>
  </si>
  <si>
    <t>Change in Working Capital</t>
    <phoneticPr fontId="5" type="noConversion"/>
  </si>
  <si>
    <t>Free Cash Flow</t>
    <phoneticPr fontId="5" type="noConversion"/>
  </si>
  <si>
    <t>2013E</t>
    <phoneticPr fontId="5" type="noConversion"/>
  </si>
  <si>
    <t>Capital Expenditure</t>
  </si>
  <si>
    <t>Change in Working Capital</t>
  </si>
  <si>
    <t>Revenue</t>
  </si>
  <si>
    <t>FCFF</t>
  </si>
  <si>
    <t>Discount Factor</t>
  </si>
  <si>
    <t>Cash</t>
  </si>
  <si>
    <t>Fiscal Year</t>
  </si>
  <si>
    <t>Fiscal Year</t>
    <phoneticPr fontId="5" type="noConversion"/>
  </si>
  <si>
    <t>EBIT*(1-t)</t>
  </si>
  <si>
    <t>EBIT*(1-t)</t>
    <phoneticPr fontId="5" type="noConversion"/>
  </si>
  <si>
    <t>Revenue</t>
    <phoneticPr fontId="5" type="noConversion"/>
  </si>
  <si>
    <t>EBIT</t>
    <phoneticPr fontId="5" type="noConversion"/>
  </si>
  <si>
    <t>Tax</t>
    <phoneticPr fontId="5" type="noConversion"/>
  </si>
  <si>
    <t>Depreiciaton</t>
  </si>
  <si>
    <t>Depreiciaton</t>
    <phoneticPr fontId="5" type="noConversion"/>
  </si>
  <si>
    <t>Capital Expenditure</t>
    <phoneticPr fontId="5" type="noConversion"/>
  </si>
  <si>
    <t xml:space="preserve">  in Working Capital</t>
  </si>
  <si>
    <t xml:space="preserve">  in Working Capital</t>
    <phoneticPr fontId="5" type="noConversion"/>
  </si>
  <si>
    <t>FCFF</t>
    <phoneticPr fontId="5" type="noConversion"/>
  </si>
  <si>
    <t>Operating CashFlow</t>
    <phoneticPr fontId="5" type="noConversion"/>
  </si>
  <si>
    <t>WACC</t>
  </si>
  <si>
    <t>WACC</t>
    <phoneticPr fontId="5" type="noConversion"/>
  </si>
  <si>
    <t>Discount Factor</t>
    <phoneticPr fontId="5" type="noConversion"/>
  </si>
  <si>
    <t>PV (FCFF)</t>
  </si>
  <si>
    <t>PV (FCFF)</t>
    <phoneticPr fontId="5" type="noConversion"/>
  </si>
  <si>
    <t>Terminal Cash Flow</t>
  </si>
  <si>
    <t>Terminal Cash Flow</t>
    <phoneticPr fontId="5" type="noConversion"/>
  </si>
  <si>
    <t>Terminal Value</t>
  </si>
  <si>
    <t>Terminal Value</t>
    <phoneticPr fontId="5" type="noConversion"/>
  </si>
  <si>
    <t>PV (Terminal Value)</t>
  </si>
  <si>
    <t>PV (Terminal Value)</t>
    <phoneticPr fontId="5" type="noConversion"/>
  </si>
  <si>
    <t>Enterprise Value, EV</t>
  </si>
  <si>
    <t>Enterprise Value, EV</t>
    <phoneticPr fontId="5" type="noConversion"/>
  </si>
  <si>
    <t>Debt</t>
  </si>
  <si>
    <t>Debt</t>
    <phoneticPr fontId="5" type="noConversion"/>
  </si>
  <si>
    <t>Cash</t>
    <phoneticPr fontId="5" type="noConversion"/>
  </si>
  <si>
    <t>Value of Equity, Ve</t>
  </si>
  <si>
    <t>Value of Equity, Ve</t>
    <phoneticPr fontId="5" type="noConversion"/>
  </si>
  <si>
    <t>Number of Shares</t>
  </si>
  <si>
    <t>Number of Shares</t>
    <phoneticPr fontId="5" type="noConversion"/>
  </si>
  <si>
    <t>Price per share</t>
  </si>
  <si>
    <t>Price per share</t>
    <phoneticPr fontId="5" type="noConversion"/>
  </si>
  <si>
    <t>DCF MODEL</t>
  </si>
  <si>
    <t>DCF MODEL</t>
    <phoneticPr fontId="5" type="noConversion"/>
  </si>
  <si>
    <t>Date</t>
  </si>
  <si>
    <t>Adj Close</t>
  </si>
  <si>
    <t>2013E</t>
  </si>
  <si>
    <t>Revenue</t>
    <phoneticPr fontId="5" type="noConversion"/>
  </si>
  <si>
    <t>2008E</t>
    <phoneticPr fontId="5" type="noConversion"/>
  </si>
  <si>
    <t>2009E</t>
    <phoneticPr fontId="5" type="noConversion"/>
  </si>
  <si>
    <t>2010E</t>
    <phoneticPr fontId="5" type="noConversion"/>
  </si>
  <si>
    <t>2011E</t>
    <phoneticPr fontId="5" type="noConversion"/>
  </si>
  <si>
    <t>Year</t>
    <phoneticPr fontId="5" type="noConversion"/>
  </si>
  <si>
    <t>EBIT (1-t)</t>
    <phoneticPr fontId="5" type="noConversion"/>
  </si>
  <si>
    <t xml:space="preserve"> - Reinvestment</t>
    <phoneticPr fontId="5" type="noConversion"/>
  </si>
  <si>
    <t>FCFF</t>
    <phoneticPr fontId="5" type="noConversion"/>
  </si>
  <si>
    <t>Arithmetic Average  Revenue Growth Rate for Past 3 Years</t>
    <phoneticPr fontId="5" type="noConversion"/>
  </si>
  <si>
    <t>Geometric Average Revenue Growth Rate for Past 3 Years</t>
    <phoneticPr fontId="5" type="noConversion"/>
  </si>
  <si>
    <t>Piotroski Score</t>
    <phoneticPr fontId="5" type="noConversion"/>
  </si>
  <si>
    <t>Profitability</t>
    <phoneticPr fontId="5" type="noConversion"/>
  </si>
  <si>
    <t>* Positive return on assets in the current year</t>
    <phoneticPr fontId="5" type="noConversion"/>
  </si>
  <si>
    <t>* Positive operating cashflow the current year</t>
    <phoneticPr fontId="5" type="noConversion"/>
  </si>
  <si>
    <t>* Higher return on assets (ROA) in the current period compared to the ROA in the previous year</t>
    <phoneticPr fontId="5" type="noConversion"/>
  </si>
  <si>
    <t>* Cashflow from operations are greater than ROA</t>
    <phoneticPr fontId="5" type="noConversion"/>
  </si>
  <si>
    <t>Leverage, Liquidity and Source of Funds</t>
    <phoneticPr fontId="5" type="noConversion"/>
  </si>
  <si>
    <t>* Lower ratio of long-term debt to in the current period compared value in the previous year</t>
    <phoneticPr fontId="5" type="noConversion"/>
  </si>
  <si>
    <t>* Higher current ratio this year compared to the previos year</t>
    <phoneticPr fontId="5" type="noConversion"/>
  </si>
  <si>
    <t>* No new shares were issued in the last year</t>
    <phoneticPr fontId="5" type="noConversion"/>
  </si>
  <si>
    <t>Operating Efficiency</t>
    <phoneticPr fontId="5" type="noConversion"/>
  </si>
  <si>
    <t>* A higher gross margin compared to the previous year</t>
    <phoneticPr fontId="5" type="noConversion"/>
  </si>
  <si>
    <t>* A higher asset turnover ratio compared to the previos</t>
    <phoneticPr fontId="5" type="noConversion"/>
  </si>
  <si>
    <t>(1 point)</t>
  </si>
  <si>
    <t>(1 point)</t>
    <phoneticPr fontId="5" type="noConversion"/>
  </si>
  <si>
    <t>(1 point)</t>
    <phoneticPr fontId="5" type="noConversion"/>
  </si>
  <si>
    <t>Piotroski Score</t>
    <phoneticPr fontId="5" type="noConversion"/>
  </si>
  <si>
    <t>Net Income</t>
    <phoneticPr fontId="5" type="noConversion"/>
  </si>
  <si>
    <t>Operating Cashflow</t>
    <phoneticPr fontId="5" type="noConversion"/>
  </si>
  <si>
    <t>Return on Assets</t>
    <phoneticPr fontId="5" type="noConversion"/>
  </si>
  <si>
    <t>Quality of Earning</t>
    <phoneticPr fontId="5" type="noConversion"/>
  </si>
  <si>
    <t>LT Debt vs Assets</t>
    <phoneticPr fontId="5" type="noConversion"/>
  </si>
  <si>
    <t>Current Ratio</t>
    <phoneticPr fontId="5" type="noConversion"/>
  </si>
  <si>
    <t>Shares Outstanding</t>
    <phoneticPr fontId="5" type="noConversion"/>
  </si>
  <si>
    <t>Gross Margin</t>
    <phoneticPr fontId="5" type="noConversion"/>
  </si>
  <si>
    <t>Asset Turnover</t>
    <phoneticPr fontId="5" type="noConversion"/>
  </si>
  <si>
    <t>Formula:</t>
    <phoneticPr fontId="5" type="noConversion"/>
  </si>
  <si>
    <t>Z-Score = 1.2A + 1.4B + 3.3C + 0.6D + 1.0E</t>
    <phoneticPr fontId="5" type="noConversion"/>
  </si>
  <si>
    <t>A = Working Capital/ Total Assets</t>
    <phoneticPr fontId="5" type="noConversion"/>
  </si>
  <si>
    <t>B = Retained Earnings/ Total Assets</t>
    <phoneticPr fontId="5" type="noConversion"/>
  </si>
  <si>
    <t>C = Earnings Before Interest &amp; Tax/ Total Assets</t>
    <phoneticPr fontId="5" type="noConversion"/>
  </si>
  <si>
    <t>D  = Market Value of Equity/ Total Liabilities</t>
    <phoneticPr fontId="5" type="noConversion"/>
  </si>
  <si>
    <t>E = Sales/ Total Assets</t>
    <phoneticPr fontId="5" type="noConversion"/>
  </si>
  <si>
    <t>Working Capital</t>
    <phoneticPr fontId="5" type="noConversion"/>
  </si>
  <si>
    <t>Total Assets</t>
    <phoneticPr fontId="5" type="noConversion"/>
  </si>
  <si>
    <t>Total Liabilities</t>
    <phoneticPr fontId="5" type="noConversion"/>
  </si>
  <si>
    <t>Retained Earnings</t>
    <phoneticPr fontId="5" type="noConversion"/>
  </si>
  <si>
    <t>EBITDA</t>
    <phoneticPr fontId="5" type="noConversion"/>
  </si>
  <si>
    <t>Market Value of Equity</t>
    <phoneticPr fontId="5" type="noConversion"/>
  </si>
  <si>
    <t>Net Sales</t>
    <phoneticPr fontId="5" type="noConversion"/>
  </si>
  <si>
    <t>Altman Z Score</t>
    <phoneticPr fontId="5" type="noConversion"/>
  </si>
  <si>
    <t>Original Altman Z Score</t>
    <phoneticPr fontId="5" type="noConversion"/>
  </si>
  <si>
    <t>When Z is 3.0 or more</t>
    <phoneticPr fontId="5" type="noConversion"/>
  </si>
  <si>
    <t>When Z is 2.7 to 3.0</t>
    <phoneticPr fontId="5" type="noConversion"/>
  </si>
  <si>
    <t>The companty is most likely safe based on the financial data</t>
    <phoneticPr fontId="5" type="noConversion"/>
  </si>
  <si>
    <t>The company is probably safe from bankruptcy</t>
    <phoneticPr fontId="5" type="noConversion"/>
  </si>
  <si>
    <t>The company is likely to be bankrupt</t>
    <phoneticPr fontId="5" type="noConversion"/>
  </si>
  <si>
    <t>When Z is 1.8 to 2.7</t>
    <phoneticPr fontId="5" type="noConversion"/>
  </si>
  <si>
    <t>When Z is below 1.8</t>
    <phoneticPr fontId="5" type="noConversion"/>
  </si>
  <si>
    <t>The company is highly likely to be bankrupt</t>
    <phoneticPr fontId="5" type="noConversion"/>
  </si>
  <si>
    <t>The Beneish Model - M Score Variable</t>
    <phoneticPr fontId="5" type="noConversion"/>
  </si>
  <si>
    <t>DSRI</t>
    <phoneticPr fontId="5" type="noConversion"/>
  </si>
  <si>
    <t>GMI</t>
    <phoneticPr fontId="5" type="noConversion"/>
  </si>
  <si>
    <t>AQI</t>
    <phoneticPr fontId="5" type="noConversion"/>
  </si>
  <si>
    <t>SGI</t>
    <phoneticPr fontId="5" type="noConversion"/>
  </si>
  <si>
    <t>DEPI</t>
    <phoneticPr fontId="5" type="noConversion"/>
  </si>
  <si>
    <t>SGAI</t>
    <phoneticPr fontId="5" type="noConversion"/>
  </si>
  <si>
    <t>LVGI</t>
    <phoneticPr fontId="5" type="noConversion"/>
  </si>
  <si>
    <t>TATA</t>
    <phoneticPr fontId="5" type="noConversion"/>
  </si>
  <si>
    <t>The Beneish M Score Formula</t>
    <phoneticPr fontId="5" type="noConversion"/>
  </si>
  <si>
    <t>The eight variables M score formula</t>
    <phoneticPr fontId="5" type="noConversion"/>
  </si>
  <si>
    <t>M = -4.84 + 0.92*DSRI + 0.528*GMI + 0.404*AQI + 0.892*SGI + 0.115*DEPI -0.172*SGAI + 4.679*TATA -0.327*LVGI</t>
    <phoneticPr fontId="5" type="noConversion"/>
  </si>
  <si>
    <t>The five variable version of the beneish fomula</t>
    <phoneticPr fontId="5" type="noConversion"/>
  </si>
  <si>
    <t>M = -6.065 + 0.823*DSRI + 0.906*GMI + 0.593*AQI + 0.717*SGI + 0.107*DEPI</t>
    <phoneticPr fontId="5" type="noConversion"/>
  </si>
  <si>
    <t>The Score greater than -2.22 indicates a strong likelihood of a firm being a manipulator</t>
    <phoneticPr fontId="5" type="noConversion"/>
  </si>
  <si>
    <t>The Score greater than -2.22 indicates a strong likelihood of afirm being a manipulator</t>
    <phoneticPr fontId="5" type="noConversion"/>
  </si>
  <si>
    <t>M Score - 8 Variable</t>
    <phoneticPr fontId="5" type="noConversion"/>
  </si>
  <si>
    <t>M Score - 5 Variable</t>
    <phoneticPr fontId="5" type="noConversion"/>
  </si>
  <si>
    <t>DSRI</t>
    <phoneticPr fontId="5" type="noConversion"/>
  </si>
  <si>
    <t>Days' sales in receivable index</t>
    <phoneticPr fontId="5" type="noConversion"/>
  </si>
  <si>
    <t>Gross margin index</t>
    <phoneticPr fontId="5" type="noConversion"/>
  </si>
  <si>
    <t>Asset quality index</t>
    <phoneticPr fontId="5" type="noConversion"/>
  </si>
  <si>
    <t>Sales growth index</t>
    <phoneticPr fontId="5" type="noConversion"/>
  </si>
  <si>
    <t>Depreciation index</t>
    <phoneticPr fontId="5" type="noConversion"/>
  </si>
  <si>
    <t>Sales and general and administrative expenses index</t>
    <phoneticPr fontId="5" type="noConversion"/>
  </si>
  <si>
    <t>Leverage index</t>
    <phoneticPr fontId="5" type="noConversion"/>
  </si>
  <si>
    <t>Total accruals to total assets</t>
    <phoneticPr fontId="5" type="noConversion"/>
  </si>
  <si>
    <t>Discount Rates</t>
    <phoneticPr fontId="5" type="noConversion"/>
  </si>
  <si>
    <t>Growth Rates</t>
    <phoneticPr fontId="5" type="noConversion"/>
  </si>
  <si>
    <t>Sensitivity Matrix: Growth Vs. Discount Rate</t>
    <phoneticPr fontId="5" type="noConversion"/>
  </si>
  <si>
    <t>Sensitivity Matrix: Margin of Safety%</t>
    <phoneticPr fontId="5" type="noConversion"/>
  </si>
  <si>
    <t>Shaw Communication</t>
    <phoneticPr fontId="5" type="noConversion"/>
  </si>
  <si>
    <t>SJR.B</t>
    <phoneticPr fontId="5" type="noConversion"/>
  </si>
  <si>
    <t>BCE Inc</t>
    <phoneticPr fontId="5" type="noConversion"/>
  </si>
  <si>
    <t xml:space="preserve">BCE </t>
    <phoneticPr fontId="5" type="noConversion"/>
  </si>
  <si>
    <t>RCI.B</t>
    <phoneticPr fontId="5" type="noConversion"/>
  </si>
  <si>
    <t>Rogers Communication</t>
  </si>
  <si>
    <t>Rogers Communication</t>
    <phoneticPr fontId="5" type="noConversion"/>
  </si>
  <si>
    <t>TELUS Corporation</t>
    <phoneticPr fontId="5" type="noConversion"/>
  </si>
  <si>
    <t>T</t>
    <phoneticPr fontId="5" type="noConversion"/>
  </si>
  <si>
    <t>Cogeco Cable Inc</t>
    <phoneticPr fontId="5" type="noConversion"/>
  </si>
  <si>
    <t>CCA</t>
    <phoneticPr fontId="5" type="noConversion"/>
  </si>
  <si>
    <t>Quebecor,  Inc</t>
    <phoneticPr fontId="5" type="noConversion"/>
  </si>
  <si>
    <t>QBR.B</t>
    <phoneticPr fontId="5" type="noConversion"/>
  </si>
  <si>
    <t>CJR.B</t>
    <phoneticPr fontId="5" type="noConversion"/>
  </si>
  <si>
    <t>Astral Media, Inc</t>
    <phoneticPr fontId="5" type="noConversion"/>
  </si>
  <si>
    <t>ACM.A</t>
    <phoneticPr fontId="5" type="noConversion"/>
  </si>
  <si>
    <t>Maintoba Telecom Services</t>
    <phoneticPr fontId="5" type="noConversion"/>
  </si>
  <si>
    <t>Corus Entertainment Inc</t>
    <phoneticPr fontId="5" type="noConversion"/>
  </si>
  <si>
    <t>Company</t>
    <phoneticPr fontId="5" type="noConversion"/>
  </si>
  <si>
    <t>Ticker</t>
    <phoneticPr fontId="5" type="noConversion"/>
  </si>
  <si>
    <t>Price</t>
    <phoneticPr fontId="5" type="noConversion"/>
  </si>
  <si>
    <t>MBT</t>
    <phoneticPr fontId="5" type="noConversion"/>
  </si>
  <si>
    <t>Mkt Cap</t>
    <phoneticPr fontId="5" type="noConversion"/>
  </si>
  <si>
    <t>10.35B</t>
    <phoneticPr fontId="5" type="noConversion"/>
  </si>
  <si>
    <t>36.59B</t>
    <phoneticPr fontId="5" type="noConversion"/>
  </si>
  <si>
    <t>26.67B</t>
    <phoneticPr fontId="5" type="noConversion"/>
  </si>
  <si>
    <t>34.59B</t>
    <phoneticPr fontId="5" type="noConversion"/>
  </si>
  <si>
    <t>2.17B</t>
    <phoneticPr fontId="5" type="noConversion"/>
  </si>
  <si>
    <t>2.86B</t>
    <phoneticPr fontId="5" type="noConversion"/>
  </si>
  <si>
    <t>2.06B</t>
    <phoneticPr fontId="5" type="noConversion"/>
  </si>
  <si>
    <t>2.74B</t>
    <phoneticPr fontId="5" type="noConversion"/>
  </si>
  <si>
    <t>2.16B</t>
    <phoneticPr fontId="5" type="noConversion"/>
  </si>
  <si>
    <t>Volume</t>
    <phoneticPr fontId="5" type="noConversion"/>
  </si>
  <si>
    <t>0.73M</t>
    <phoneticPr fontId="5" type="noConversion"/>
  </si>
  <si>
    <t>1.24M</t>
    <phoneticPr fontId="5" type="noConversion"/>
  </si>
  <si>
    <t>0.86M</t>
    <phoneticPr fontId="5" type="noConversion"/>
  </si>
  <si>
    <t>1.09M</t>
    <phoneticPr fontId="5" type="noConversion"/>
  </si>
  <si>
    <t>0.21M</t>
    <phoneticPr fontId="5" type="noConversion"/>
  </si>
  <si>
    <t>0.2M</t>
    <phoneticPr fontId="5" type="noConversion"/>
  </si>
  <si>
    <t>0.13M</t>
    <phoneticPr fontId="5" type="noConversion"/>
  </si>
  <si>
    <t>0.11M</t>
    <phoneticPr fontId="5" type="noConversion"/>
  </si>
  <si>
    <t>0.27M</t>
    <phoneticPr fontId="5" type="noConversion"/>
  </si>
  <si>
    <t>5-Year Growth</t>
    <phoneticPr fontId="5" type="noConversion"/>
  </si>
  <si>
    <t>EPS</t>
    <phoneticPr fontId="5" type="noConversion"/>
  </si>
  <si>
    <t>DPS</t>
    <phoneticPr fontId="5" type="noConversion"/>
  </si>
  <si>
    <t>Current Ratio</t>
    <phoneticPr fontId="5" type="noConversion"/>
  </si>
  <si>
    <t>Quick Ratio</t>
    <phoneticPr fontId="5" type="noConversion"/>
  </si>
  <si>
    <t>Leverage Ratio</t>
    <phoneticPr fontId="5" type="noConversion"/>
  </si>
  <si>
    <t>ROE</t>
    <phoneticPr fontId="5" type="noConversion"/>
  </si>
  <si>
    <t>ROA</t>
    <phoneticPr fontId="5" type="noConversion"/>
  </si>
  <si>
    <t>Piotroski Score</t>
  </si>
  <si>
    <t>Altman Z Score</t>
  </si>
  <si>
    <t>Altman Z Score</t>
    <phoneticPr fontId="5" type="noConversion"/>
  </si>
  <si>
    <t>Comparable Company</t>
    <phoneticPr fontId="5" type="noConversion"/>
  </si>
  <si>
    <t>P/E</t>
    <phoneticPr fontId="5" type="noConversion"/>
  </si>
  <si>
    <t>P/B</t>
    <phoneticPr fontId="5" type="noConversion"/>
  </si>
  <si>
    <t>P/S</t>
    <phoneticPr fontId="5" type="noConversion"/>
  </si>
  <si>
    <t>eps</t>
    <phoneticPr fontId="5" type="noConversion"/>
  </si>
  <si>
    <t>book value</t>
    <phoneticPr fontId="5" type="noConversion"/>
  </si>
  <si>
    <t>sales</t>
    <phoneticPr fontId="5" type="noConversion"/>
  </si>
  <si>
    <t>Market Profile</t>
    <phoneticPr fontId="5" type="noConversion"/>
  </si>
  <si>
    <t>52 Week Price Range</t>
    <phoneticPr fontId="5" type="noConversion"/>
  </si>
  <si>
    <t>Average Daily Volume</t>
    <phoneticPr fontId="5" type="noConversion"/>
  </si>
  <si>
    <t>Beta</t>
    <phoneticPr fontId="5" type="noConversion"/>
  </si>
  <si>
    <t>Dividend Yield</t>
    <phoneticPr fontId="5" type="noConversion"/>
  </si>
  <si>
    <t>Shares Outstanding</t>
    <phoneticPr fontId="5" type="noConversion"/>
  </si>
  <si>
    <t>Market Capitalization</t>
    <phoneticPr fontId="5" type="noConversion"/>
  </si>
  <si>
    <t>Institutional Holdings</t>
    <phoneticPr fontId="5" type="noConversion"/>
  </si>
  <si>
    <t>Insider Holdings</t>
    <phoneticPr fontId="5" type="noConversion"/>
  </si>
  <si>
    <t>Book Value per Share</t>
    <phoneticPr fontId="5" type="noConversion"/>
  </si>
  <si>
    <t>Debt to Total Capital</t>
    <phoneticPr fontId="5" type="noConversion"/>
  </si>
  <si>
    <t>Return on Equity</t>
    <phoneticPr fontId="5" type="noConversion"/>
  </si>
  <si>
    <t>$18.93-25.33</t>
    <phoneticPr fontId="5" type="noConversion"/>
  </si>
  <si>
    <t>448.04M</t>
    <phoneticPr fontId="5" type="noConversion"/>
  </si>
  <si>
    <t>10.35B</t>
    <phoneticPr fontId="5" type="noConversion"/>
  </si>
  <si>
    <t xml:space="preserve">COMPUTING D/E RATIO USING HISTORICAL BOOK VALUE </t>
  </si>
  <si>
    <t>Total Debt</t>
  </si>
  <si>
    <t>D/E Ratio</t>
  </si>
  <si>
    <t>Target D/E ratio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</si>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</sst>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24" formatCode="\$#,##0_);[Red]\(\$#,##0\)"/>
    <numFmt numFmtId="26" formatCode="\$#,##0.00_);[Red]\(\$#,##0.00\)"/>
    <numFmt numFmtId="176" formatCode="0.0000"/>
    <numFmt numFmtId="177" formatCode="0.000"/>
    <numFmt numFmtId="178" formatCode="0.00000%"/>
    <numFmt numFmtId="179" formatCode="#,##0.00_ "/>
    <numFmt numFmtId="180" formatCode="#,##0.0"/>
    <numFmt numFmtId="181" formatCode="_ * #,##0_ ;_ * \-#,##0_ ;_ * &quot;-&quot;??_ ;_ @_ "/>
    <numFmt numFmtId="182" formatCode="0.0%"/>
    <numFmt numFmtId="183" formatCode="_-\$* #,##0.00_ ;_-\$* \-#,##0.00\ ;_-\$* &quot;-&quot;??_ ;_-@_ "/>
    <numFmt numFmtId="184" formatCode="0.0"/>
    <numFmt numFmtId="185" formatCode="#,##0.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Times New Roman"/>
      <family val="1"/>
    </font>
    <font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ECECEC"/>
      <name val="Tahoma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color theme="4"/>
      <name val="Times New Roman"/>
      <family val="1"/>
    </font>
    <font>
      <b/>
      <sz val="14"/>
      <color theme="1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rgb="FF00B050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right" vertical="center" wrapText="1"/>
    </xf>
    <xf numFmtId="4" fontId="4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 wrapText="1"/>
    </xf>
    <xf numFmtId="4" fontId="3" fillId="0" borderId="0" xfId="0" applyNumberFormat="1" applyFont="1" applyFill="1" applyAlignment="1">
      <alignment horizontal="right" vertical="center" wrapText="1"/>
    </xf>
    <xf numFmtId="0" fontId="3" fillId="0" borderId="0" xfId="0" applyNumberFormat="1" applyFont="1" applyFill="1" applyAlignment="1">
      <alignment horizontal="right" vertical="center" wrapText="1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 applyBorder="1">
      <alignment vertical="center"/>
    </xf>
    <xf numFmtId="2" fontId="6" fillId="0" borderId="0" xfId="0" applyNumberFormat="1" applyFont="1" applyBorder="1">
      <alignment vertical="center"/>
    </xf>
    <xf numFmtId="177" fontId="6" fillId="0" borderId="0" xfId="0" applyNumberFormat="1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right" vertical="center"/>
    </xf>
    <xf numFmtId="10" fontId="6" fillId="0" borderId="0" xfId="0" applyNumberFormat="1" applyFont="1" applyBorder="1">
      <alignment vertical="center"/>
    </xf>
    <xf numFmtId="10" fontId="6" fillId="0" borderId="6" xfId="0" applyNumberFormat="1" applyFont="1" applyBorder="1">
      <alignment vertical="center"/>
    </xf>
    <xf numFmtId="10" fontId="6" fillId="0" borderId="0" xfId="1" applyNumberFormat="1" applyFont="1" applyBorder="1">
      <alignment vertical="center"/>
    </xf>
    <xf numFmtId="10" fontId="6" fillId="0" borderId="6" xfId="1" applyNumberFormat="1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10" fontId="6" fillId="0" borderId="11" xfId="1" applyNumberFormat="1" applyFont="1" applyBorder="1">
      <alignment vertical="center"/>
    </xf>
    <xf numFmtId="0" fontId="7" fillId="0" borderId="2" xfId="0" applyFont="1" applyBorder="1">
      <alignment vertical="center"/>
    </xf>
    <xf numFmtId="0" fontId="6" fillId="5" borderId="0" xfId="0" applyFont="1" applyFill="1">
      <alignment vertical="center"/>
    </xf>
    <xf numFmtId="0" fontId="0" fillId="0" borderId="5" xfId="0" applyBorder="1">
      <alignment vertical="center"/>
    </xf>
    <xf numFmtId="9" fontId="6" fillId="0" borderId="6" xfId="0" applyNumberFormat="1" applyFont="1" applyBorder="1">
      <alignment vertical="center"/>
    </xf>
    <xf numFmtId="10" fontId="6" fillId="0" borderId="8" xfId="0" applyNumberFormat="1" applyFont="1" applyBorder="1">
      <alignment vertical="center"/>
    </xf>
    <xf numFmtId="0" fontId="6" fillId="0" borderId="6" xfId="0" applyNumberFormat="1" applyFont="1" applyBorder="1">
      <alignment vertical="center"/>
    </xf>
    <xf numFmtId="10" fontId="6" fillId="0" borderId="0" xfId="0" applyNumberFormat="1" applyFont="1">
      <alignment vertical="center"/>
    </xf>
    <xf numFmtId="0" fontId="11" fillId="0" borderId="5" xfId="0" applyFont="1" applyBorder="1">
      <alignment vertical="center"/>
    </xf>
    <xf numFmtId="9" fontId="6" fillId="0" borderId="5" xfId="0" applyNumberFormat="1" applyFont="1" applyBorder="1">
      <alignment vertical="center"/>
    </xf>
    <xf numFmtId="9" fontId="6" fillId="0" borderId="0" xfId="0" applyNumberFormat="1" applyFont="1" applyBorder="1">
      <alignment vertical="center"/>
    </xf>
    <xf numFmtId="9" fontId="6" fillId="0" borderId="7" xfId="0" applyNumberFormat="1" applyFont="1" applyBorder="1">
      <alignment vertical="center"/>
    </xf>
    <xf numFmtId="9" fontId="6" fillId="0" borderId="5" xfId="1" applyNumberFormat="1" applyFont="1" applyBorder="1">
      <alignment vertical="center"/>
    </xf>
    <xf numFmtId="10" fontId="6" fillId="0" borderId="1" xfId="0" applyNumberFormat="1" applyFont="1" applyBorder="1">
      <alignment vertical="center"/>
    </xf>
    <xf numFmtId="2" fontId="6" fillId="0" borderId="1" xfId="0" applyNumberFormat="1" applyFont="1" applyBorder="1">
      <alignment vertical="center"/>
    </xf>
    <xf numFmtId="0" fontId="6" fillId="0" borderId="11" xfId="0" applyFont="1" applyBorder="1">
      <alignment vertical="center"/>
    </xf>
    <xf numFmtId="178" fontId="6" fillId="5" borderId="0" xfId="0" applyNumberFormat="1" applyFont="1" applyFill="1">
      <alignment vertical="center"/>
    </xf>
    <xf numFmtId="10" fontId="6" fillId="5" borderId="0" xfId="0" applyNumberFormat="1" applyFont="1" applyFill="1">
      <alignment vertical="center"/>
    </xf>
    <xf numFmtId="4" fontId="6" fillId="0" borderId="0" xfId="0" applyNumberFormat="1" applyFont="1" applyBorder="1">
      <alignment vertical="center"/>
    </xf>
    <xf numFmtId="179" fontId="6" fillId="0" borderId="0" xfId="0" applyNumberFormat="1" applyFont="1" applyBorder="1">
      <alignment vertical="center"/>
    </xf>
    <xf numFmtId="179" fontId="6" fillId="0" borderId="6" xfId="0" applyNumberFormat="1" applyFont="1" applyBorder="1">
      <alignment vertical="center"/>
    </xf>
    <xf numFmtId="0" fontId="6" fillId="7" borderId="7" xfId="0" applyFont="1" applyFill="1" applyBorder="1">
      <alignment vertical="center"/>
    </xf>
    <xf numFmtId="0" fontId="6" fillId="7" borderId="1" xfId="0" applyFont="1" applyFill="1" applyBorder="1">
      <alignment vertical="center"/>
    </xf>
    <xf numFmtId="10" fontId="6" fillId="7" borderId="1" xfId="1" applyNumberFormat="1" applyFont="1" applyFill="1" applyBorder="1">
      <alignment vertical="center"/>
    </xf>
    <xf numFmtId="180" fontId="6" fillId="0" borderId="0" xfId="0" applyNumberFormat="1" applyFont="1" applyBorder="1">
      <alignment vertical="center"/>
    </xf>
    <xf numFmtId="4" fontId="6" fillId="0" borderId="6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12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12" fillId="0" borderId="12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9" fontId="6" fillId="0" borderId="13" xfId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10" fontId="6" fillId="7" borderId="8" xfId="0" applyNumberFormat="1" applyFont="1" applyFill="1" applyBorder="1">
      <alignment vertical="center"/>
    </xf>
    <xf numFmtId="2" fontId="6" fillId="0" borderId="0" xfId="0" applyNumberFormat="1" applyFont="1">
      <alignment vertical="center"/>
    </xf>
    <xf numFmtId="2" fontId="6" fillId="0" borderId="6" xfId="0" applyNumberFormat="1" applyFont="1" applyBorder="1">
      <alignment vertical="center"/>
    </xf>
    <xf numFmtId="181" fontId="6" fillId="0" borderId="0" xfId="2" applyNumberFormat="1" applyFont="1" applyBorder="1">
      <alignment vertical="center"/>
    </xf>
    <xf numFmtId="0" fontId="13" fillId="0" borderId="5" xfId="0" applyFont="1" applyBorder="1">
      <alignment vertical="center"/>
    </xf>
    <xf numFmtId="43" fontId="6" fillId="0" borderId="0" xfId="0" applyNumberFormat="1" applyFont="1" applyBorder="1">
      <alignment vertical="center"/>
    </xf>
    <xf numFmtId="10" fontId="6" fillId="0" borderId="1" xfId="1" applyNumberFormat="1" applyFont="1" applyBorder="1">
      <alignment vertical="center"/>
    </xf>
    <xf numFmtId="43" fontId="6" fillId="0" borderId="0" xfId="0" applyNumberFormat="1" applyFont="1">
      <alignment vertical="center"/>
    </xf>
    <xf numFmtId="9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9" fontId="6" fillId="0" borderId="9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9" xfId="0" applyFont="1" applyBorder="1">
      <alignment vertical="center"/>
    </xf>
    <xf numFmtId="10" fontId="6" fillId="0" borderId="11" xfId="1" applyNumberFormat="1" applyFont="1" applyBorder="1" applyAlignment="1">
      <alignment horizontal="center" vertical="center"/>
    </xf>
    <xf numFmtId="0" fontId="6" fillId="0" borderId="20" xfId="0" applyFont="1" applyBorder="1">
      <alignment vertical="center"/>
    </xf>
    <xf numFmtId="182" fontId="6" fillId="0" borderId="6" xfId="0" applyNumberFormat="1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6" xfId="0" applyNumberFormat="1" applyFont="1" applyBorder="1" applyAlignment="1">
      <alignment horizontal="right" vertical="center"/>
    </xf>
    <xf numFmtId="182" fontId="6" fillId="0" borderId="0" xfId="1" applyNumberFormat="1" applyFont="1" applyBorder="1">
      <alignment vertical="center"/>
    </xf>
    <xf numFmtId="182" fontId="6" fillId="0" borderId="0" xfId="1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9" fontId="6" fillId="0" borderId="1" xfId="0" applyNumberFormat="1" applyFont="1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14" fillId="0" borderId="0" xfId="0" applyFont="1">
      <alignment vertical="center"/>
    </xf>
    <xf numFmtId="10" fontId="6" fillId="0" borderId="0" xfId="1" applyNumberFormat="1" applyFont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9" fontId="6" fillId="0" borderId="0" xfId="1" applyFont="1" applyBorder="1" applyAlignment="1">
      <alignment horizontal="right" vertical="center"/>
    </xf>
    <xf numFmtId="176" fontId="6" fillId="0" borderId="5" xfId="0" applyNumberFormat="1" applyFont="1" applyBorder="1" applyAlignment="1">
      <alignment horizontal="right" vertical="center"/>
    </xf>
    <xf numFmtId="10" fontId="6" fillId="0" borderId="6" xfId="1" applyNumberFormat="1" applyFont="1" applyBorder="1" applyAlignment="1">
      <alignment horizontal="right" vertical="center"/>
    </xf>
    <xf numFmtId="10" fontId="6" fillId="0" borderId="5" xfId="0" applyNumberFormat="1" applyFont="1" applyBorder="1">
      <alignment vertical="center"/>
    </xf>
    <xf numFmtId="26" fontId="6" fillId="0" borderId="6" xfId="0" applyNumberFormat="1" applyFont="1" applyBorder="1">
      <alignment vertical="center"/>
    </xf>
    <xf numFmtId="24" fontId="6" fillId="0" borderId="6" xfId="0" applyNumberFormat="1" applyFont="1" applyBorder="1">
      <alignment vertical="center"/>
    </xf>
    <xf numFmtId="181" fontId="6" fillId="0" borderId="0" xfId="2" applyNumberFormat="1" applyFont="1">
      <alignment vertical="center"/>
    </xf>
    <xf numFmtId="1" fontId="6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9" fontId="6" fillId="0" borderId="0" xfId="0" applyNumberFormat="1" applyFont="1">
      <alignment vertical="center"/>
    </xf>
    <xf numFmtId="182" fontId="6" fillId="0" borderId="0" xfId="1" applyNumberFormat="1" applyFont="1">
      <alignment vertical="center"/>
    </xf>
    <xf numFmtId="10" fontId="6" fillId="0" borderId="0" xfId="1" applyNumberFormat="1" applyFont="1">
      <alignment vertical="center"/>
    </xf>
    <xf numFmtId="0" fontId="15" fillId="0" borderId="0" xfId="0" applyFont="1">
      <alignment vertical="center"/>
    </xf>
    <xf numFmtId="10" fontId="15" fillId="0" borderId="0" xfId="1" applyNumberFormat="1" applyFont="1">
      <alignment vertical="center"/>
    </xf>
    <xf numFmtId="0" fontId="16" fillId="0" borderId="0" xfId="0" applyFont="1">
      <alignment vertical="center"/>
    </xf>
    <xf numFmtId="4" fontId="6" fillId="0" borderId="0" xfId="0" applyNumberFormat="1" applyFont="1">
      <alignment vertical="center"/>
    </xf>
    <xf numFmtId="9" fontId="6" fillId="0" borderId="0" xfId="1" applyFont="1">
      <alignment vertical="center"/>
    </xf>
    <xf numFmtId="181" fontId="6" fillId="0" borderId="1" xfId="2" applyNumberFormat="1" applyFont="1" applyBorder="1">
      <alignment vertical="center"/>
    </xf>
    <xf numFmtId="3" fontId="6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1" fontId="6" fillId="0" borderId="1" xfId="0" applyNumberFormat="1" applyFont="1" applyBorder="1">
      <alignment vertical="center"/>
    </xf>
    <xf numFmtId="0" fontId="17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9" fontId="12" fillId="0" borderId="0" xfId="0" applyNumberFormat="1" applyFont="1">
      <alignment vertical="center"/>
    </xf>
    <xf numFmtId="9" fontId="12" fillId="0" borderId="0" xfId="1" applyFont="1">
      <alignment vertical="center"/>
    </xf>
    <xf numFmtId="9" fontId="18" fillId="0" borderId="0" xfId="1" applyFont="1">
      <alignment vertical="center"/>
    </xf>
    <xf numFmtId="9" fontId="18" fillId="0" borderId="0" xfId="0" applyNumberFormat="1" applyFont="1">
      <alignment vertical="center"/>
    </xf>
    <xf numFmtId="0" fontId="19" fillId="0" borderId="25" xfId="0" applyFont="1" applyBorder="1" applyAlignment="1">
      <alignment horizontal="center" vertical="center"/>
    </xf>
    <xf numFmtId="0" fontId="20" fillId="0" borderId="27" xfId="0" applyNumberFormat="1" applyFont="1" applyBorder="1" applyAlignment="1">
      <alignment horizontal="center" vertical="center"/>
    </xf>
    <xf numFmtId="0" fontId="20" fillId="0" borderId="28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7" xfId="0" applyNumberFormat="1" applyFont="1" applyBorder="1" applyAlignment="1">
      <alignment horizontal="center" vertical="center"/>
    </xf>
    <xf numFmtId="0" fontId="21" fillId="0" borderId="26" xfId="0" applyNumberFormat="1" applyFont="1" applyBorder="1" applyAlignment="1">
      <alignment horizontal="center" vertical="center"/>
    </xf>
    <xf numFmtId="10" fontId="21" fillId="0" borderId="26" xfId="0" applyNumberFormat="1" applyFont="1" applyBorder="1">
      <alignment vertical="center"/>
    </xf>
    <xf numFmtId="10" fontId="21" fillId="0" borderId="29" xfId="1" applyNumberFormat="1" applyFont="1" applyBorder="1">
      <alignment vertical="center"/>
    </xf>
    <xf numFmtId="10" fontId="21" fillId="0" borderId="31" xfId="1" applyNumberFormat="1" applyFont="1" applyBorder="1">
      <alignment vertical="center"/>
    </xf>
    <xf numFmtId="10" fontId="21" fillId="0" borderId="27" xfId="0" applyNumberFormat="1" applyFont="1" applyBorder="1">
      <alignment vertical="center"/>
    </xf>
    <xf numFmtId="10" fontId="21" fillId="0" borderId="26" xfId="1" applyNumberFormat="1" applyFont="1" applyBorder="1">
      <alignment vertical="center"/>
    </xf>
    <xf numFmtId="10" fontId="21" fillId="0" borderId="24" xfId="1" applyNumberFormat="1" applyFont="1" applyBorder="1">
      <alignment vertical="center"/>
    </xf>
    <xf numFmtId="10" fontId="21" fillId="0" borderId="27" xfId="1" applyNumberFormat="1" applyFont="1" applyBorder="1">
      <alignment vertical="center"/>
    </xf>
    <xf numFmtId="10" fontId="20" fillId="0" borderId="28" xfId="0" applyNumberFormat="1" applyFont="1" applyBorder="1">
      <alignment vertical="center"/>
    </xf>
    <xf numFmtId="10" fontId="20" fillId="0" borderId="30" xfId="1" applyNumberFormat="1" applyFont="1" applyBorder="1">
      <alignment vertical="center"/>
    </xf>
    <xf numFmtId="10" fontId="20" fillId="0" borderId="32" xfId="1" applyNumberFormat="1" applyFont="1" applyBorder="1">
      <alignment vertical="center"/>
    </xf>
    <xf numFmtId="10" fontId="20" fillId="0" borderId="27" xfId="0" applyNumberFormat="1" applyFont="1" applyBorder="1">
      <alignment vertical="center"/>
    </xf>
    <xf numFmtId="10" fontId="20" fillId="0" borderId="28" xfId="1" applyNumberFormat="1" applyFont="1" applyBorder="1">
      <alignment vertical="center"/>
    </xf>
    <xf numFmtId="10" fontId="20" fillId="0" borderId="24" xfId="1" applyNumberFormat="1" applyFont="1" applyBorder="1">
      <alignment vertical="center"/>
    </xf>
    <xf numFmtId="10" fontId="20" fillId="0" borderId="27" xfId="1" applyNumberFormat="1" applyFont="1" applyBorder="1">
      <alignment vertical="center"/>
    </xf>
    <xf numFmtId="10" fontId="19" fillId="0" borderId="25" xfId="1" applyNumberFormat="1" applyFont="1" applyBorder="1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184" fontId="12" fillId="0" borderId="0" xfId="0" applyNumberFormat="1" applyFont="1">
      <alignment vertical="center"/>
    </xf>
    <xf numFmtId="184" fontId="22" fillId="0" borderId="0" xfId="0" applyNumberFormat="1" applyFont="1">
      <alignment vertical="center"/>
    </xf>
    <xf numFmtId="184" fontId="19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2" fontId="12" fillId="0" borderId="0" xfId="0" applyNumberFormat="1" applyFont="1">
      <alignment vertical="center"/>
    </xf>
    <xf numFmtId="185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84" fontId="6" fillId="0" borderId="0" xfId="0" applyNumberFormat="1" applyFont="1">
      <alignment vertical="center"/>
    </xf>
    <xf numFmtId="10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16" xfId="0" applyFont="1" applyBorder="1">
      <alignment vertical="center"/>
    </xf>
    <xf numFmtId="3" fontId="6" fillId="0" borderId="0" xfId="0" applyNumberFormat="1" applyFont="1" applyBorder="1">
      <alignment vertical="center"/>
    </xf>
    <xf numFmtId="0" fontId="6" fillId="0" borderId="0" xfId="0" applyFont="1" applyBorder="1" applyAlignment="1">
      <alignment horizontal="right" vertical="center"/>
    </xf>
    <xf numFmtId="182" fontId="6" fillId="0" borderId="0" xfId="0" applyNumberFormat="1" applyFont="1" applyBorder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 of Equity</c:v>
          </c:tx>
          <c:spPr>
            <a:ln w="19050"/>
          </c:spPr>
          <c:marker>
            <c:symbol val="none"/>
          </c:marker>
          <c:cat>
            <c:numRef>
              <c:f>WACC!$AI$91:$AI$100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WACC!$AK$91:$AK$100</c:f>
              <c:numCache>
                <c:formatCode>0.00%</c:formatCode>
                <c:ptCount val="10"/>
                <c:pt idx="0">
                  <c:v>5.5039017916390182E-2</c:v>
                </c:pt>
                <c:pt idx="1">
                  <c:v>5.6370139349701393E-2</c:v>
                </c:pt>
                <c:pt idx="2">
                  <c:v>5.8034041141340406E-2</c:v>
                </c:pt>
                <c:pt idx="3">
                  <c:v>6.0173343444876293E-2</c:v>
                </c:pt>
                <c:pt idx="4">
                  <c:v>6.3025746516257461E-2</c:v>
                </c:pt>
                <c:pt idx="5">
                  <c:v>6.7019110816191108E-2</c:v>
                </c:pt>
                <c:pt idx="6">
                  <c:v>7.3009157266091571E-2</c:v>
                </c:pt>
                <c:pt idx="7">
                  <c:v>8.2992568015925666E-2</c:v>
                </c:pt>
                <c:pt idx="8">
                  <c:v>0.10295938951559391</c:v>
                </c:pt>
                <c:pt idx="9">
                  <c:v>0.16285985401459857</c:v>
                </c:pt>
              </c:numCache>
            </c:numRef>
          </c:val>
          <c:smooth val="0"/>
        </c:ser>
        <c:ser>
          <c:idx val="1"/>
          <c:order val="1"/>
          <c:tx>
            <c:v>Cost of Debt (After Tax)</c:v>
          </c:tx>
          <c:spPr>
            <a:ln w="19050"/>
          </c:spPr>
          <c:marker>
            <c:symbol val="none"/>
          </c:marker>
          <c:val>
            <c:numRef>
              <c:f>WACC!$AO$91:$AO$100</c:f>
              <c:numCache>
                <c:formatCode>0.00%</c:formatCode>
                <c:ptCount val="10"/>
                <c:pt idx="0">
                  <c:v>2.8583999999999998E-2</c:v>
                </c:pt>
                <c:pt idx="1">
                  <c:v>2.9591999999999997E-2</c:v>
                </c:pt>
                <c:pt idx="2">
                  <c:v>3.4631999999999996E-2</c:v>
                </c:pt>
                <c:pt idx="3">
                  <c:v>5.2199999999999996E-2</c:v>
                </c:pt>
                <c:pt idx="4">
                  <c:v>6.3647999999999996E-2</c:v>
                </c:pt>
                <c:pt idx="5">
                  <c:v>6.6901120000000008E-2</c:v>
                </c:pt>
                <c:pt idx="6">
                  <c:v>0.12852851999999998</c:v>
                </c:pt>
                <c:pt idx="7">
                  <c:v>0.13308387999999999</c:v>
                </c:pt>
                <c:pt idx="8">
                  <c:v>0.13648436</c:v>
                </c:pt>
                <c:pt idx="9">
                  <c:v>0.13914699999999997</c:v>
                </c:pt>
              </c:numCache>
            </c:numRef>
          </c:val>
          <c:smooth val="0"/>
        </c:ser>
        <c:ser>
          <c:idx val="2"/>
          <c:order val="2"/>
          <c:tx>
            <c:v>Cost of Capital</c:v>
          </c:tx>
          <c:spPr>
            <a:ln w="19050"/>
          </c:spPr>
          <c:marker>
            <c:symbol val="none"/>
          </c:marker>
          <c:val>
            <c:numRef>
              <c:f>WACC!$AP$91:$AP$100</c:f>
              <c:numCache>
                <c:formatCode>0.00%</c:formatCode>
                <c:ptCount val="10"/>
                <c:pt idx="0">
                  <c:v>5.5039017916390182E-2</c:v>
                </c:pt>
                <c:pt idx="1">
                  <c:v>5.3692325414731255E-2</c:v>
                </c:pt>
                <c:pt idx="2">
                  <c:v>5.3353632913072324E-2</c:v>
                </c:pt>
                <c:pt idx="3">
                  <c:v>5.7781340411413404E-2</c:v>
                </c:pt>
                <c:pt idx="4">
                  <c:v>6.3274647909754483E-2</c:v>
                </c:pt>
                <c:pt idx="5">
                  <c:v>6.6960115408095558E-2</c:v>
                </c:pt>
                <c:pt idx="6">
                  <c:v>0.10632077490643661</c:v>
                </c:pt>
                <c:pt idx="7">
                  <c:v>0.1180564864047777</c:v>
                </c:pt>
                <c:pt idx="8">
                  <c:v>0.12977936590311878</c:v>
                </c:pt>
                <c:pt idx="9">
                  <c:v>0.14151828540145983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70240"/>
        <c:axId val="118984704"/>
      </c:lineChart>
      <c:catAx>
        <c:axId val="1189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Debt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18984704"/>
        <c:crosses val="autoZero"/>
        <c:auto val="1"/>
        <c:lblAlgn val="ctr"/>
        <c:lblOffset val="100"/>
        <c:noMultiLvlLbl val="0"/>
      </c:catAx>
      <c:valAx>
        <c:axId val="1189847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118970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799740695063718"/>
          <c:y val="0.1682051282051282"/>
          <c:w val="0.50826221421117568"/>
          <c:h val="0.70544755484159793"/>
        </c:manualLayout>
      </c:layout>
      <c:radarChart>
        <c:radarStyle val="marker"/>
        <c:varyColors val="0"/>
        <c:ser>
          <c:idx val="0"/>
          <c:order val="0"/>
          <c:spPr>
            <a:ln w="3175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[1]Dashboard!$O$4:$T$4</c:f>
              <c:strCache>
                <c:ptCount val="6"/>
                <c:pt idx="0">
                  <c:v>Low Risk</c:v>
                </c:pt>
                <c:pt idx="1">
                  <c:v>High Growth</c:v>
                </c:pt>
                <c:pt idx="2">
                  <c:v>Under Valued</c:v>
                </c:pt>
                <c:pt idx="3">
                  <c:v>Well Managed</c:v>
                </c:pt>
                <c:pt idx="4">
                  <c:v>Good Financials</c:v>
                </c:pt>
                <c:pt idx="5">
                  <c:v>Strong Moat</c:v>
                </c:pt>
              </c:strCache>
            </c:strRef>
          </c:cat>
          <c:val>
            <c:numRef>
              <c:f>[1]Dashboard!$O$5:$T$5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3232"/>
        <c:axId val="211424768"/>
      </c:radarChart>
      <c:catAx>
        <c:axId val="211423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211424768"/>
        <c:crosses val="autoZero"/>
        <c:auto val="0"/>
        <c:lblAlgn val="ctr"/>
        <c:lblOffset val="100"/>
        <c:noMultiLvlLbl val="0"/>
      </c:catAx>
      <c:valAx>
        <c:axId val="211424768"/>
        <c:scaling>
          <c:orientation val="minMax"/>
          <c:max val="5"/>
          <c:min val="0"/>
        </c:scaling>
        <c:delete val="0"/>
        <c:axPos val="l"/>
        <c:majorGridlines>
          <c:spPr>
            <a:ln w="9525" cmpd="sng"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  <a:prstDash val="sysDot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2114232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Historical Price</c:v>
          </c:tx>
          <c:spPr>
            <a:ln w="25400"/>
          </c:spPr>
          <c:marker>
            <c:symbol val="none"/>
          </c:marker>
          <c:cat>
            <c:numRef>
              <c:f>'Price VS Instr'!$A$2:$A$274</c:f>
              <c:numCache>
                <c:formatCode>m/d/yyyy</c:formatCode>
                <c:ptCount val="273"/>
                <c:pt idx="0">
                  <c:v>39454</c:v>
                </c:pt>
                <c:pt idx="1">
                  <c:v>39461</c:v>
                </c:pt>
                <c:pt idx="2">
                  <c:v>39468</c:v>
                </c:pt>
                <c:pt idx="3">
                  <c:v>39475</c:v>
                </c:pt>
                <c:pt idx="4">
                  <c:v>39482</c:v>
                </c:pt>
                <c:pt idx="5">
                  <c:v>39489</c:v>
                </c:pt>
                <c:pt idx="6">
                  <c:v>39496</c:v>
                </c:pt>
                <c:pt idx="7">
                  <c:v>39503</c:v>
                </c:pt>
                <c:pt idx="8">
                  <c:v>39510</c:v>
                </c:pt>
                <c:pt idx="9">
                  <c:v>39517</c:v>
                </c:pt>
                <c:pt idx="10">
                  <c:v>39524</c:v>
                </c:pt>
                <c:pt idx="11">
                  <c:v>39531</c:v>
                </c:pt>
                <c:pt idx="12">
                  <c:v>39538</c:v>
                </c:pt>
                <c:pt idx="13">
                  <c:v>39545</c:v>
                </c:pt>
                <c:pt idx="14">
                  <c:v>39552</c:v>
                </c:pt>
                <c:pt idx="15">
                  <c:v>39559</c:v>
                </c:pt>
                <c:pt idx="16">
                  <c:v>39566</c:v>
                </c:pt>
                <c:pt idx="17">
                  <c:v>39573</c:v>
                </c:pt>
                <c:pt idx="18">
                  <c:v>39580</c:v>
                </c:pt>
                <c:pt idx="19">
                  <c:v>39587</c:v>
                </c:pt>
                <c:pt idx="20">
                  <c:v>39594</c:v>
                </c:pt>
                <c:pt idx="21">
                  <c:v>39601</c:v>
                </c:pt>
                <c:pt idx="22">
                  <c:v>39608</c:v>
                </c:pt>
                <c:pt idx="23">
                  <c:v>39615</c:v>
                </c:pt>
                <c:pt idx="24">
                  <c:v>39622</c:v>
                </c:pt>
                <c:pt idx="25">
                  <c:v>39629</c:v>
                </c:pt>
                <c:pt idx="26">
                  <c:v>39636</c:v>
                </c:pt>
                <c:pt idx="27">
                  <c:v>39643</c:v>
                </c:pt>
                <c:pt idx="28">
                  <c:v>39650</c:v>
                </c:pt>
                <c:pt idx="29">
                  <c:v>39657</c:v>
                </c:pt>
                <c:pt idx="30">
                  <c:v>39664</c:v>
                </c:pt>
                <c:pt idx="31">
                  <c:v>39671</c:v>
                </c:pt>
                <c:pt idx="32">
                  <c:v>39678</c:v>
                </c:pt>
                <c:pt idx="33">
                  <c:v>39685</c:v>
                </c:pt>
                <c:pt idx="34">
                  <c:v>39692</c:v>
                </c:pt>
                <c:pt idx="35">
                  <c:v>39699</c:v>
                </c:pt>
                <c:pt idx="36">
                  <c:v>39706</c:v>
                </c:pt>
                <c:pt idx="37">
                  <c:v>39713</c:v>
                </c:pt>
                <c:pt idx="38">
                  <c:v>39720</c:v>
                </c:pt>
                <c:pt idx="39">
                  <c:v>39727</c:v>
                </c:pt>
                <c:pt idx="40">
                  <c:v>39734</c:v>
                </c:pt>
                <c:pt idx="41">
                  <c:v>39741</c:v>
                </c:pt>
                <c:pt idx="42">
                  <c:v>39748</c:v>
                </c:pt>
                <c:pt idx="43">
                  <c:v>39755</c:v>
                </c:pt>
                <c:pt idx="44">
                  <c:v>39762</c:v>
                </c:pt>
                <c:pt idx="45">
                  <c:v>39769</c:v>
                </c:pt>
                <c:pt idx="46">
                  <c:v>39776</c:v>
                </c:pt>
                <c:pt idx="47">
                  <c:v>39783</c:v>
                </c:pt>
                <c:pt idx="48">
                  <c:v>39790</c:v>
                </c:pt>
                <c:pt idx="49">
                  <c:v>39797</c:v>
                </c:pt>
                <c:pt idx="50">
                  <c:v>39804</c:v>
                </c:pt>
                <c:pt idx="51">
                  <c:v>39811</c:v>
                </c:pt>
                <c:pt idx="52">
                  <c:v>39818</c:v>
                </c:pt>
                <c:pt idx="53">
                  <c:v>39825</c:v>
                </c:pt>
                <c:pt idx="54">
                  <c:v>39832</c:v>
                </c:pt>
                <c:pt idx="55">
                  <c:v>39839</c:v>
                </c:pt>
                <c:pt idx="56">
                  <c:v>39846</c:v>
                </c:pt>
                <c:pt idx="57">
                  <c:v>39853</c:v>
                </c:pt>
                <c:pt idx="58">
                  <c:v>39861</c:v>
                </c:pt>
                <c:pt idx="59">
                  <c:v>39867</c:v>
                </c:pt>
                <c:pt idx="60">
                  <c:v>39874</c:v>
                </c:pt>
                <c:pt idx="61">
                  <c:v>39881</c:v>
                </c:pt>
                <c:pt idx="62">
                  <c:v>39888</c:v>
                </c:pt>
                <c:pt idx="63">
                  <c:v>39895</c:v>
                </c:pt>
                <c:pt idx="64">
                  <c:v>39902</c:v>
                </c:pt>
                <c:pt idx="65">
                  <c:v>39909</c:v>
                </c:pt>
                <c:pt idx="66">
                  <c:v>39916</c:v>
                </c:pt>
                <c:pt idx="67">
                  <c:v>39923</c:v>
                </c:pt>
                <c:pt idx="68">
                  <c:v>39930</c:v>
                </c:pt>
                <c:pt idx="69">
                  <c:v>39937</c:v>
                </c:pt>
                <c:pt idx="70">
                  <c:v>39944</c:v>
                </c:pt>
                <c:pt idx="71">
                  <c:v>39951</c:v>
                </c:pt>
                <c:pt idx="72">
                  <c:v>39958</c:v>
                </c:pt>
                <c:pt idx="73">
                  <c:v>39965</c:v>
                </c:pt>
                <c:pt idx="74">
                  <c:v>39972</c:v>
                </c:pt>
                <c:pt idx="75">
                  <c:v>39979</c:v>
                </c:pt>
                <c:pt idx="76">
                  <c:v>39986</c:v>
                </c:pt>
                <c:pt idx="77">
                  <c:v>39993</c:v>
                </c:pt>
                <c:pt idx="78">
                  <c:v>40000</c:v>
                </c:pt>
                <c:pt idx="79">
                  <c:v>40007</c:v>
                </c:pt>
                <c:pt idx="80">
                  <c:v>40014</c:v>
                </c:pt>
                <c:pt idx="81">
                  <c:v>40021</c:v>
                </c:pt>
                <c:pt idx="82">
                  <c:v>40028</c:v>
                </c:pt>
                <c:pt idx="83">
                  <c:v>40035</c:v>
                </c:pt>
                <c:pt idx="84">
                  <c:v>40042</c:v>
                </c:pt>
                <c:pt idx="85">
                  <c:v>40049</c:v>
                </c:pt>
                <c:pt idx="86">
                  <c:v>40056</c:v>
                </c:pt>
                <c:pt idx="87">
                  <c:v>40063</c:v>
                </c:pt>
                <c:pt idx="88">
                  <c:v>40070</c:v>
                </c:pt>
                <c:pt idx="89">
                  <c:v>40077</c:v>
                </c:pt>
                <c:pt idx="90">
                  <c:v>40084</c:v>
                </c:pt>
                <c:pt idx="91">
                  <c:v>40091</c:v>
                </c:pt>
                <c:pt idx="92">
                  <c:v>40099</c:v>
                </c:pt>
                <c:pt idx="93">
                  <c:v>40105</c:v>
                </c:pt>
                <c:pt idx="94">
                  <c:v>40112</c:v>
                </c:pt>
                <c:pt idx="95">
                  <c:v>40119</c:v>
                </c:pt>
                <c:pt idx="96">
                  <c:v>40126</c:v>
                </c:pt>
                <c:pt idx="97">
                  <c:v>40133</c:v>
                </c:pt>
                <c:pt idx="98">
                  <c:v>40140</c:v>
                </c:pt>
                <c:pt idx="99">
                  <c:v>40147</c:v>
                </c:pt>
                <c:pt idx="100">
                  <c:v>40154</c:v>
                </c:pt>
                <c:pt idx="101">
                  <c:v>40161</c:v>
                </c:pt>
                <c:pt idx="102">
                  <c:v>40168</c:v>
                </c:pt>
                <c:pt idx="103">
                  <c:v>40176</c:v>
                </c:pt>
                <c:pt idx="104">
                  <c:v>40182</c:v>
                </c:pt>
                <c:pt idx="105">
                  <c:v>40189</c:v>
                </c:pt>
                <c:pt idx="106">
                  <c:v>40196</c:v>
                </c:pt>
                <c:pt idx="107">
                  <c:v>40203</c:v>
                </c:pt>
                <c:pt idx="108">
                  <c:v>40210</c:v>
                </c:pt>
                <c:pt idx="109">
                  <c:v>40217</c:v>
                </c:pt>
                <c:pt idx="110">
                  <c:v>40225</c:v>
                </c:pt>
                <c:pt idx="111">
                  <c:v>40231</c:v>
                </c:pt>
                <c:pt idx="112">
                  <c:v>40238</c:v>
                </c:pt>
                <c:pt idx="113">
                  <c:v>40245</c:v>
                </c:pt>
                <c:pt idx="114">
                  <c:v>40252</c:v>
                </c:pt>
                <c:pt idx="115">
                  <c:v>40259</c:v>
                </c:pt>
                <c:pt idx="116">
                  <c:v>40266</c:v>
                </c:pt>
                <c:pt idx="117">
                  <c:v>40273</c:v>
                </c:pt>
                <c:pt idx="118">
                  <c:v>40280</c:v>
                </c:pt>
                <c:pt idx="119">
                  <c:v>40287</c:v>
                </c:pt>
                <c:pt idx="120">
                  <c:v>40294</c:v>
                </c:pt>
                <c:pt idx="121">
                  <c:v>40301</c:v>
                </c:pt>
                <c:pt idx="122">
                  <c:v>40308</c:v>
                </c:pt>
                <c:pt idx="123">
                  <c:v>40315</c:v>
                </c:pt>
                <c:pt idx="124">
                  <c:v>40323</c:v>
                </c:pt>
                <c:pt idx="125">
                  <c:v>40329</c:v>
                </c:pt>
                <c:pt idx="126">
                  <c:v>40336</c:v>
                </c:pt>
                <c:pt idx="127">
                  <c:v>40343</c:v>
                </c:pt>
                <c:pt idx="128">
                  <c:v>40350</c:v>
                </c:pt>
                <c:pt idx="129">
                  <c:v>40357</c:v>
                </c:pt>
                <c:pt idx="130">
                  <c:v>40364</c:v>
                </c:pt>
                <c:pt idx="131">
                  <c:v>40371</c:v>
                </c:pt>
                <c:pt idx="132">
                  <c:v>40378</c:v>
                </c:pt>
                <c:pt idx="133">
                  <c:v>40385</c:v>
                </c:pt>
                <c:pt idx="134">
                  <c:v>40393</c:v>
                </c:pt>
                <c:pt idx="135">
                  <c:v>40399</c:v>
                </c:pt>
                <c:pt idx="136">
                  <c:v>40406</c:v>
                </c:pt>
                <c:pt idx="137">
                  <c:v>40413</c:v>
                </c:pt>
                <c:pt idx="138">
                  <c:v>40441</c:v>
                </c:pt>
                <c:pt idx="139">
                  <c:v>40448</c:v>
                </c:pt>
                <c:pt idx="140">
                  <c:v>40455</c:v>
                </c:pt>
                <c:pt idx="141">
                  <c:v>40463</c:v>
                </c:pt>
                <c:pt idx="142">
                  <c:v>40469</c:v>
                </c:pt>
                <c:pt idx="143">
                  <c:v>40476</c:v>
                </c:pt>
                <c:pt idx="144">
                  <c:v>40483</c:v>
                </c:pt>
                <c:pt idx="145">
                  <c:v>40490</c:v>
                </c:pt>
                <c:pt idx="146">
                  <c:v>40497</c:v>
                </c:pt>
                <c:pt idx="147">
                  <c:v>40504</c:v>
                </c:pt>
                <c:pt idx="148">
                  <c:v>40511</c:v>
                </c:pt>
                <c:pt idx="149">
                  <c:v>40518</c:v>
                </c:pt>
                <c:pt idx="150">
                  <c:v>40525</c:v>
                </c:pt>
                <c:pt idx="151">
                  <c:v>40532</c:v>
                </c:pt>
                <c:pt idx="152">
                  <c:v>40541</c:v>
                </c:pt>
                <c:pt idx="153">
                  <c:v>40547</c:v>
                </c:pt>
                <c:pt idx="154">
                  <c:v>40553</c:v>
                </c:pt>
                <c:pt idx="155">
                  <c:v>40560</c:v>
                </c:pt>
                <c:pt idx="156">
                  <c:v>40567</c:v>
                </c:pt>
                <c:pt idx="157">
                  <c:v>40574</c:v>
                </c:pt>
                <c:pt idx="158">
                  <c:v>40581</c:v>
                </c:pt>
                <c:pt idx="159">
                  <c:v>40588</c:v>
                </c:pt>
                <c:pt idx="160">
                  <c:v>40596</c:v>
                </c:pt>
                <c:pt idx="161">
                  <c:v>40602</c:v>
                </c:pt>
                <c:pt idx="162">
                  <c:v>40609</c:v>
                </c:pt>
                <c:pt idx="163">
                  <c:v>40616</c:v>
                </c:pt>
                <c:pt idx="164">
                  <c:v>40623</c:v>
                </c:pt>
                <c:pt idx="165">
                  <c:v>40630</c:v>
                </c:pt>
                <c:pt idx="166">
                  <c:v>40637</c:v>
                </c:pt>
                <c:pt idx="167">
                  <c:v>40644</c:v>
                </c:pt>
                <c:pt idx="168">
                  <c:v>40651</c:v>
                </c:pt>
                <c:pt idx="169">
                  <c:v>40658</c:v>
                </c:pt>
                <c:pt idx="170">
                  <c:v>40665</c:v>
                </c:pt>
                <c:pt idx="171">
                  <c:v>40672</c:v>
                </c:pt>
                <c:pt idx="172">
                  <c:v>40679</c:v>
                </c:pt>
                <c:pt idx="173">
                  <c:v>40687</c:v>
                </c:pt>
                <c:pt idx="174">
                  <c:v>40693</c:v>
                </c:pt>
                <c:pt idx="175">
                  <c:v>40700</c:v>
                </c:pt>
                <c:pt idx="176">
                  <c:v>40707</c:v>
                </c:pt>
                <c:pt idx="177">
                  <c:v>40714</c:v>
                </c:pt>
                <c:pt idx="178">
                  <c:v>40721</c:v>
                </c:pt>
                <c:pt idx="179">
                  <c:v>40728</c:v>
                </c:pt>
                <c:pt idx="180">
                  <c:v>40735</c:v>
                </c:pt>
                <c:pt idx="181">
                  <c:v>40742</c:v>
                </c:pt>
                <c:pt idx="182">
                  <c:v>40749</c:v>
                </c:pt>
                <c:pt idx="183">
                  <c:v>40757</c:v>
                </c:pt>
                <c:pt idx="184">
                  <c:v>40763</c:v>
                </c:pt>
                <c:pt idx="185">
                  <c:v>40770</c:v>
                </c:pt>
                <c:pt idx="186">
                  <c:v>40777</c:v>
                </c:pt>
                <c:pt idx="187">
                  <c:v>40784</c:v>
                </c:pt>
                <c:pt idx="188">
                  <c:v>40792</c:v>
                </c:pt>
                <c:pt idx="189">
                  <c:v>40798</c:v>
                </c:pt>
                <c:pt idx="190">
                  <c:v>40805</c:v>
                </c:pt>
                <c:pt idx="191">
                  <c:v>40812</c:v>
                </c:pt>
                <c:pt idx="192">
                  <c:v>40819</c:v>
                </c:pt>
                <c:pt idx="193">
                  <c:v>40827</c:v>
                </c:pt>
                <c:pt idx="194">
                  <c:v>40833</c:v>
                </c:pt>
                <c:pt idx="195">
                  <c:v>40840</c:v>
                </c:pt>
                <c:pt idx="196">
                  <c:v>40847</c:v>
                </c:pt>
                <c:pt idx="197">
                  <c:v>40854</c:v>
                </c:pt>
                <c:pt idx="198">
                  <c:v>40861</c:v>
                </c:pt>
                <c:pt idx="199">
                  <c:v>40868</c:v>
                </c:pt>
                <c:pt idx="200">
                  <c:v>40875</c:v>
                </c:pt>
                <c:pt idx="201">
                  <c:v>40882</c:v>
                </c:pt>
                <c:pt idx="202">
                  <c:v>40889</c:v>
                </c:pt>
                <c:pt idx="203">
                  <c:v>40896</c:v>
                </c:pt>
                <c:pt idx="204">
                  <c:v>40903</c:v>
                </c:pt>
                <c:pt idx="205">
                  <c:v>40910</c:v>
                </c:pt>
                <c:pt idx="206">
                  <c:v>40917</c:v>
                </c:pt>
                <c:pt idx="207">
                  <c:v>40924</c:v>
                </c:pt>
                <c:pt idx="208">
                  <c:v>40931</c:v>
                </c:pt>
                <c:pt idx="209">
                  <c:v>40938</c:v>
                </c:pt>
                <c:pt idx="210">
                  <c:v>40945</c:v>
                </c:pt>
                <c:pt idx="211">
                  <c:v>40952</c:v>
                </c:pt>
                <c:pt idx="212">
                  <c:v>40959</c:v>
                </c:pt>
                <c:pt idx="213">
                  <c:v>40966</c:v>
                </c:pt>
                <c:pt idx="214">
                  <c:v>40973</c:v>
                </c:pt>
                <c:pt idx="215">
                  <c:v>40980</c:v>
                </c:pt>
                <c:pt idx="216">
                  <c:v>40987</c:v>
                </c:pt>
                <c:pt idx="217">
                  <c:v>40994</c:v>
                </c:pt>
                <c:pt idx="218">
                  <c:v>41001</c:v>
                </c:pt>
                <c:pt idx="219">
                  <c:v>41008</c:v>
                </c:pt>
                <c:pt idx="220">
                  <c:v>41015</c:v>
                </c:pt>
                <c:pt idx="221">
                  <c:v>41022</c:v>
                </c:pt>
                <c:pt idx="222">
                  <c:v>41029</c:v>
                </c:pt>
                <c:pt idx="223">
                  <c:v>41036</c:v>
                </c:pt>
                <c:pt idx="224">
                  <c:v>41043</c:v>
                </c:pt>
                <c:pt idx="225">
                  <c:v>41050</c:v>
                </c:pt>
                <c:pt idx="226">
                  <c:v>41057</c:v>
                </c:pt>
                <c:pt idx="227">
                  <c:v>41064</c:v>
                </c:pt>
                <c:pt idx="228">
                  <c:v>41071</c:v>
                </c:pt>
                <c:pt idx="229">
                  <c:v>41078</c:v>
                </c:pt>
                <c:pt idx="230">
                  <c:v>41085</c:v>
                </c:pt>
                <c:pt idx="231">
                  <c:v>41092</c:v>
                </c:pt>
                <c:pt idx="232">
                  <c:v>41099</c:v>
                </c:pt>
                <c:pt idx="233">
                  <c:v>41106</c:v>
                </c:pt>
                <c:pt idx="234">
                  <c:v>41113</c:v>
                </c:pt>
                <c:pt idx="235">
                  <c:v>41120</c:v>
                </c:pt>
                <c:pt idx="236">
                  <c:v>41127</c:v>
                </c:pt>
                <c:pt idx="237">
                  <c:v>41134</c:v>
                </c:pt>
                <c:pt idx="238">
                  <c:v>41141</c:v>
                </c:pt>
                <c:pt idx="239">
                  <c:v>41148</c:v>
                </c:pt>
                <c:pt idx="240">
                  <c:v>41155</c:v>
                </c:pt>
                <c:pt idx="241">
                  <c:v>41162</c:v>
                </c:pt>
                <c:pt idx="242">
                  <c:v>41169</c:v>
                </c:pt>
                <c:pt idx="243">
                  <c:v>41176</c:v>
                </c:pt>
                <c:pt idx="244">
                  <c:v>41183</c:v>
                </c:pt>
                <c:pt idx="245">
                  <c:v>41190</c:v>
                </c:pt>
                <c:pt idx="246">
                  <c:v>41197</c:v>
                </c:pt>
                <c:pt idx="247">
                  <c:v>41204</c:v>
                </c:pt>
                <c:pt idx="248">
                  <c:v>41211</c:v>
                </c:pt>
                <c:pt idx="249">
                  <c:v>41218</c:v>
                </c:pt>
                <c:pt idx="250">
                  <c:v>41225</c:v>
                </c:pt>
                <c:pt idx="251">
                  <c:v>41232</c:v>
                </c:pt>
                <c:pt idx="252">
                  <c:v>41239</c:v>
                </c:pt>
                <c:pt idx="253">
                  <c:v>41246</c:v>
                </c:pt>
                <c:pt idx="254">
                  <c:v>41253</c:v>
                </c:pt>
                <c:pt idx="255">
                  <c:v>41260</c:v>
                </c:pt>
                <c:pt idx="256">
                  <c:v>41267</c:v>
                </c:pt>
                <c:pt idx="257">
                  <c:v>41274</c:v>
                </c:pt>
                <c:pt idx="258">
                  <c:v>41281</c:v>
                </c:pt>
                <c:pt idx="259">
                  <c:v>41288</c:v>
                </c:pt>
                <c:pt idx="260">
                  <c:v>41295</c:v>
                </c:pt>
                <c:pt idx="261">
                  <c:v>41302</c:v>
                </c:pt>
                <c:pt idx="262">
                  <c:v>41309</c:v>
                </c:pt>
                <c:pt idx="263">
                  <c:v>41316</c:v>
                </c:pt>
                <c:pt idx="264">
                  <c:v>41323</c:v>
                </c:pt>
                <c:pt idx="265">
                  <c:v>41330</c:v>
                </c:pt>
                <c:pt idx="266">
                  <c:v>41337</c:v>
                </c:pt>
                <c:pt idx="267">
                  <c:v>41344</c:v>
                </c:pt>
                <c:pt idx="268">
                  <c:v>41351</c:v>
                </c:pt>
                <c:pt idx="269">
                  <c:v>41358</c:v>
                </c:pt>
                <c:pt idx="270">
                  <c:v>41365</c:v>
                </c:pt>
                <c:pt idx="271">
                  <c:v>41372</c:v>
                </c:pt>
                <c:pt idx="272">
                  <c:v>41379</c:v>
                </c:pt>
              </c:numCache>
            </c:numRef>
          </c:cat>
          <c:val>
            <c:numRef>
              <c:f>'Price VS Instr'!$B$2:$B$274</c:f>
              <c:numCache>
                <c:formatCode>_-\$* #,##0.00_ ;_-\$* \-#,##0.00\ ;_-\$* "-"??_ ;_-@_ </c:formatCode>
                <c:ptCount val="273"/>
                <c:pt idx="0">
                  <c:v>17.28</c:v>
                </c:pt>
                <c:pt idx="1">
                  <c:v>15.46</c:v>
                </c:pt>
                <c:pt idx="2">
                  <c:v>15.15</c:v>
                </c:pt>
                <c:pt idx="3">
                  <c:v>16.12</c:v>
                </c:pt>
                <c:pt idx="4">
                  <c:v>15.67</c:v>
                </c:pt>
                <c:pt idx="5">
                  <c:v>16.64</c:v>
                </c:pt>
                <c:pt idx="6">
                  <c:v>16.14</c:v>
                </c:pt>
                <c:pt idx="7">
                  <c:v>15.07</c:v>
                </c:pt>
                <c:pt idx="8">
                  <c:v>14.52</c:v>
                </c:pt>
                <c:pt idx="9">
                  <c:v>14.38</c:v>
                </c:pt>
                <c:pt idx="10">
                  <c:v>14.33</c:v>
                </c:pt>
                <c:pt idx="11">
                  <c:v>14.31</c:v>
                </c:pt>
                <c:pt idx="12">
                  <c:v>16.25</c:v>
                </c:pt>
                <c:pt idx="13">
                  <c:v>16.68</c:v>
                </c:pt>
                <c:pt idx="14">
                  <c:v>16.27</c:v>
                </c:pt>
                <c:pt idx="15">
                  <c:v>16.63</c:v>
                </c:pt>
                <c:pt idx="16">
                  <c:v>17.32</c:v>
                </c:pt>
                <c:pt idx="17">
                  <c:v>17.29</c:v>
                </c:pt>
                <c:pt idx="18">
                  <c:v>17.440000000000001</c:v>
                </c:pt>
                <c:pt idx="19">
                  <c:v>17.02</c:v>
                </c:pt>
                <c:pt idx="20">
                  <c:v>16.34</c:v>
                </c:pt>
                <c:pt idx="21">
                  <c:v>16.59</c:v>
                </c:pt>
                <c:pt idx="22">
                  <c:v>16</c:v>
                </c:pt>
                <c:pt idx="23">
                  <c:v>15.42</c:v>
                </c:pt>
                <c:pt idx="24">
                  <c:v>15.77</c:v>
                </c:pt>
                <c:pt idx="25">
                  <c:v>16.89</c:v>
                </c:pt>
                <c:pt idx="26">
                  <c:v>17.03</c:v>
                </c:pt>
                <c:pt idx="27">
                  <c:v>18.32</c:v>
                </c:pt>
                <c:pt idx="28">
                  <c:v>17.690000000000001</c:v>
                </c:pt>
                <c:pt idx="29">
                  <c:v>17.260000000000002</c:v>
                </c:pt>
                <c:pt idx="30">
                  <c:v>17.79</c:v>
                </c:pt>
                <c:pt idx="31">
                  <c:v>17.95</c:v>
                </c:pt>
                <c:pt idx="32">
                  <c:v>17.37</c:v>
                </c:pt>
                <c:pt idx="33">
                  <c:v>18.350000000000001</c:v>
                </c:pt>
                <c:pt idx="34">
                  <c:v>18.239999999999998</c:v>
                </c:pt>
                <c:pt idx="35">
                  <c:v>19.11</c:v>
                </c:pt>
                <c:pt idx="36">
                  <c:v>17.88</c:v>
                </c:pt>
                <c:pt idx="37">
                  <c:v>17.61</c:v>
                </c:pt>
                <c:pt idx="38">
                  <c:v>16.62</c:v>
                </c:pt>
                <c:pt idx="39">
                  <c:v>15.72</c:v>
                </c:pt>
                <c:pt idx="40">
                  <c:v>16.93</c:v>
                </c:pt>
                <c:pt idx="41">
                  <c:v>16.2</c:v>
                </c:pt>
                <c:pt idx="42">
                  <c:v>17.02</c:v>
                </c:pt>
                <c:pt idx="43">
                  <c:v>17.88</c:v>
                </c:pt>
                <c:pt idx="44">
                  <c:v>18.2</c:v>
                </c:pt>
                <c:pt idx="45">
                  <c:v>16.100000000000001</c:v>
                </c:pt>
                <c:pt idx="46">
                  <c:v>17.79</c:v>
                </c:pt>
                <c:pt idx="47">
                  <c:v>17.5</c:v>
                </c:pt>
                <c:pt idx="48">
                  <c:v>17.329999999999998</c:v>
                </c:pt>
                <c:pt idx="49">
                  <c:v>17.22</c:v>
                </c:pt>
                <c:pt idx="50">
                  <c:v>17.23</c:v>
                </c:pt>
                <c:pt idx="51">
                  <c:v>18</c:v>
                </c:pt>
                <c:pt idx="52">
                  <c:v>16.850000000000001</c:v>
                </c:pt>
                <c:pt idx="53">
                  <c:v>17.43</c:v>
                </c:pt>
                <c:pt idx="54">
                  <c:v>16.52</c:v>
                </c:pt>
                <c:pt idx="55">
                  <c:v>16.190000000000001</c:v>
                </c:pt>
                <c:pt idx="56">
                  <c:v>16.690000000000001</c:v>
                </c:pt>
                <c:pt idx="57">
                  <c:v>16.420000000000002</c:v>
                </c:pt>
                <c:pt idx="58">
                  <c:v>15</c:v>
                </c:pt>
                <c:pt idx="59">
                  <c:v>15.35</c:v>
                </c:pt>
                <c:pt idx="60">
                  <c:v>14.7</c:v>
                </c:pt>
                <c:pt idx="61">
                  <c:v>15.28</c:v>
                </c:pt>
                <c:pt idx="62">
                  <c:v>15.87</c:v>
                </c:pt>
                <c:pt idx="63">
                  <c:v>16.32</c:v>
                </c:pt>
                <c:pt idx="64">
                  <c:v>15.93</c:v>
                </c:pt>
                <c:pt idx="65">
                  <c:v>15.89</c:v>
                </c:pt>
                <c:pt idx="66">
                  <c:v>15.27</c:v>
                </c:pt>
                <c:pt idx="67">
                  <c:v>15.01</c:v>
                </c:pt>
                <c:pt idx="68">
                  <c:v>15.2</c:v>
                </c:pt>
                <c:pt idx="69">
                  <c:v>15.89</c:v>
                </c:pt>
                <c:pt idx="70">
                  <c:v>15.48</c:v>
                </c:pt>
                <c:pt idx="71">
                  <c:v>15.69</c:v>
                </c:pt>
                <c:pt idx="72">
                  <c:v>15.61</c:v>
                </c:pt>
                <c:pt idx="73">
                  <c:v>15.67</c:v>
                </c:pt>
                <c:pt idx="74">
                  <c:v>15.75</c:v>
                </c:pt>
                <c:pt idx="75">
                  <c:v>16.16</c:v>
                </c:pt>
                <c:pt idx="76">
                  <c:v>16.38</c:v>
                </c:pt>
                <c:pt idx="77">
                  <c:v>15.94</c:v>
                </c:pt>
                <c:pt idx="78">
                  <c:v>14.91</c:v>
                </c:pt>
                <c:pt idx="79">
                  <c:v>15.62</c:v>
                </c:pt>
                <c:pt idx="80">
                  <c:v>15.67</c:v>
                </c:pt>
                <c:pt idx="81">
                  <c:v>15.73</c:v>
                </c:pt>
                <c:pt idx="82">
                  <c:v>15.75</c:v>
                </c:pt>
                <c:pt idx="83">
                  <c:v>15.63</c:v>
                </c:pt>
                <c:pt idx="84">
                  <c:v>15.57</c:v>
                </c:pt>
                <c:pt idx="85">
                  <c:v>15.39</c:v>
                </c:pt>
                <c:pt idx="86">
                  <c:v>15.87</c:v>
                </c:pt>
                <c:pt idx="87">
                  <c:v>15.88</c:v>
                </c:pt>
                <c:pt idx="88">
                  <c:v>16.420000000000002</c:v>
                </c:pt>
                <c:pt idx="89">
                  <c:v>15.96</c:v>
                </c:pt>
                <c:pt idx="90">
                  <c:v>16.04</c:v>
                </c:pt>
                <c:pt idx="91">
                  <c:v>16.79</c:v>
                </c:pt>
                <c:pt idx="92">
                  <c:v>16.760000000000002</c:v>
                </c:pt>
                <c:pt idx="93">
                  <c:v>16.78</c:v>
                </c:pt>
                <c:pt idx="94">
                  <c:v>16.190000000000001</c:v>
                </c:pt>
                <c:pt idx="95">
                  <c:v>16.690000000000001</c:v>
                </c:pt>
                <c:pt idx="96">
                  <c:v>16.63</c:v>
                </c:pt>
                <c:pt idx="97">
                  <c:v>16.82</c:v>
                </c:pt>
                <c:pt idx="98">
                  <c:v>17.28</c:v>
                </c:pt>
                <c:pt idx="99">
                  <c:v>17.920000000000002</c:v>
                </c:pt>
                <c:pt idx="100">
                  <c:v>18.43</c:v>
                </c:pt>
                <c:pt idx="101">
                  <c:v>18.649999999999999</c:v>
                </c:pt>
                <c:pt idx="102">
                  <c:v>18.260000000000002</c:v>
                </c:pt>
                <c:pt idx="103">
                  <c:v>18.350000000000001</c:v>
                </c:pt>
                <c:pt idx="104">
                  <c:v>17.62</c:v>
                </c:pt>
                <c:pt idx="105">
                  <c:v>17.21</c:v>
                </c:pt>
                <c:pt idx="106">
                  <c:v>17.25</c:v>
                </c:pt>
                <c:pt idx="107">
                  <c:v>16.91</c:v>
                </c:pt>
                <c:pt idx="108">
                  <c:v>16.77</c:v>
                </c:pt>
                <c:pt idx="109">
                  <c:v>16.46</c:v>
                </c:pt>
                <c:pt idx="110">
                  <c:v>17.14</c:v>
                </c:pt>
                <c:pt idx="111">
                  <c:v>17.03</c:v>
                </c:pt>
                <c:pt idx="112">
                  <c:v>17.649999999999999</c:v>
                </c:pt>
                <c:pt idx="113">
                  <c:v>17.649999999999999</c:v>
                </c:pt>
                <c:pt idx="114">
                  <c:v>17.21</c:v>
                </c:pt>
                <c:pt idx="115">
                  <c:v>17.239999999999998</c:v>
                </c:pt>
                <c:pt idx="116">
                  <c:v>17.239999999999998</c:v>
                </c:pt>
                <c:pt idx="117">
                  <c:v>16.989999999999998</c:v>
                </c:pt>
                <c:pt idx="118">
                  <c:v>16.75</c:v>
                </c:pt>
                <c:pt idx="119">
                  <c:v>16.68</c:v>
                </c:pt>
                <c:pt idx="120">
                  <c:v>16.399999999999999</c:v>
                </c:pt>
                <c:pt idx="121">
                  <c:v>16.260000000000002</c:v>
                </c:pt>
                <c:pt idx="122">
                  <c:v>16.55</c:v>
                </c:pt>
                <c:pt idx="123">
                  <c:v>16.43</c:v>
                </c:pt>
                <c:pt idx="124">
                  <c:v>16.59</c:v>
                </c:pt>
                <c:pt idx="125">
                  <c:v>16.559999999999999</c:v>
                </c:pt>
                <c:pt idx="126">
                  <c:v>17.149999999999999</c:v>
                </c:pt>
                <c:pt idx="127">
                  <c:v>17.190000000000001</c:v>
                </c:pt>
                <c:pt idx="128">
                  <c:v>16.7</c:v>
                </c:pt>
                <c:pt idx="129">
                  <c:v>16.940000000000001</c:v>
                </c:pt>
                <c:pt idx="130">
                  <c:v>17.52</c:v>
                </c:pt>
                <c:pt idx="131">
                  <c:v>17.579999999999998</c:v>
                </c:pt>
                <c:pt idx="132">
                  <c:v>17.850000000000001</c:v>
                </c:pt>
                <c:pt idx="133">
                  <c:v>17.53</c:v>
                </c:pt>
                <c:pt idx="134">
                  <c:v>18.21</c:v>
                </c:pt>
                <c:pt idx="135">
                  <c:v>18.07</c:v>
                </c:pt>
                <c:pt idx="136">
                  <c:v>18.600000000000001</c:v>
                </c:pt>
                <c:pt idx="137">
                  <c:v>19.239999999999998</c:v>
                </c:pt>
                <c:pt idx="138">
                  <c:v>19.63</c:v>
                </c:pt>
                <c:pt idx="139">
                  <c:v>19.489999999999998</c:v>
                </c:pt>
                <c:pt idx="140">
                  <c:v>19.690000000000001</c:v>
                </c:pt>
                <c:pt idx="141">
                  <c:v>19.739999999999998</c:v>
                </c:pt>
                <c:pt idx="142">
                  <c:v>19.41</c:v>
                </c:pt>
                <c:pt idx="143">
                  <c:v>19.190000000000001</c:v>
                </c:pt>
                <c:pt idx="144">
                  <c:v>18.98</c:v>
                </c:pt>
                <c:pt idx="145">
                  <c:v>18.3</c:v>
                </c:pt>
                <c:pt idx="146">
                  <c:v>18.489999999999998</c:v>
                </c:pt>
                <c:pt idx="147">
                  <c:v>18.170000000000002</c:v>
                </c:pt>
                <c:pt idx="148">
                  <c:v>18.13</c:v>
                </c:pt>
                <c:pt idx="149">
                  <c:v>18.13</c:v>
                </c:pt>
                <c:pt idx="150">
                  <c:v>18.52</c:v>
                </c:pt>
                <c:pt idx="151">
                  <c:v>18.78</c:v>
                </c:pt>
                <c:pt idx="152">
                  <c:v>18.86</c:v>
                </c:pt>
                <c:pt idx="153">
                  <c:v>18.11</c:v>
                </c:pt>
                <c:pt idx="154">
                  <c:v>18.489999999999998</c:v>
                </c:pt>
                <c:pt idx="155">
                  <c:v>18.71</c:v>
                </c:pt>
                <c:pt idx="156">
                  <c:v>18.62</c:v>
                </c:pt>
                <c:pt idx="157">
                  <c:v>19.170000000000002</c:v>
                </c:pt>
                <c:pt idx="158">
                  <c:v>19.21</c:v>
                </c:pt>
                <c:pt idx="159">
                  <c:v>18.72</c:v>
                </c:pt>
                <c:pt idx="160">
                  <c:v>18.420000000000002</c:v>
                </c:pt>
                <c:pt idx="161">
                  <c:v>18.25</c:v>
                </c:pt>
                <c:pt idx="162">
                  <c:v>18.09</c:v>
                </c:pt>
                <c:pt idx="163">
                  <c:v>18.3</c:v>
                </c:pt>
                <c:pt idx="164">
                  <c:v>17.97</c:v>
                </c:pt>
                <c:pt idx="165">
                  <c:v>18.18</c:v>
                </c:pt>
                <c:pt idx="166">
                  <c:v>18.440000000000001</c:v>
                </c:pt>
                <c:pt idx="167">
                  <c:v>17.170000000000002</c:v>
                </c:pt>
                <c:pt idx="168">
                  <c:v>17.57</c:v>
                </c:pt>
                <c:pt idx="169">
                  <c:v>17.91</c:v>
                </c:pt>
                <c:pt idx="170">
                  <c:v>18.03</c:v>
                </c:pt>
                <c:pt idx="171">
                  <c:v>18</c:v>
                </c:pt>
                <c:pt idx="172">
                  <c:v>18.54</c:v>
                </c:pt>
                <c:pt idx="173">
                  <c:v>18.48</c:v>
                </c:pt>
                <c:pt idx="174">
                  <c:v>18.46</c:v>
                </c:pt>
                <c:pt idx="175">
                  <c:v>18.399999999999999</c:v>
                </c:pt>
                <c:pt idx="176">
                  <c:v>18.38</c:v>
                </c:pt>
                <c:pt idx="177">
                  <c:v>18.579999999999998</c:v>
                </c:pt>
                <c:pt idx="178">
                  <c:v>19.86</c:v>
                </c:pt>
                <c:pt idx="179">
                  <c:v>19.690000000000001</c:v>
                </c:pt>
                <c:pt idx="180">
                  <c:v>19.75</c:v>
                </c:pt>
                <c:pt idx="181">
                  <c:v>19.760000000000002</c:v>
                </c:pt>
                <c:pt idx="182">
                  <c:v>19.559999999999999</c:v>
                </c:pt>
                <c:pt idx="183">
                  <c:v>18.89</c:v>
                </c:pt>
                <c:pt idx="184">
                  <c:v>19.38</c:v>
                </c:pt>
                <c:pt idx="185">
                  <c:v>19.309999999999999</c:v>
                </c:pt>
                <c:pt idx="186">
                  <c:v>19.61</c:v>
                </c:pt>
                <c:pt idx="187">
                  <c:v>19.47</c:v>
                </c:pt>
                <c:pt idx="188">
                  <c:v>19.559999999999999</c:v>
                </c:pt>
                <c:pt idx="189">
                  <c:v>19.45</c:v>
                </c:pt>
                <c:pt idx="190">
                  <c:v>19.27</c:v>
                </c:pt>
                <c:pt idx="191">
                  <c:v>19.41</c:v>
                </c:pt>
                <c:pt idx="192">
                  <c:v>19.059999999999999</c:v>
                </c:pt>
                <c:pt idx="193">
                  <c:v>19.48</c:v>
                </c:pt>
                <c:pt idx="194">
                  <c:v>18.690000000000001</c:v>
                </c:pt>
                <c:pt idx="195">
                  <c:v>18.32</c:v>
                </c:pt>
                <c:pt idx="196">
                  <c:v>18.71</c:v>
                </c:pt>
                <c:pt idx="197">
                  <c:v>19.079999999999998</c:v>
                </c:pt>
                <c:pt idx="198">
                  <c:v>19.579999999999998</c:v>
                </c:pt>
                <c:pt idx="199">
                  <c:v>18.850000000000001</c:v>
                </c:pt>
                <c:pt idx="200">
                  <c:v>18.77</c:v>
                </c:pt>
                <c:pt idx="201">
                  <c:v>18.71</c:v>
                </c:pt>
                <c:pt idx="202">
                  <c:v>18.2</c:v>
                </c:pt>
                <c:pt idx="203">
                  <c:v>18.48</c:v>
                </c:pt>
                <c:pt idx="204">
                  <c:v>18.7</c:v>
                </c:pt>
                <c:pt idx="205">
                  <c:v>18.84</c:v>
                </c:pt>
                <c:pt idx="206">
                  <c:v>18.45</c:v>
                </c:pt>
                <c:pt idx="207">
                  <c:v>18.559999999999999</c:v>
                </c:pt>
                <c:pt idx="208">
                  <c:v>18.3</c:v>
                </c:pt>
                <c:pt idx="209">
                  <c:v>18.239999999999998</c:v>
                </c:pt>
                <c:pt idx="210">
                  <c:v>18.190000000000001</c:v>
                </c:pt>
                <c:pt idx="211">
                  <c:v>18.68</c:v>
                </c:pt>
                <c:pt idx="212">
                  <c:v>18.899999999999999</c:v>
                </c:pt>
                <c:pt idx="213">
                  <c:v>19.059999999999999</c:v>
                </c:pt>
                <c:pt idx="214">
                  <c:v>18.86</c:v>
                </c:pt>
                <c:pt idx="215">
                  <c:v>19.25</c:v>
                </c:pt>
                <c:pt idx="216">
                  <c:v>19.829999999999998</c:v>
                </c:pt>
                <c:pt idx="217">
                  <c:v>19.79</c:v>
                </c:pt>
                <c:pt idx="218">
                  <c:v>19.59</c:v>
                </c:pt>
                <c:pt idx="219">
                  <c:v>18.53</c:v>
                </c:pt>
                <c:pt idx="220">
                  <c:v>18.79</c:v>
                </c:pt>
                <c:pt idx="221">
                  <c:v>18.84</c:v>
                </c:pt>
                <c:pt idx="222">
                  <c:v>18.350000000000001</c:v>
                </c:pt>
                <c:pt idx="223">
                  <c:v>18.149999999999999</c:v>
                </c:pt>
                <c:pt idx="224">
                  <c:v>18.14</c:v>
                </c:pt>
                <c:pt idx="225">
                  <c:v>18.45</c:v>
                </c:pt>
                <c:pt idx="226">
                  <c:v>18.03</c:v>
                </c:pt>
                <c:pt idx="227">
                  <c:v>18.34</c:v>
                </c:pt>
                <c:pt idx="228">
                  <c:v>18.149999999999999</c:v>
                </c:pt>
                <c:pt idx="229">
                  <c:v>18.37</c:v>
                </c:pt>
                <c:pt idx="230">
                  <c:v>18.260000000000002</c:v>
                </c:pt>
                <c:pt idx="231">
                  <c:v>18.579999999999998</c:v>
                </c:pt>
                <c:pt idx="232">
                  <c:v>19.010000000000002</c:v>
                </c:pt>
                <c:pt idx="233">
                  <c:v>18.55</c:v>
                </c:pt>
                <c:pt idx="234">
                  <c:v>18.96</c:v>
                </c:pt>
                <c:pt idx="235">
                  <c:v>18.8</c:v>
                </c:pt>
                <c:pt idx="236">
                  <c:v>18.91</c:v>
                </c:pt>
                <c:pt idx="237">
                  <c:v>19.149999999999999</c:v>
                </c:pt>
                <c:pt idx="238">
                  <c:v>19.13</c:v>
                </c:pt>
                <c:pt idx="239">
                  <c:v>19.29</c:v>
                </c:pt>
                <c:pt idx="240">
                  <c:v>19.52</c:v>
                </c:pt>
                <c:pt idx="241">
                  <c:v>19.27</c:v>
                </c:pt>
                <c:pt idx="242">
                  <c:v>19.309999999999999</c:v>
                </c:pt>
                <c:pt idx="243">
                  <c:v>19.329999999999998</c:v>
                </c:pt>
                <c:pt idx="244">
                  <c:v>19.510000000000002</c:v>
                </c:pt>
                <c:pt idx="245">
                  <c:v>19.52</c:v>
                </c:pt>
                <c:pt idx="246">
                  <c:v>19.86</c:v>
                </c:pt>
                <c:pt idx="247">
                  <c:v>20.32</c:v>
                </c:pt>
                <c:pt idx="248">
                  <c:v>20.67</c:v>
                </c:pt>
                <c:pt idx="249">
                  <c:v>20.77</c:v>
                </c:pt>
                <c:pt idx="250">
                  <c:v>20.7</c:v>
                </c:pt>
                <c:pt idx="251">
                  <c:v>20.96</c:v>
                </c:pt>
                <c:pt idx="252">
                  <c:v>21.21</c:v>
                </c:pt>
                <c:pt idx="253">
                  <c:v>21.17</c:v>
                </c:pt>
                <c:pt idx="254">
                  <c:v>21.51</c:v>
                </c:pt>
                <c:pt idx="255">
                  <c:v>21.89</c:v>
                </c:pt>
                <c:pt idx="256">
                  <c:v>21.98</c:v>
                </c:pt>
                <c:pt idx="257">
                  <c:v>22.22</c:v>
                </c:pt>
                <c:pt idx="258">
                  <c:v>22.34</c:v>
                </c:pt>
                <c:pt idx="259">
                  <c:v>22.92</c:v>
                </c:pt>
                <c:pt idx="260">
                  <c:v>22.99</c:v>
                </c:pt>
                <c:pt idx="261">
                  <c:v>22.92</c:v>
                </c:pt>
                <c:pt idx="262">
                  <c:v>23.08</c:v>
                </c:pt>
                <c:pt idx="263">
                  <c:v>23.29</c:v>
                </c:pt>
                <c:pt idx="264">
                  <c:v>23.87</c:v>
                </c:pt>
                <c:pt idx="265">
                  <c:v>23.96</c:v>
                </c:pt>
                <c:pt idx="266">
                  <c:v>24.02</c:v>
                </c:pt>
                <c:pt idx="267">
                  <c:v>24.37</c:v>
                </c:pt>
                <c:pt idx="268">
                  <c:v>24.4</c:v>
                </c:pt>
                <c:pt idx="269">
                  <c:v>24.71</c:v>
                </c:pt>
                <c:pt idx="270">
                  <c:v>24.04</c:v>
                </c:pt>
                <c:pt idx="271">
                  <c:v>23.85</c:v>
                </c:pt>
                <c:pt idx="272">
                  <c:v>22.77</c:v>
                </c:pt>
              </c:numCache>
            </c:numRef>
          </c:val>
          <c:smooth val="0"/>
        </c:ser>
        <c:ser>
          <c:idx val="1"/>
          <c:order val="1"/>
          <c:tx>
            <c:v>Intrinstic Price</c:v>
          </c:tx>
          <c:spPr>
            <a:ln w="25400"/>
          </c:spPr>
          <c:marker>
            <c:symbol val="none"/>
          </c:marker>
          <c:val>
            <c:numRef>
              <c:f>'Price VS Instr'!$C$2:$C$274</c:f>
              <c:numCache>
                <c:formatCode>General</c:formatCode>
                <c:ptCount val="273"/>
                <c:pt idx="0">
                  <c:v>16.420000000000002</c:v>
                </c:pt>
                <c:pt idx="1">
                  <c:v>16.420000000000002</c:v>
                </c:pt>
                <c:pt idx="2">
                  <c:v>16.420000000000002</c:v>
                </c:pt>
                <c:pt idx="3">
                  <c:v>16.420000000000002</c:v>
                </c:pt>
                <c:pt idx="4">
                  <c:v>16.420000000000002</c:v>
                </c:pt>
                <c:pt idx="5">
                  <c:v>16.420000000000002</c:v>
                </c:pt>
                <c:pt idx="6">
                  <c:v>16.420000000000002</c:v>
                </c:pt>
                <c:pt idx="7">
                  <c:v>16.420000000000002</c:v>
                </c:pt>
                <c:pt idx="8">
                  <c:v>16.420000000000002</c:v>
                </c:pt>
                <c:pt idx="9">
                  <c:v>16.420000000000002</c:v>
                </c:pt>
                <c:pt idx="10">
                  <c:v>16.420000000000002</c:v>
                </c:pt>
                <c:pt idx="11">
                  <c:v>16.420000000000002</c:v>
                </c:pt>
                <c:pt idx="12">
                  <c:v>16.420000000000002</c:v>
                </c:pt>
                <c:pt idx="13">
                  <c:v>16.420000000000002</c:v>
                </c:pt>
                <c:pt idx="14">
                  <c:v>16.420000000000002</c:v>
                </c:pt>
                <c:pt idx="15">
                  <c:v>16.420000000000002</c:v>
                </c:pt>
                <c:pt idx="16">
                  <c:v>16.420000000000002</c:v>
                </c:pt>
                <c:pt idx="17">
                  <c:v>16.420000000000002</c:v>
                </c:pt>
                <c:pt idx="18">
                  <c:v>16.420000000000002</c:v>
                </c:pt>
                <c:pt idx="19">
                  <c:v>16.420000000000002</c:v>
                </c:pt>
                <c:pt idx="20">
                  <c:v>16.420000000000002</c:v>
                </c:pt>
                <c:pt idx="21">
                  <c:v>16.420000000000002</c:v>
                </c:pt>
                <c:pt idx="22">
                  <c:v>16.420000000000002</c:v>
                </c:pt>
                <c:pt idx="23">
                  <c:v>16.420000000000002</c:v>
                </c:pt>
                <c:pt idx="24">
                  <c:v>16.420000000000002</c:v>
                </c:pt>
                <c:pt idx="25">
                  <c:v>16.420000000000002</c:v>
                </c:pt>
                <c:pt idx="26">
                  <c:v>16.420000000000002</c:v>
                </c:pt>
                <c:pt idx="27">
                  <c:v>16.420000000000002</c:v>
                </c:pt>
                <c:pt idx="28">
                  <c:v>16.420000000000002</c:v>
                </c:pt>
                <c:pt idx="29">
                  <c:v>16.420000000000002</c:v>
                </c:pt>
                <c:pt idx="30">
                  <c:v>16.420000000000002</c:v>
                </c:pt>
                <c:pt idx="31">
                  <c:v>16.420000000000002</c:v>
                </c:pt>
                <c:pt idx="32">
                  <c:v>16.420000000000002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16.420000000000002</c:v>
                </c:pt>
                <c:pt idx="36">
                  <c:v>16.420000000000002</c:v>
                </c:pt>
                <c:pt idx="37">
                  <c:v>16.420000000000002</c:v>
                </c:pt>
                <c:pt idx="38">
                  <c:v>16.420000000000002</c:v>
                </c:pt>
                <c:pt idx="39">
                  <c:v>16.420000000000002</c:v>
                </c:pt>
                <c:pt idx="40">
                  <c:v>16.420000000000002</c:v>
                </c:pt>
                <c:pt idx="41">
                  <c:v>16.420000000000002</c:v>
                </c:pt>
                <c:pt idx="42">
                  <c:v>16.420000000000002</c:v>
                </c:pt>
                <c:pt idx="43">
                  <c:v>16.420000000000002</c:v>
                </c:pt>
                <c:pt idx="44">
                  <c:v>16.420000000000002</c:v>
                </c:pt>
                <c:pt idx="45">
                  <c:v>16.420000000000002</c:v>
                </c:pt>
                <c:pt idx="46">
                  <c:v>16.420000000000002</c:v>
                </c:pt>
                <c:pt idx="47">
                  <c:v>16.420000000000002</c:v>
                </c:pt>
                <c:pt idx="48">
                  <c:v>16.420000000000002</c:v>
                </c:pt>
                <c:pt idx="49">
                  <c:v>16.420000000000002</c:v>
                </c:pt>
                <c:pt idx="50">
                  <c:v>16.420000000000002</c:v>
                </c:pt>
                <c:pt idx="51">
                  <c:v>16.420000000000002</c:v>
                </c:pt>
                <c:pt idx="52">
                  <c:v>17.3</c:v>
                </c:pt>
                <c:pt idx="53">
                  <c:v>17.3</c:v>
                </c:pt>
                <c:pt idx="54">
                  <c:v>17.3</c:v>
                </c:pt>
                <c:pt idx="55">
                  <c:v>17.3</c:v>
                </c:pt>
                <c:pt idx="56">
                  <c:v>17.3</c:v>
                </c:pt>
                <c:pt idx="57">
                  <c:v>17.3</c:v>
                </c:pt>
                <c:pt idx="58">
                  <c:v>17.3</c:v>
                </c:pt>
                <c:pt idx="59">
                  <c:v>17.3</c:v>
                </c:pt>
                <c:pt idx="60">
                  <c:v>17.3</c:v>
                </c:pt>
                <c:pt idx="61">
                  <c:v>17.3</c:v>
                </c:pt>
                <c:pt idx="62">
                  <c:v>17.3</c:v>
                </c:pt>
                <c:pt idx="63">
                  <c:v>17.3</c:v>
                </c:pt>
                <c:pt idx="64">
                  <c:v>17.3</c:v>
                </c:pt>
                <c:pt idx="65">
                  <c:v>17.3</c:v>
                </c:pt>
                <c:pt idx="66">
                  <c:v>17.3</c:v>
                </c:pt>
                <c:pt idx="67">
                  <c:v>17.3</c:v>
                </c:pt>
                <c:pt idx="68">
                  <c:v>17.3</c:v>
                </c:pt>
                <c:pt idx="69">
                  <c:v>17.3</c:v>
                </c:pt>
                <c:pt idx="70">
                  <c:v>17.3</c:v>
                </c:pt>
                <c:pt idx="71">
                  <c:v>17.3</c:v>
                </c:pt>
                <c:pt idx="72">
                  <c:v>17.3</c:v>
                </c:pt>
                <c:pt idx="73">
                  <c:v>17.3</c:v>
                </c:pt>
                <c:pt idx="74">
                  <c:v>17.3</c:v>
                </c:pt>
                <c:pt idx="75">
                  <c:v>17.3</c:v>
                </c:pt>
                <c:pt idx="76">
                  <c:v>17.3</c:v>
                </c:pt>
                <c:pt idx="77">
                  <c:v>17.3</c:v>
                </c:pt>
                <c:pt idx="78">
                  <c:v>17.3</c:v>
                </c:pt>
                <c:pt idx="79">
                  <c:v>17.3</c:v>
                </c:pt>
                <c:pt idx="80">
                  <c:v>17.3</c:v>
                </c:pt>
                <c:pt idx="81">
                  <c:v>17.3</c:v>
                </c:pt>
                <c:pt idx="82">
                  <c:v>17.3</c:v>
                </c:pt>
                <c:pt idx="83">
                  <c:v>17.3</c:v>
                </c:pt>
                <c:pt idx="84">
                  <c:v>17.3</c:v>
                </c:pt>
                <c:pt idx="85">
                  <c:v>17.3</c:v>
                </c:pt>
                <c:pt idx="86">
                  <c:v>17.3</c:v>
                </c:pt>
                <c:pt idx="87">
                  <c:v>17.3</c:v>
                </c:pt>
                <c:pt idx="88">
                  <c:v>17.3</c:v>
                </c:pt>
                <c:pt idx="89">
                  <c:v>17.3</c:v>
                </c:pt>
                <c:pt idx="90">
                  <c:v>17.3</c:v>
                </c:pt>
                <c:pt idx="91">
                  <c:v>17.3</c:v>
                </c:pt>
                <c:pt idx="92">
                  <c:v>17.3</c:v>
                </c:pt>
                <c:pt idx="93">
                  <c:v>17.3</c:v>
                </c:pt>
                <c:pt idx="94">
                  <c:v>17.3</c:v>
                </c:pt>
                <c:pt idx="95">
                  <c:v>17.3</c:v>
                </c:pt>
                <c:pt idx="96">
                  <c:v>17.3</c:v>
                </c:pt>
                <c:pt idx="97">
                  <c:v>17.3</c:v>
                </c:pt>
                <c:pt idx="98">
                  <c:v>17.3</c:v>
                </c:pt>
                <c:pt idx="99">
                  <c:v>17.3</c:v>
                </c:pt>
                <c:pt idx="100">
                  <c:v>17.3</c:v>
                </c:pt>
                <c:pt idx="101">
                  <c:v>17.3</c:v>
                </c:pt>
                <c:pt idx="102">
                  <c:v>17.3</c:v>
                </c:pt>
                <c:pt idx="103">
                  <c:v>17.3</c:v>
                </c:pt>
                <c:pt idx="104">
                  <c:v>18.100000000000001</c:v>
                </c:pt>
                <c:pt idx="105">
                  <c:v>18.100000000000001</c:v>
                </c:pt>
                <c:pt idx="106">
                  <c:v>18.100000000000001</c:v>
                </c:pt>
                <c:pt idx="107">
                  <c:v>18.100000000000001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18.100000000000001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18.100000000000001</c:v>
                </c:pt>
                <c:pt idx="130">
                  <c:v>18.100000000000001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18.100000000000001</c:v>
                </c:pt>
                <c:pt idx="136">
                  <c:v>18.100000000000001</c:v>
                </c:pt>
                <c:pt idx="137">
                  <c:v>18.100000000000001</c:v>
                </c:pt>
                <c:pt idx="138">
                  <c:v>18.100000000000001</c:v>
                </c:pt>
                <c:pt idx="139">
                  <c:v>18.100000000000001</c:v>
                </c:pt>
                <c:pt idx="140">
                  <c:v>18.100000000000001</c:v>
                </c:pt>
                <c:pt idx="141">
                  <c:v>18.100000000000001</c:v>
                </c:pt>
                <c:pt idx="142">
                  <c:v>18.100000000000001</c:v>
                </c:pt>
                <c:pt idx="143">
                  <c:v>18.100000000000001</c:v>
                </c:pt>
                <c:pt idx="144">
                  <c:v>18.100000000000001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18.100000000000001</c:v>
                </c:pt>
                <c:pt idx="149">
                  <c:v>18.100000000000001</c:v>
                </c:pt>
                <c:pt idx="150">
                  <c:v>18.100000000000001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19.7</c:v>
                </c:pt>
                <c:pt idx="154">
                  <c:v>19.7</c:v>
                </c:pt>
                <c:pt idx="155">
                  <c:v>19.7</c:v>
                </c:pt>
                <c:pt idx="156">
                  <c:v>19.7</c:v>
                </c:pt>
                <c:pt idx="157">
                  <c:v>19.7</c:v>
                </c:pt>
                <c:pt idx="158">
                  <c:v>19.7</c:v>
                </c:pt>
                <c:pt idx="159">
                  <c:v>19.7</c:v>
                </c:pt>
                <c:pt idx="160">
                  <c:v>19.7</c:v>
                </c:pt>
                <c:pt idx="161">
                  <c:v>19.7</c:v>
                </c:pt>
                <c:pt idx="162">
                  <c:v>19.7</c:v>
                </c:pt>
                <c:pt idx="163">
                  <c:v>19.7</c:v>
                </c:pt>
                <c:pt idx="164">
                  <c:v>19.7</c:v>
                </c:pt>
                <c:pt idx="165">
                  <c:v>19.7</c:v>
                </c:pt>
                <c:pt idx="166">
                  <c:v>19.7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</c:v>
                </c:pt>
                <c:pt idx="173">
                  <c:v>19.7</c:v>
                </c:pt>
                <c:pt idx="174">
                  <c:v>19.7</c:v>
                </c:pt>
                <c:pt idx="175">
                  <c:v>19.7</c:v>
                </c:pt>
                <c:pt idx="176">
                  <c:v>19.7</c:v>
                </c:pt>
                <c:pt idx="177">
                  <c:v>19.7</c:v>
                </c:pt>
                <c:pt idx="178">
                  <c:v>19.7</c:v>
                </c:pt>
                <c:pt idx="179">
                  <c:v>19.7</c:v>
                </c:pt>
                <c:pt idx="180">
                  <c:v>19.7</c:v>
                </c:pt>
                <c:pt idx="181">
                  <c:v>19.7</c:v>
                </c:pt>
                <c:pt idx="182">
                  <c:v>19.7</c:v>
                </c:pt>
                <c:pt idx="183">
                  <c:v>19.7</c:v>
                </c:pt>
                <c:pt idx="184">
                  <c:v>19.7</c:v>
                </c:pt>
                <c:pt idx="185">
                  <c:v>19.7</c:v>
                </c:pt>
                <c:pt idx="186">
                  <c:v>19.7</c:v>
                </c:pt>
                <c:pt idx="187">
                  <c:v>19.7</c:v>
                </c:pt>
                <c:pt idx="188">
                  <c:v>19.7</c:v>
                </c:pt>
                <c:pt idx="189">
                  <c:v>19.7</c:v>
                </c:pt>
                <c:pt idx="190">
                  <c:v>19.7</c:v>
                </c:pt>
                <c:pt idx="191">
                  <c:v>19.7</c:v>
                </c:pt>
                <c:pt idx="192">
                  <c:v>19.7</c:v>
                </c:pt>
                <c:pt idx="193">
                  <c:v>19.7</c:v>
                </c:pt>
                <c:pt idx="194">
                  <c:v>19.7</c:v>
                </c:pt>
                <c:pt idx="195">
                  <c:v>19.7</c:v>
                </c:pt>
                <c:pt idx="196">
                  <c:v>19.7</c:v>
                </c:pt>
                <c:pt idx="197">
                  <c:v>19.7</c:v>
                </c:pt>
                <c:pt idx="198">
                  <c:v>19.7</c:v>
                </c:pt>
                <c:pt idx="199">
                  <c:v>19.7</c:v>
                </c:pt>
                <c:pt idx="200">
                  <c:v>19.7</c:v>
                </c:pt>
                <c:pt idx="201">
                  <c:v>19.7</c:v>
                </c:pt>
                <c:pt idx="202">
                  <c:v>19.7</c:v>
                </c:pt>
                <c:pt idx="203">
                  <c:v>19.7</c:v>
                </c:pt>
                <c:pt idx="204">
                  <c:v>19.7</c:v>
                </c:pt>
                <c:pt idx="205">
                  <c:v>21.9</c:v>
                </c:pt>
                <c:pt idx="206">
                  <c:v>21.9</c:v>
                </c:pt>
                <c:pt idx="207">
                  <c:v>21.9</c:v>
                </c:pt>
                <c:pt idx="208">
                  <c:v>21.9</c:v>
                </c:pt>
                <c:pt idx="209">
                  <c:v>21.9</c:v>
                </c:pt>
                <c:pt idx="210">
                  <c:v>21.9</c:v>
                </c:pt>
                <c:pt idx="211">
                  <c:v>21.9</c:v>
                </c:pt>
                <c:pt idx="212">
                  <c:v>21.9</c:v>
                </c:pt>
                <c:pt idx="213">
                  <c:v>21.9</c:v>
                </c:pt>
                <c:pt idx="214">
                  <c:v>21.9</c:v>
                </c:pt>
                <c:pt idx="215">
                  <c:v>21.9</c:v>
                </c:pt>
                <c:pt idx="216">
                  <c:v>21.9</c:v>
                </c:pt>
                <c:pt idx="217">
                  <c:v>21.9</c:v>
                </c:pt>
                <c:pt idx="218">
                  <c:v>21.9</c:v>
                </c:pt>
                <c:pt idx="219">
                  <c:v>21.9</c:v>
                </c:pt>
                <c:pt idx="220">
                  <c:v>21.9</c:v>
                </c:pt>
                <c:pt idx="221">
                  <c:v>21.9</c:v>
                </c:pt>
                <c:pt idx="222">
                  <c:v>21.9</c:v>
                </c:pt>
                <c:pt idx="223">
                  <c:v>21.9</c:v>
                </c:pt>
                <c:pt idx="224">
                  <c:v>21.9</c:v>
                </c:pt>
                <c:pt idx="225">
                  <c:v>21.9</c:v>
                </c:pt>
                <c:pt idx="226">
                  <c:v>21.9</c:v>
                </c:pt>
                <c:pt idx="227">
                  <c:v>21.9</c:v>
                </c:pt>
                <c:pt idx="228">
                  <c:v>21.9</c:v>
                </c:pt>
                <c:pt idx="229">
                  <c:v>21.9</c:v>
                </c:pt>
                <c:pt idx="230">
                  <c:v>21.9</c:v>
                </c:pt>
                <c:pt idx="231">
                  <c:v>21.9</c:v>
                </c:pt>
                <c:pt idx="232">
                  <c:v>21.9</c:v>
                </c:pt>
                <c:pt idx="233">
                  <c:v>21.9</c:v>
                </c:pt>
                <c:pt idx="234">
                  <c:v>21.9</c:v>
                </c:pt>
                <c:pt idx="235">
                  <c:v>21.9</c:v>
                </c:pt>
                <c:pt idx="236">
                  <c:v>21.9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21.9</c:v>
                </c:pt>
                <c:pt idx="242">
                  <c:v>21.9</c:v>
                </c:pt>
                <c:pt idx="243">
                  <c:v>21.9</c:v>
                </c:pt>
                <c:pt idx="244">
                  <c:v>21.9</c:v>
                </c:pt>
                <c:pt idx="245">
                  <c:v>21.9</c:v>
                </c:pt>
                <c:pt idx="246">
                  <c:v>21.9</c:v>
                </c:pt>
                <c:pt idx="247">
                  <c:v>21.9</c:v>
                </c:pt>
                <c:pt idx="248">
                  <c:v>21.9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21.9</c:v>
                </c:pt>
                <c:pt idx="253">
                  <c:v>21.9</c:v>
                </c:pt>
                <c:pt idx="254">
                  <c:v>21.9</c:v>
                </c:pt>
                <c:pt idx="255">
                  <c:v>21.9</c:v>
                </c:pt>
                <c:pt idx="256">
                  <c:v>21.9</c:v>
                </c:pt>
                <c:pt idx="257">
                  <c:v>21.9</c:v>
                </c:pt>
                <c:pt idx="258">
                  <c:v>23.2</c:v>
                </c:pt>
                <c:pt idx="259">
                  <c:v>23.2</c:v>
                </c:pt>
                <c:pt idx="260">
                  <c:v>23.2</c:v>
                </c:pt>
                <c:pt idx="261">
                  <c:v>23.2</c:v>
                </c:pt>
                <c:pt idx="262">
                  <c:v>23.2</c:v>
                </c:pt>
                <c:pt idx="263">
                  <c:v>23.2</c:v>
                </c:pt>
                <c:pt idx="264">
                  <c:v>23.2</c:v>
                </c:pt>
                <c:pt idx="265">
                  <c:v>23.2</c:v>
                </c:pt>
                <c:pt idx="266">
                  <c:v>23.2</c:v>
                </c:pt>
                <c:pt idx="267">
                  <c:v>23.2</c:v>
                </c:pt>
                <c:pt idx="268">
                  <c:v>23.2</c:v>
                </c:pt>
                <c:pt idx="269">
                  <c:v>23.2</c:v>
                </c:pt>
                <c:pt idx="270">
                  <c:v>23.2</c:v>
                </c:pt>
                <c:pt idx="271">
                  <c:v>23.2</c:v>
                </c:pt>
                <c:pt idx="272">
                  <c:v>23.2</c:v>
                </c:pt>
              </c:numCache>
            </c:numRef>
          </c:val>
          <c:smooth val="0"/>
        </c:ser>
        <c:ser>
          <c:idx val="2"/>
          <c:order val="2"/>
          <c:tx>
            <c:v>Buy Price (20% of MOS)</c:v>
          </c:tx>
          <c:spPr>
            <a:ln w="25400">
              <a:prstDash val="sysDash"/>
            </a:ln>
          </c:spPr>
          <c:marker>
            <c:symbol val="none"/>
          </c:marker>
          <c:val>
            <c:numRef>
              <c:f>'Price VS Instr'!$D$2:$D$274</c:f>
              <c:numCache>
                <c:formatCode>General</c:formatCode>
                <c:ptCount val="273"/>
                <c:pt idx="0">
                  <c:v>13.136000000000003</c:v>
                </c:pt>
                <c:pt idx="1">
                  <c:v>13.136000000000003</c:v>
                </c:pt>
                <c:pt idx="2">
                  <c:v>13.136000000000003</c:v>
                </c:pt>
                <c:pt idx="3">
                  <c:v>13.136000000000003</c:v>
                </c:pt>
                <c:pt idx="4">
                  <c:v>13.136000000000003</c:v>
                </c:pt>
                <c:pt idx="5">
                  <c:v>13.136000000000003</c:v>
                </c:pt>
                <c:pt idx="6">
                  <c:v>13.136000000000003</c:v>
                </c:pt>
                <c:pt idx="7">
                  <c:v>13.136000000000003</c:v>
                </c:pt>
                <c:pt idx="8">
                  <c:v>13.136000000000003</c:v>
                </c:pt>
                <c:pt idx="9">
                  <c:v>13.136000000000003</c:v>
                </c:pt>
                <c:pt idx="10">
                  <c:v>13.136000000000003</c:v>
                </c:pt>
                <c:pt idx="11">
                  <c:v>13.136000000000003</c:v>
                </c:pt>
                <c:pt idx="12">
                  <c:v>13.136000000000003</c:v>
                </c:pt>
                <c:pt idx="13">
                  <c:v>13.136000000000003</c:v>
                </c:pt>
                <c:pt idx="14">
                  <c:v>13.136000000000003</c:v>
                </c:pt>
                <c:pt idx="15">
                  <c:v>13.136000000000003</c:v>
                </c:pt>
                <c:pt idx="16">
                  <c:v>13.136000000000003</c:v>
                </c:pt>
                <c:pt idx="17">
                  <c:v>13.136000000000003</c:v>
                </c:pt>
                <c:pt idx="18">
                  <c:v>13.136000000000003</c:v>
                </c:pt>
                <c:pt idx="19">
                  <c:v>13.136000000000003</c:v>
                </c:pt>
                <c:pt idx="20">
                  <c:v>13.136000000000003</c:v>
                </c:pt>
                <c:pt idx="21">
                  <c:v>13.136000000000003</c:v>
                </c:pt>
                <c:pt idx="22">
                  <c:v>13.136000000000003</c:v>
                </c:pt>
                <c:pt idx="23">
                  <c:v>13.136000000000003</c:v>
                </c:pt>
                <c:pt idx="24">
                  <c:v>13.136000000000003</c:v>
                </c:pt>
                <c:pt idx="25">
                  <c:v>13.136000000000003</c:v>
                </c:pt>
                <c:pt idx="26">
                  <c:v>13.136000000000003</c:v>
                </c:pt>
                <c:pt idx="27">
                  <c:v>13.136000000000003</c:v>
                </c:pt>
                <c:pt idx="28">
                  <c:v>13.136000000000003</c:v>
                </c:pt>
                <c:pt idx="29">
                  <c:v>13.136000000000003</c:v>
                </c:pt>
                <c:pt idx="30">
                  <c:v>13.136000000000003</c:v>
                </c:pt>
                <c:pt idx="31">
                  <c:v>13.136000000000003</c:v>
                </c:pt>
                <c:pt idx="32">
                  <c:v>13.136000000000003</c:v>
                </c:pt>
                <c:pt idx="33">
                  <c:v>13.136000000000003</c:v>
                </c:pt>
                <c:pt idx="34">
                  <c:v>13.136000000000003</c:v>
                </c:pt>
                <c:pt idx="35">
                  <c:v>13.136000000000003</c:v>
                </c:pt>
                <c:pt idx="36">
                  <c:v>13.136000000000003</c:v>
                </c:pt>
                <c:pt idx="37">
                  <c:v>13.136000000000003</c:v>
                </c:pt>
                <c:pt idx="38">
                  <c:v>13.136000000000003</c:v>
                </c:pt>
                <c:pt idx="39">
                  <c:v>13.136000000000003</c:v>
                </c:pt>
                <c:pt idx="40">
                  <c:v>13.136000000000003</c:v>
                </c:pt>
                <c:pt idx="41">
                  <c:v>13.136000000000003</c:v>
                </c:pt>
                <c:pt idx="42">
                  <c:v>13.136000000000003</c:v>
                </c:pt>
                <c:pt idx="43">
                  <c:v>13.136000000000003</c:v>
                </c:pt>
                <c:pt idx="44">
                  <c:v>13.136000000000003</c:v>
                </c:pt>
                <c:pt idx="45">
                  <c:v>13.136000000000003</c:v>
                </c:pt>
                <c:pt idx="46">
                  <c:v>13.136000000000003</c:v>
                </c:pt>
                <c:pt idx="47">
                  <c:v>13.136000000000003</c:v>
                </c:pt>
                <c:pt idx="48">
                  <c:v>13.136000000000003</c:v>
                </c:pt>
                <c:pt idx="49">
                  <c:v>13.136000000000003</c:v>
                </c:pt>
                <c:pt idx="50">
                  <c:v>13.136000000000003</c:v>
                </c:pt>
                <c:pt idx="51">
                  <c:v>13.136000000000003</c:v>
                </c:pt>
                <c:pt idx="52">
                  <c:v>13.840000000000002</c:v>
                </c:pt>
                <c:pt idx="53">
                  <c:v>13.840000000000002</c:v>
                </c:pt>
                <c:pt idx="54">
                  <c:v>13.840000000000002</c:v>
                </c:pt>
                <c:pt idx="55">
                  <c:v>13.840000000000002</c:v>
                </c:pt>
                <c:pt idx="56">
                  <c:v>13.840000000000002</c:v>
                </c:pt>
                <c:pt idx="57">
                  <c:v>13.840000000000002</c:v>
                </c:pt>
                <c:pt idx="58">
                  <c:v>13.840000000000002</c:v>
                </c:pt>
                <c:pt idx="59">
                  <c:v>13.840000000000002</c:v>
                </c:pt>
                <c:pt idx="60">
                  <c:v>13.840000000000002</c:v>
                </c:pt>
                <c:pt idx="61">
                  <c:v>13.840000000000002</c:v>
                </c:pt>
                <c:pt idx="62">
                  <c:v>13.840000000000002</c:v>
                </c:pt>
                <c:pt idx="63">
                  <c:v>13.840000000000002</c:v>
                </c:pt>
                <c:pt idx="64">
                  <c:v>13.840000000000002</c:v>
                </c:pt>
                <c:pt idx="65">
                  <c:v>13.840000000000002</c:v>
                </c:pt>
                <c:pt idx="66">
                  <c:v>13.840000000000002</c:v>
                </c:pt>
                <c:pt idx="67">
                  <c:v>13.840000000000002</c:v>
                </c:pt>
                <c:pt idx="68">
                  <c:v>13.840000000000002</c:v>
                </c:pt>
                <c:pt idx="69">
                  <c:v>13.840000000000002</c:v>
                </c:pt>
                <c:pt idx="70">
                  <c:v>13.840000000000002</c:v>
                </c:pt>
                <c:pt idx="71">
                  <c:v>13.840000000000002</c:v>
                </c:pt>
                <c:pt idx="72">
                  <c:v>13.840000000000002</c:v>
                </c:pt>
                <c:pt idx="73">
                  <c:v>13.840000000000002</c:v>
                </c:pt>
                <c:pt idx="74">
                  <c:v>13.840000000000002</c:v>
                </c:pt>
                <c:pt idx="75">
                  <c:v>13.840000000000002</c:v>
                </c:pt>
                <c:pt idx="76">
                  <c:v>13.840000000000002</c:v>
                </c:pt>
                <c:pt idx="77">
                  <c:v>13.840000000000002</c:v>
                </c:pt>
                <c:pt idx="78">
                  <c:v>13.840000000000002</c:v>
                </c:pt>
                <c:pt idx="79">
                  <c:v>13.840000000000002</c:v>
                </c:pt>
                <c:pt idx="80">
                  <c:v>13.840000000000002</c:v>
                </c:pt>
                <c:pt idx="81">
                  <c:v>13.840000000000002</c:v>
                </c:pt>
                <c:pt idx="82">
                  <c:v>13.840000000000002</c:v>
                </c:pt>
                <c:pt idx="83">
                  <c:v>13.840000000000002</c:v>
                </c:pt>
                <c:pt idx="84">
                  <c:v>13.840000000000002</c:v>
                </c:pt>
                <c:pt idx="85">
                  <c:v>13.840000000000002</c:v>
                </c:pt>
                <c:pt idx="86">
                  <c:v>13.840000000000002</c:v>
                </c:pt>
                <c:pt idx="87">
                  <c:v>13.840000000000002</c:v>
                </c:pt>
                <c:pt idx="88">
                  <c:v>13.840000000000002</c:v>
                </c:pt>
                <c:pt idx="89">
                  <c:v>13.840000000000002</c:v>
                </c:pt>
                <c:pt idx="90">
                  <c:v>13.840000000000002</c:v>
                </c:pt>
                <c:pt idx="91">
                  <c:v>13.840000000000002</c:v>
                </c:pt>
                <c:pt idx="92">
                  <c:v>13.840000000000002</c:v>
                </c:pt>
                <c:pt idx="93">
                  <c:v>13.840000000000002</c:v>
                </c:pt>
                <c:pt idx="94">
                  <c:v>13.840000000000002</c:v>
                </c:pt>
                <c:pt idx="95">
                  <c:v>13.840000000000002</c:v>
                </c:pt>
                <c:pt idx="96">
                  <c:v>13.840000000000002</c:v>
                </c:pt>
                <c:pt idx="97">
                  <c:v>13.840000000000002</c:v>
                </c:pt>
                <c:pt idx="98">
                  <c:v>13.840000000000002</c:v>
                </c:pt>
                <c:pt idx="99">
                  <c:v>13.840000000000002</c:v>
                </c:pt>
                <c:pt idx="100">
                  <c:v>13.840000000000002</c:v>
                </c:pt>
                <c:pt idx="101">
                  <c:v>13.840000000000002</c:v>
                </c:pt>
                <c:pt idx="102">
                  <c:v>13.840000000000002</c:v>
                </c:pt>
                <c:pt idx="103">
                  <c:v>13.840000000000002</c:v>
                </c:pt>
                <c:pt idx="104">
                  <c:v>14.480000000000002</c:v>
                </c:pt>
                <c:pt idx="105">
                  <c:v>14.480000000000002</c:v>
                </c:pt>
                <c:pt idx="106">
                  <c:v>14.480000000000002</c:v>
                </c:pt>
                <c:pt idx="107">
                  <c:v>14.480000000000002</c:v>
                </c:pt>
                <c:pt idx="108">
                  <c:v>14.480000000000002</c:v>
                </c:pt>
                <c:pt idx="109">
                  <c:v>14.480000000000002</c:v>
                </c:pt>
                <c:pt idx="110">
                  <c:v>14.480000000000002</c:v>
                </c:pt>
                <c:pt idx="111">
                  <c:v>14.480000000000002</c:v>
                </c:pt>
                <c:pt idx="112">
                  <c:v>14.480000000000002</c:v>
                </c:pt>
                <c:pt idx="113">
                  <c:v>14.480000000000002</c:v>
                </c:pt>
                <c:pt idx="114">
                  <c:v>14.480000000000002</c:v>
                </c:pt>
                <c:pt idx="115">
                  <c:v>14.480000000000002</c:v>
                </c:pt>
                <c:pt idx="116">
                  <c:v>14.480000000000002</c:v>
                </c:pt>
                <c:pt idx="117">
                  <c:v>14.480000000000002</c:v>
                </c:pt>
                <c:pt idx="118">
                  <c:v>14.480000000000002</c:v>
                </c:pt>
                <c:pt idx="119">
                  <c:v>14.480000000000002</c:v>
                </c:pt>
                <c:pt idx="120">
                  <c:v>14.480000000000002</c:v>
                </c:pt>
                <c:pt idx="121">
                  <c:v>14.480000000000002</c:v>
                </c:pt>
                <c:pt idx="122">
                  <c:v>14.480000000000002</c:v>
                </c:pt>
                <c:pt idx="123">
                  <c:v>14.480000000000002</c:v>
                </c:pt>
                <c:pt idx="124">
                  <c:v>14.480000000000002</c:v>
                </c:pt>
                <c:pt idx="125">
                  <c:v>14.480000000000002</c:v>
                </c:pt>
                <c:pt idx="126">
                  <c:v>14.480000000000002</c:v>
                </c:pt>
                <c:pt idx="127">
                  <c:v>14.480000000000002</c:v>
                </c:pt>
                <c:pt idx="128">
                  <c:v>14.480000000000002</c:v>
                </c:pt>
                <c:pt idx="129">
                  <c:v>14.480000000000002</c:v>
                </c:pt>
                <c:pt idx="130">
                  <c:v>14.480000000000002</c:v>
                </c:pt>
                <c:pt idx="131">
                  <c:v>14.480000000000002</c:v>
                </c:pt>
                <c:pt idx="132">
                  <c:v>14.480000000000002</c:v>
                </c:pt>
                <c:pt idx="133">
                  <c:v>14.480000000000002</c:v>
                </c:pt>
                <c:pt idx="134">
                  <c:v>14.480000000000002</c:v>
                </c:pt>
                <c:pt idx="135">
                  <c:v>14.480000000000002</c:v>
                </c:pt>
                <c:pt idx="136">
                  <c:v>14.480000000000002</c:v>
                </c:pt>
                <c:pt idx="137">
                  <c:v>14.480000000000002</c:v>
                </c:pt>
                <c:pt idx="138">
                  <c:v>14.480000000000002</c:v>
                </c:pt>
                <c:pt idx="139">
                  <c:v>14.480000000000002</c:v>
                </c:pt>
                <c:pt idx="140">
                  <c:v>14.480000000000002</c:v>
                </c:pt>
                <c:pt idx="141">
                  <c:v>14.480000000000002</c:v>
                </c:pt>
                <c:pt idx="142">
                  <c:v>14.480000000000002</c:v>
                </c:pt>
                <c:pt idx="143">
                  <c:v>14.480000000000002</c:v>
                </c:pt>
                <c:pt idx="144">
                  <c:v>14.480000000000002</c:v>
                </c:pt>
                <c:pt idx="145">
                  <c:v>14.480000000000002</c:v>
                </c:pt>
                <c:pt idx="146">
                  <c:v>14.480000000000002</c:v>
                </c:pt>
                <c:pt idx="147">
                  <c:v>14.480000000000002</c:v>
                </c:pt>
                <c:pt idx="148">
                  <c:v>14.480000000000002</c:v>
                </c:pt>
                <c:pt idx="149">
                  <c:v>14.480000000000002</c:v>
                </c:pt>
                <c:pt idx="150">
                  <c:v>14.480000000000002</c:v>
                </c:pt>
                <c:pt idx="151">
                  <c:v>14.480000000000002</c:v>
                </c:pt>
                <c:pt idx="152">
                  <c:v>14.480000000000002</c:v>
                </c:pt>
                <c:pt idx="153">
                  <c:v>15.76</c:v>
                </c:pt>
                <c:pt idx="154">
                  <c:v>15.76</c:v>
                </c:pt>
                <c:pt idx="155">
                  <c:v>15.76</c:v>
                </c:pt>
                <c:pt idx="156">
                  <c:v>15.76</c:v>
                </c:pt>
                <c:pt idx="157">
                  <c:v>15.76</c:v>
                </c:pt>
                <c:pt idx="158">
                  <c:v>15.76</c:v>
                </c:pt>
                <c:pt idx="159">
                  <c:v>15.76</c:v>
                </c:pt>
                <c:pt idx="160">
                  <c:v>15.76</c:v>
                </c:pt>
                <c:pt idx="161">
                  <c:v>15.76</c:v>
                </c:pt>
                <c:pt idx="162">
                  <c:v>15.76</c:v>
                </c:pt>
                <c:pt idx="163">
                  <c:v>15.76</c:v>
                </c:pt>
                <c:pt idx="164">
                  <c:v>15.76</c:v>
                </c:pt>
                <c:pt idx="165">
                  <c:v>15.76</c:v>
                </c:pt>
                <c:pt idx="166">
                  <c:v>15.76</c:v>
                </c:pt>
                <c:pt idx="167">
                  <c:v>15.76</c:v>
                </c:pt>
                <c:pt idx="168">
                  <c:v>15.76</c:v>
                </c:pt>
                <c:pt idx="169">
                  <c:v>15.76</c:v>
                </c:pt>
                <c:pt idx="170">
                  <c:v>15.76</c:v>
                </c:pt>
                <c:pt idx="171">
                  <c:v>15.76</c:v>
                </c:pt>
                <c:pt idx="172">
                  <c:v>15.76</c:v>
                </c:pt>
                <c:pt idx="173">
                  <c:v>15.76</c:v>
                </c:pt>
                <c:pt idx="174">
                  <c:v>15.76</c:v>
                </c:pt>
                <c:pt idx="175">
                  <c:v>15.76</c:v>
                </c:pt>
                <c:pt idx="176">
                  <c:v>15.76</c:v>
                </c:pt>
                <c:pt idx="177">
                  <c:v>15.76</c:v>
                </c:pt>
                <c:pt idx="178">
                  <c:v>15.76</c:v>
                </c:pt>
                <c:pt idx="179">
                  <c:v>15.76</c:v>
                </c:pt>
                <c:pt idx="180">
                  <c:v>15.76</c:v>
                </c:pt>
                <c:pt idx="181">
                  <c:v>15.76</c:v>
                </c:pt>
                <c:pt idx="182">
                  <c:v>15.76</c:v>
                </c:pt>
                <c:pt idx="183">
                  <c:v>15.76</c:v>
                </c:pt>
                <c:pt idx="184">
                  <c:v>15.76</c:v>
                </c:pt>
                <c:pt idx="185">
                  <c:v>15.76</c:v>
                </c:pt>
                <c:pt idx="186">
                  <c:v>15.76</c:v>
                </c:pt>
                <c:pt idx="187">
                  <c:v>15.76</c:v>
                </c:pt>
                <c:pt idx="188">
                  <c:v>15.76</c:v>
                </c:pt>
                <c:pt idx="189">
                  <c:v>15.76</c:v>
                </c:pt>
                <c:pt idx="190">
                  <c:v>15.76</c:v>
                </c:pt>
                <c:pt idx="191">
                  <c:v>15.76</c:v>
                </c:pt>
                <c:pt idx="192">
                  <c:v>15.76</c:v>
                </c:pt>
                <c:pt idx="193">
                  <c:v>15.76</c:v>
                </c:pt>
                <c:pt idx="194">
                  <c:v>15.76</c:v>
                </c:pt>
                <c:pt idx="195">
                  <c:v>15.76</c:v>
                </c:pt>
                <c:pt idx="196">
                  <c:v>15.76</c:v>
                </c:pt>
                <c:pt idx="197">
                  <c:v>15.76</c:v>
                </c:pt>
                <c:pt idx="198">
                  <c:v>15.76</c:v>
                </c:pt>
                <c:pt idx="199">
                  <c:v>15.76</c:v>
                </c:pt>
                <c:pt idx="200">
                  <c:v>15.76</c:v>
                </c:pt>
                <c:pt idx="201">
                  <c:v>15.76</c:v>
                </c:pt>
                <c:pt idx="202">
                  <c:v>15.76</c:v>
                </c:pt>
                <c:pt idx="203">
                  <c:v>15.76</c:v>
                </c:pt>
                <c:pt idx="204">
                  <c:v>15.76</c:v>
                </c:pt>
                <c:pt idx="205">
                  <c:v>17.52</c:v>
                </c:pt>
                <c:pt idx="206">
                  <c:v>17.52</c:v>
                </c:pt>
                <c:pt idx="207">
                  <c:v>17.52</c:v>
                </c:pt>
                <c:pt idx="208">
                  <c:v>17.52</c:v>
                </c:pt>
                <c:pt idx="209">
                  <c:v>17.52</c:v>
                </c:pt>
                <c:pt idx="210">
                  <c:v>17.52</c:v>
                </c:pt>
                <c:pt idx="211">
                  <c:v>17.52</c:v>
                </c:pt>
                <c:pt idx="212">
                  <c:v>17.52</c:v>
                </c:pt>
                <c:pt idx="213">
                  <c:v>17.52</c:v>
                </c:pt>
                <c:pt idx="214">
                  <c:v>17.52</c:v>
                </c:pt>
                <c:pt idx="215">
                  <c:v>17.52</c:v>
                </c:pt>
                <c:pt idx="216">
                  <c:v>17.52</c:v>
                </c:pt>
                <c:pt idx="217">
                  <c:v>17.52</c:v>
                </c:pt>
                <c:pt idx="218">
                  <c:v>17.52</c:v>
                </c:pt>
                <c:pt idx="219">
                  <c:v>17.52</c:v>
                </c:pt>
                <c:pt idx="220">
                  <c:v>17.52</c:v>
                </c:pt>
                <c:pt idx="221">
                  <c:v>17.52</c:v>
                </c:pt>
                <c:pt idx="222">
                  <c:v>17.52</c:v>
                </c:pt>
                <c:pt idx="223">
                  <c:v>17.52</c:v>
                </c:pt>
                <c:pt idx="224">
                  <c:v>17.52</c:v>
                </c:pt>
                <c:pt idx="225">
                  <c:v>17.52</c:v>
                </c:pt>
                <c:pt idx="226">
                  <c:v>17.52</c:v>
                </c:pt>
                <c:pt idx="227">
                  <c:v>17.52</c:v>
                </c:pt>
                <c:pt idx="228">
                  <c:v>17.52</c:v>
                </c:pt>
                <c:pt idx="229">
                  <c:v>17.52</c:v>
                </c:pt>
                <c:pt idx="230">
                  <c:v>17.52</c:v>
                </c:pt>
                <c:pt idx="231">
                  <c:v>17.52</c:v>
                </c:pt>
                <c:pt idx="232">
                  <c:v>17.52</c:v>
                </c:pt>
                <c:pt idx="233">
                  <c:v>17.52</c:v>
                </c:pt>
                <c:pt idx="234">
                  <c:v>17.52</c:v>
                </c:pt>
                <c:pt idx="235">
                  <c:v>17.52</c:v>
                </c:pt>
                <c:pt idx="236">
                  <c:v>17.52</c:v>
                </c:pt>
                <c:pt idx="237">
                  <c:v>17.52</c:v>
                </c:pt>
                <c:pt idx="238">
                  <c:v>17.52</c:v>
                </c:pt>
                <c:pt idx="239">
                  <c:v>17.52</c:v>
                </c:pt>
                <c:pt idx="240">
                  <c:v>17.52</c:v>
                </c:pt>
                <c:pt idx="241">
                  <c:v>17.52</c:v>
                </c:pt>
                <c:pt idx="242">
                  <c:v>17.52</c:v>
                </c:pt>
                <c:pt idx="243">
                  <c:v>17.52</c:v>
                </c:pt>
                <c:pt idx="244">
                  <c:v>17.52</c:v>
                </c:pt>
                <c:pt idx="245">
                  <c:v>17.52</c:v>
                </c:pt>
                <c:pt idx="246">
                  <c:v>17.52</c:v>
                </c:pt>
                <c:pt idx="247">
                  <c:v>17.52</c:v>
                </c:pt>
                <c:pt idx="248">
                  <c:v>17.52</c:v>
                </c:pt>
                <c:pt idx="249">
                  <c:v>17.52</c:v>
                </c:pt>
                <c:pt idx="250">
                  <c:v>17.52</c:v>
                </c:pt>
                <c:pt idx="251">
                  <c:v>17.52</c:v>
                </c:pt>
                <c:pt idx="252">
                  <c:v>17.52</c:v>
                </c:pt>
                <c:pt idx="253">
                  <c:v>17.52</c:v>
                </c:pt>
                <c:pt idx="254">
                  <c:v>17.52</c:v>
                </c:pt>
                <c:pt idx="255">
                  <c:v>17.52</c:v>
                </c:pt>
                <c:pt idx="256">
                  <c:v>17.52</c:v>
                </c:pt>
                <c:pt idx="257">
                  <c:v>17.52</c:v>
                </c:pt>
                <c:pt idx="258">
                  <c:v>18.559999999999999</c:v>
                </c:pt>
                <c:pt idx="259">
                  <c:v>18.559999999999999</c:v>
                </c:pt>
                <c:pt idx="260">
                  <c:v>18.559999999999999</c:v>
                </c:pt>
                <c:pt idx="261">
                  <c:v>18.559999999999999</c:v>
                </c:pt>
                <c:pt idx="262">
                  <c:v>18.559999999999999</c:v>
                </c:pt>
                <c:pt idx="263">
                  <c:v>18.559999999999999</c:v>
                </c:pt>
                <c:pt idx="264">
                  <c:v>18.559999999999999</c:v>
                </c:pt>
                <c:pt idx="265">
                  <c:v>18.559999999999999</c:v>
                </c:pt>
                <c:pt idx="266">
                  <c:v>18.559999999999999</c:v>
                </c:pt>
                <c:pt idx="267">
                  <c:v>18.559999999999999</c:v>
                </c:pt>
                <c:pt idx="268">
                  <c:v>18.559999999999999</c:v>
                </c:pt>
                <c:pt idx="269">
                  <c:v>18.559999999999999</c:v>
                </c:pt>
                <c:pt idx="270">
                  <c:v>18.559999999999999</c:v>
                </c:pt>
                <c:pt idx="271">
                  <c:v>18.559999999999999</c:v>
                </c:pt>
                <c:pt idx="272">
                  <c:v>18.559999999999999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9600"/>
        <c:axId val="120099584"/>
      </c:lineChart>
      <c:dateAx>
        <c:axId val="12008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0099584"/>
        <c:crosses val="autoZero"/>
        <c:auto val="1"/>
        <c:lblOffset val="100"/>
        <c:baseTimeUnit val="days"/>
      </c:dateAx>
      <c:valAx>
        <c:axId val="120099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-\$* #,##0.00_ ;_-\$* \-#,##0.00\ ;_-\$* &quot;-&quot;??_ ;_-@_ " sourceLinked="1"/>
        <c:majorTickMark val="out"/>
        <c:minorTickMark val="none"/>
        <c:tickLblPos val="nextTo"/>
        <c:crossAx val="120089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Investor</a:t>
            </a:r>
            <a:r>
              <a:rPr lang="en-US" altLang="zh-CN" baseline="0"/>
              <a:t> Relations Analysis</a:t>
            </a:r>
            <a:endParaRPr lang="zh-CN" alt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SJR.B</c:v>
          </c:tx>
          <c:spPr>
            <a:ln w="28575">
              <a:noFill/>
            </a:ln>
          </c:spPr>
          <c:xVal>
            <c:numRef>
              <c:f>'Relative Method'!$H$2</c:f>
              <c:numCache>
                <c:formatCode>General</c:formatCode>
                <c:ptCount val="1"/>
                <c:pt idx="0">
                  <c:v>1.02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0.73</c:v>
              </c:pt>
            </c:numLit>
          </c:yVal>
          <c:smooth val="0"/>
        </c:ser>
        <c:ser>
          <c:idx val="1"/>
          <c:order val="1"/>
          <c:tx>
            <c:v>BCE</c:v>
          </c:tx>
          <c:spPr>
            <a:ln w="28575">
              <a:noFill/>
            </a:ln>
          </c:spPr>
          <c:xVal>
            <c:numRef>
              <c:f>'Relative Method'!$H$3</c:f>
              <c:numCache>
                <c:formatCode>General</c:formatCode>
                <c:ptCount val="1"/>
                <c:pt idx="0">
                  <c:v>2.2200000000000002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1.24</c:v>
              </c:pt>
            </c:numLit>
          </c:yVal>
          <c:smooth val="0"/>
        </c:ser>
        <c:ser>
          <c:idx val="2"/>
          <c:order val="2"/>
          <c:tx>
            <c:v>RCI.B</c:v>
          </c:tx>
          <c:spPr>
            <a:ln w="28575">
              <a:noFill/>
            </a:ln>
          </c:spPr>
          <c:xVal>
            <c:numRef>
              <c:f>'Relative Method'!$H$4</c:f>
              <c:numCache>
                <c:formatCode>General</c:formatCode>
                <c:ptCount val="1"/>
                <c:pt idx="0">
                  <c:v>1.58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0.86</c:v>
              </c:pt>
            </c:numLit>
          </c:yVal>
          <c:smooth val="0"/>
        </c:ser>
        <c:ser>
          <c:idx val="3"/>
          <c:order val="3"/>
          <c:tx>
            <c:v>T</c:v>
          </c:tx>
          <c:spPr>
            <a:ln w="28575">
              <a:noFill/>
            </a:ln>
          </c:spPr>
          <c:xVal>
            <c:numRef>
              <c:f>'Relative Method'!$H$5</c:f>
              <c:numCache>
                <c:formatCode>General</c:formatCode>
                <c:ptCount val="1"/>
                <c:pt idx="0">
                  <c:v>1.22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1.0900000000000001</c:v>
              </c:pt>
            </c:numLit>
          </c:yVal>
          <c:smooth val="0"/>
        </c:ser>
        <c:ser>
          <c:idx val="4"/>
          <c:order val="4"/>
          <c:tx>
            <c:v>CCA</c:v>
          </c:tx>
          <c:spPr>
            <a:ln w="28575">
              <a:noFill/>
            </a:ln>
          </c:spPr>
          <c:xVal>
            <c:numRef>
              <c:f>'Relative Method'!$H$6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0.2</c:v>
              </c:pt>
            </c:numLit>
          </c:yVal>
          <c:smooth val="0"/>
        </c:ser>
        <c:ser>
          <c:idx val="5"/>
          <c:order val="5"/>
          <c:tx>
            <c:v>QBR.B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0.2</c:v>
              </c:pt>
            </c:numLit>
          </c:xVal>
          <c:yVal>
            <c:numLit>
              <c:formatCode>General</c:formatCode>
              <c:ptCount val="1"/>
              <c:pt idx="0">
                <c:v>0.13</c:v>
              </c:pt>
            </c:numLit>
          </c:yVal>
          <c:smooth val="0"/>
        </c:ser>
        <c:ser>
          <c:idx val="6"/>
          <c:order val="6"/>
          <c:tx>
            <c:v>CJR.B</c:v>
          </c:tx>
          <c:spPr>
            <a:ln w="28575">
              <a:noFill/>
            </a:ln>
          </c:spPr>
          <c:xVal>
            <c:numRef>
              <c:f>'Relative Method'!$H$8</c:f>
              <c:numCache>
                <c:formatCode>General</c:formatCode>
                <c:ptCount val="1"/>
                <c:pt idx="0">
                  <c:v>0.92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0.21</c:v>
              </c:pt>
            </c:numLit>
          </c:yVal>
          <c:smooth val="0"/>
        </c:ser>
        <c:ser>
          <c:idx val="7"/>
          <c:order val="7"/>
          <c:tx>
            <c:v>ACM.A</c:v>
          </c:tx>
          <c:spPr>
            <a:ln w="28575">
              <a:noFill/>
            </a:ln>
          </c:spPr>
          <c:xVal>
            <c:numRef>
              <c:f>'Relative Method'!$H$9</c:f>
              <c:numCache>
                <c:formatCode>0.00</c:formatCode>
                <c:ptCount val="1"/>
                <c:pt idx="0">
                  <c:v>0.5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0.11</c:v>
              </c:pt>
            </c:numLit>
          </c:yVal>
          <c:smooth val="0"/>
        </c:ser>
        <c:ser>
          <c:idx val="8"/>
          <c:order val="8"/>
          <c:tx>
            <c:v>MBT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1.7</c:v>
              </c:pt>
            </c:numLit>
          </c:xVal>
          <c:yVal>
            <c:numLit>
              <c:formatCode>General</c:formatCode>
              <c:ptCount val="1"/>
              <c:pt idx="0">
                <c:v>0.27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8784"/>
        <c:axId val="119817344"/>
      </c:scatterChart>
      <c:valAx>
        <c:axId val="1197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DPS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17344"/>
        <c:crosses val="autoZero"/>
        <c:crossBetween val="midCat"/>
      </c:valAx>
      <c:valAx>
        <c:axId val="119817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VOLUME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798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Mkt</a:t>
            </a:r>
            <a:r>
              <a:rPr lang="en-US" altLang="zh-CN" baseline="0"/>
              <a:t> Cap - Growth Rate Analysis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SJR.B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10.35</c:v>
              </c:pt>
            </c:numLit>
          </c:xVal>
          <c:yVal>
            <c:numRef>
              <c:f>'Relative Method'!$F$2</c:f>
              <c:numCache>
                <c:formatCode>0.00%</c:formatCode>
                <c:ptCount val="1"/>
                <c:pt idx="0">
                  <c:v>0.1174</c:v>
                </c:pt>
              </c:numCache>
            </c:numRef>
          </c:yVal>
          <c:smooth val="0"/>
        </c:ser>
        <c:ser>
          <c:idx val="1"/>
          <c:order val="1"/>
          <c:tx>
            <c:v>BCE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36.590000000000003</c:v>
              </c:pt>
            </c:numLit>
          </c:xVal>
          <c:yVal>
            <c:numRef>
              <c:f>'Relative Method'!$F$3</c:f>
              <c:numCache>
                <c:formatCode>0.00%</c:formatCode>
                <c:ptCount val="1"/>
                <c:pt idx="0">
                  <c:v>2.5100000000000001E-2</c:v>
                </c:pt>
              </c:numCache>
            </c:numRef>
          </c:yVal>
          <c:smooth val="0"/>
        </c:ser>
        <c:ser>
          <c:idx val="2"/>
          <c:order val="2"/>
          <c:tx>
            <c:v>RCI.B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26.67</c:v>
              </c:pt>
            </c:numLit>
          </c:xVal>
          <c:yVal>
            <c:numRef>
              <c:f>'Relative Method'!$F$4</c:f>
              <c:numCache>
                <c:formatCode>0.00%</c:formatCode>
                <c:ptCount val="1"/>
                <c:pt idx="0">
                  <c:v>3.9699999999999999E-2</c:v>
                </c:pt>
              </c:numCache>
            </c:numRef>
          </c:yVal>
          <c:smooth val="0"/>
        </c:ser>
        <c:ser>
          <c:idx val="3"/>
          <c:order val="3"/>
          <c:tx>
            <c:v>T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34.590000000000003</c:v>
              </c:pt>
            </c:numLit>
          </c:xVal>
          <c:yVal>
            <c:numRef>
              <c:f>'Relative Method'!$F$5</c:f>
              <c:numCache>
                <c:formatCode>0.00%</c:formatCode>
                <c:ptCount val="1"/>
                <c:pt idx="0">
                  <c:v>3.0599999999999999E-2</c:v>
                </c:pt>
              </c:numCache>
            </c:numRef>
          </c:yVal>
          <c:smooth val="0"/>
        </c:ser>
        <c:ser>
          <c:idx val="4"/>
          <c:order val="4"/>
          <c:tx>
            <c:v>CCA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2.17</c:v>
              </c:pt>
            </c:numLit>
          </c:xVal>
          <c:yVal>
            <c:numRef>
              <c:f>'Relative Method'!$F$6</c:f>
              <c:numCache>
                <c:formatCode>0.00%</c:formatCode>
                <c:ptCount val="1"/>
                <c:pt idx="0">
                  <c:v>5.1700000000000003E-2</c:v>
                </c:pt>
              </c:numCache>
            </c:numRef>
          </c:yVal>
          <c:smooth val="0"/>
        </c:ser>
        <c:ser>
          <c:idx val="5"/>
          <c:order val="5"/>
          <c:tx>
            <c:v>QBR.B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2.86</c:v>
              </c:pt>
            </c:numLit>
          </c:xVal>
          <c:yVal>
            <c:numRef>
              <c:f>'Relative Method'!$F$7</c:f>
              <c:numCache>
                <c:formatCode>0.00%</c:formatCode>
                <c:ptCount val="1"/>
                <c:pt idx="0">
                  <c:v>-9.3200000000000005E-2</c:v>
                </c:pt>
              </c:numCache>
            </c:numRef>
          </c:yVal>
          <c:smooth val="0"/>
        </c:ser>
        <c:ser>
          <c:idx val="6"/>
          <c:order val="6"/>
          <c:tx>
            <c:v>CJR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2.06</c:v>
              </c:pt>
            </c:numLit>
          </c:xVal>
          <c:yVal>
            <c:numRef>
              <c:f>'Relative Method'!$F$8</c:f>
              <c:numCache>
                <c:formatCode>0.00%</c:formatCode>
                <c:ptCount val="1"/>
                <c:pt idx="0">
                  <c:v>1.89E-2</c:v>
                </c:pt>
              </c:numCache>
            </c:numRef>
          </c:yVal>
          <c:smooth val="0"/>
        </c:ser>
        <c:ser>
          <c:idx val="7"/>
          <c:order val="7"/>
          <c:tx>
            <c:v>ACM.A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2.74</c:v>
              </c:pt>
            </c:numLit>
          </c:xVal>
          <c:yVal>
            <c:numRef>
              <c:f>'Relative Method'!$F$9</c:f>
              <c:numCache>
                <c:formatCode>0.00%</c:formatCode>
                <c:ptCount val="1"/>
                <c:pt idx="0">
                  <c:v>5.1200000000000002E-2</c:v>
                </c:pt>
              </c:numCache>
            </c:numRef>
          </c:yVal>
          <c:smooth val="0"/>
        </c:ser>
        <c:ser>
          <c:idx val="8"/>
          <c:order val="8"/>
          <c:tx>
            <c:v>MBT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2.16</c:v>
              </c:pt>
            </c:numLit>
          </c:xVal>
          <c:yVal>
            <c:numRef>
              <c:f>'Relative Method'!$F$10</c:f>
              <c:numCache>
                <c:formatCode>0.00%</c:formatCode>
                <c:ptCount val="1"/>
                <c:pt idx="0">
                  <c:v>-2.3400000000000001E-2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6512"/>
        <c:axId val="119938432"/>
      </c:scatterChart>
      <c:valAx>
        <c:axId val="1199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MKT</a:t>
                </a:r>
                <a:r>
                  <a:rPr lang="en-US" altLang="zh-CN" baseline="0"/>
                  <a:t> CAP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38432"/>
        <c:crosses val="autoZero"/>
        <c:crossBetween val="midCat"/>
      </c:valAx>
      <c:valAx>
        <c:axId val="119938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GROWTH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9936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Profitability</a:t>
            </a:r>
            <a:r>
              <a:rPr lang="en-US" altLang="zh-CN" baseline="0"/>
              <a:t> Analysis</a:t>
            </a:r>
            <a:endParaRPr lang="zh-CN" alt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SJR.B</c:v>
          </c:tx>
          <c:spPr>
            <a:ln w="28575">
              <a:noFill/>
            </a:ln>
          </c:spPr>
          <c:xVal>
            <c:numRef>
              <c:f>'Relative Method'!$G$2</c:f>
              <c:numCache>
                <c:formatCode>General</c:formatCode>
                <c:ptCount val="1"/>
                <c:pt idx="0">
                  <c:v>1.61</c:v>
                </c:pt>
              </c:numCache>
            </c:numRef>
          </c:xVal>
          <c:yVal>
            <c:numRef>
              <c:f>'Relative Method'!$L$2</c:f>
              <c:numCache>
                <c:formatCode>0.00%</c:formatCode>
                <c:ptCount val="1"/>
                <c:pt idx="0">
                  <c:v>0.51200000000000001</c:v>
                </c:pt>
              </c:numCache>
            </c:numRef>
          </c:yVal>
          <c:smooth val="0"/>
        </c:ser>
        <c:ser>
          <c:idx val="1"/>
          <c:order val="1"/>
          <c:tx>
            <c:v>BCE</c:v>
          </c:tx>
          <c:spPr>
            <a:ln w="28575">
              <a:noFill/>
            </a:ln>
          </c:spPr>
          <c:xVal>
            <c:numRef>
              <c:f>'Relative Method'!$G$3</c:f>
              <c:numCache>
                <c:formatCode>General</c:formatCode>
                <c:ptCount val="1"/>
                <c:pt idx="0">
                  <c:v>3.39</c:v>
                </c:pt>
              </c:numCache>
            </c:numRef>
          </c:xVal>
          <c:yVal>
            <c:numRef>
              <c:f>'Relative Method'!$L$3</c:f>
              <c:numCache>
                <c:formatCode>0.00%</c:formatCode>
                <c:ptCount val="1"/>
                <c:pt idx="0">
                  <c:v>0.39500000000000002</c:v>
                </c:pt>
              </c:numCache>
            </c:numRef>
          </c:yVal>
          <c:smooth val="0"/>
        </c:ser>
        <c:ser>
          <c:idx val="2"/>
          <c:order val="2"/>
          <c:tx>
            <c:v>RCI.B</c:v>
          </c:tx>
          <c:spPr>
            <a:ln w="28575">
              <a:noFill/>
            </a:ln>
          </c:spPr>
          <c:xVal>
            <c:numRef>
              <c:f>'Relative Method'!$G$4</c:f>
              <c:numCache>
                <c:formatCode>General</c:formatCode>
                <c:ptCount val="1"/>
                <c:pt idx="0">
                  <c:v>3.26</c:v>
                </c:pt>
              </c:numCache>
            </c:numRef>
          </c:xVal>
          <c:yVal>
            <c:numRef>
              <c:f>'Relative Method'!$L$4</c:f>
              <c:numCache>
                <c:formatCode>0.00%</c:formatCode>
                <c:ptCount val="1"/>
                <c:pt idx="0">
                  <c:v>0.70299999999999996</c:v>
                </c:pt>
              </c:numCache>
            </c:numRef>
          </c:yVal>
          <c:smooth val="0"/>
        </c:ser>
        <c:ser>
          <c:idx val="3"/>
          <c:order val="3"/>
          <c:tx>
            <c:v>T</c:v>
          </c:tx>
          <c:spPr>
            <a:ln w="28575">
              <a:noFill/>
            </a:ln>
          </c:spPr>
          <c:xVal>
            <c:numRef>
              <c:f>'Relative Method'!$G$5</c:f>
              <c:numCache>
                <c:formatCode>General</c:formatCode>
                <c:ptCount val="1"/>
                <c:pt idx="0">
                  <c:v>2.02</c:v>
                </c:pt>
              </c:numCache>
            </c:numRef>
          </c:xVal>
          <c:yVal>
            <c:numRef>
              <c:f>'Relative Method'!$L$5</c:f>
              <c:numCache>
                <c:formatCode>0.00%</c:formatCode>
                <c:ptCount val="1"/>
                <c:pt idx="0">
                  <c:v>0.55300000000000005</c:v>
                </c:pt>
              </c:numCache>
            </c:numRef>
          </c:yVal>
          <c:smooth val="0"/>
        </c:ser>
        <c:ser>
          <c:idx val="4"/>
          <c:order val="4"/>
          <c:tx>
            <c:v>CCA</c:v>
          </c:tx>
          <c:spPr>
            <a:ln w="28575">
              <a:noFill/>
            </a:ln>
          </c:spPr>
          <c:xVal>
            <c:numRef>
              <c:f>'Relative Method'!$G$6</c:f>
              <c:numCache>
                <c:formatCode>General</c:formatCode>
                <c:ptCount val="1"/>
                <c:pt idx="0">
                  <c:v>4.59</c:v>
                </c:pt>
              </c:numCache>
            </c:numRef>
          </c:xVal>
          <c:yVal>
            <c:numRef>
              <c:f>'Relative Method'!$L$6</c:f>
              <c:numCache>
                <c:formatCode>0.00%</c:formatCode>
                <c:ptCount val="1"/>
                <c:pt idx="0">
                  <c:v>0.497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'Relative Method'!$B$7</c:f>
              <c:strCache>
                <c:ptCount val="1"/>
                <c:pt idx="0">
                  <c:v>QBR.B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Method'!$G$7</c:f>
              <c:numCache>
                <c:formatCode>General</c:formatCode>
                <c:ptCount val="1"/>
                <c:pt idx="0">
                  <c:v>2.56</c:v>
                </c:pt>
              </c:numCache>
            </c:numRef>
          </c:xVal>
          <c:yVal>
            <c:numRef>
              <c:f>'Relative Method'!$L$7</c:f>
              <c:numCache>
                <c:formatCode>0.00%</c:formatCode>
                <c:ptCount val="1"/>
                <c:pt idx="0">
                  <c:v>0.56999999999999995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'Relative Method'!$B$8</c:f>
              <c:strCache>
                <c:ptCount val="1"/>
                <c:pt idx="0">
                  <c:v>CJR.B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Method'!$G$8</c:f>
              <c:numCache>
                <c:formatCode>General</c:formatCode>
                <c:ptCount val="1"/>
                <c:pt idx="0">
                  <c:v>1.78</c:v>
                </c:pt>
              </c:numCache>
            </c:numRef>
          </c:xVal>
          <c:yVal>
            <c:numRef>
              <c:f>'Relative Method'!$L$8</c:f>
              <c:numCache>
                <c:formatCode>0.00%</c:formatCode>
                <c:ptCount val="1"/>
                <c:pt idx="0">
                  <c:v>0.63700000000000001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'Relative Method'!$B$9</c:f>
              <c:strCache>
                <c:ptCount val="1"/>
                <c:pt idx="0">
                  <c:v>ACM.A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Method'!$G$9</c:f>
              <c:numCache>
                <c:formatCode>General</c:formatCode>
                <c:ptCount val="1"/>
                <c:pt idx="0">
                  <c:v>3.08</c:v>
                </c:pt>
              </c:numCache>
            </c:numRef>
          </c:xVal>
          <c:yVal>
            <c:numRef>
              <c:f>'Relative Method'!$L$9</c:f>
              <c:numCache>
                <c:formatCode>0.00%</c:formatCode>
                <c:ptCount val="1"/>
                <c:pt idx="0">
                  <c:v>0.377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'Relative Method'!$B$10</c:f>
              <c:strCache>
                <c:ptCount val="1"/>
                <c:pt idx="0">
                  <c:v>MBT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Method'!$G$10</c:f>
              <c:numCache>
                <c:formatCode>General</c:formatCode>
                <c:ptCount val="1"/>
                <c:pt idx="0">
                  <c:v>2.63</c:v>
                </c:pt>
              </c:numCache>
            </c:numRef>
          </c:xVal>
          <c:yVal>
            <c:numRef>
              <c:f>'Relative Method'!$L$10</c:f>
              <c:numCache>
                <c:formatCode>0.00%</c:formatCode>
                <c:ptCount val="1"/>
                <c:pt idx="0">
                  <c:v>0.35799999999999998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4800"/>
        <c:axId val="121975168"/>
      </c:scatterChart>
      <c:valAx>
        <c:axId val="12196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75168"/>
        <c:crosses val="autoZero"/>
        <c:crossBetween val="midCat"/>
      </c:valAx>
      <c:valAx>
        <c:axId val="121975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GROSS</a:t>
                </a:r>
                <a:r>
                  <a:rPr lang="en-US" altLang="zh-CN" baseline="0"/>
                  <a:t> MARGIN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1964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Operational</a:t>
            </a:r>
            <a:r>
              <a:rPr lang="en-US" altLang="zh-CN" baseline="0"/>
              <a:t> Risk and </a:t>
            </a:r>
            <a:r>
              <a:rPr lang="en-US" altLang="zh-CN"/>
              <a:t>Solvency Analysis</a:t>
            </a:r>
            <a:endParaRPr lang="zh-CN" alt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Method'!$B$2</c:f>
              <c:strCache>
                <c:ptCount val="1"/>
                <c:pt idx="0">
                  <c:v>SJR.B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Method'!$K$2</c:f>
              <c:numCache>
                <c:formatCode>General</c:formatCode>
                <c:ptCount val="1"/>
                <c:pt idx="0">
                  <c:v>3.4</c:v>
                </c:pt>
              </c:numCache>
            </c:numRef>
          </c:xVal>
          <c:yVal>
            <c:numRef>
              <c:f>'Relative Method'!$J$2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'Relative Method'!$B$3</c:f>
              <c:strCache>
                <c:ptCount val="1"/>
                <c:pt idx="0">
                  <c:v>BCE 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Method'!$K$3</c:f>
              <c:numCache>
                <c:formatCode>General</c:formatCode>
                <c:ptCount val="1"/>
                <c:pt idx="0">
                  <c:v>3.9</c:v>
                </c:pt>
              </c:numCache>
            </c:numRef>
          </c:xVal>
          <c:yVal>
            <c:numRef>
              <c:f>'Relative Method'!$J$3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'Relative Method'!$B$4</c:f>
              <c:strCache>
                <c:ptCount val="1"/>
                <c:pt idx="0">
                  <c:v>RCI.B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Method'!$K$4</c:f>
              <c:numCache>
                <c:formatCode>General</c:formatCode>
                <c:ptCount val="1"/>
                <c:pt idx="0">
                  <c:v>5.2</c:v>
                </c:pt>
              </c:numCache>
            </c:numRef>
          </c:xVal>
          <c:yVal>
            <c:numRef>
              <c:f>'Relative Method'!$J$4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'Relative Method'!$B$5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Method'!$K$5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'Relative Method'!$J$5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'Relative Method'!$B$6</c:f>
              <c:strCache>
                <c:ptCount val="1"/>
                <c:pt idx="0">
                  <c:v>CCA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Method'!$K$6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'Relative Method'!$J$6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'Relative Method'!$B$7</c:f>
              <c:strCache>
                <c:ptCount val="1"/>
                <c:pt idx="0">
                  <c:v>QBR.B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Method'!$K$7</c:f>
              <c:numCache>
                <c:formatCode>General</c:formatCode>
                <c:ptCount val="1"/>
                <c:pt idx="0">
                  <c:v>6.9</c:v>
                </c:pt>
              </c:numCache>
            </c:numRef>
          </c:xVal>
          <c:yVal>
            <c:numRef>
              <c:f>'Relative Method'!$J$7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'Relative Method'!$B$8</c:f>
              <c:strCache>
                <c:ptCount val="1"/>
                <c:pt idx="0">
                  <c:v>CJR.B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Method'!$K$8</c:f>
              <c:numCache>
                <c:formatCode>General</c:formatCode>
                <c:ptCount val="1"/>
                <c:pt idx="0">
                  <c:v>1.9</c:v>
                </c:pt>
              </c:numCache>
            </c:numRef>
          </c:xVal>
          <c:yVal>
            <c:numRef>
              <c:f>'Relative Method'!$J$8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'Relative Method'!$B$9</c:f>
              <c:strCache>
                <c:ptCount val="1"/>
                <c:pt idx="0">
                  <c:v>ACM.A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Method'!$K$9</c:f>
              <c:numCache>
                <c:formatCode>0.0</c:formatCode>
                <c:ptCount val="1"/>
                <c:pt idx="0">
                  <c:v>3</c:v>
                </c:pt>
              </c:numCache>
            </c:numRef>
          </c:xVal>
          <c:yVal>
            <c:numRef>
              <c:f>'Relative Method'!$J$9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'Relative Method'!$B$10</c:f>
              <c:strCache>
                <c:ptCount val="1"/>
                <c:pt idx="0">
                  <c:v>MBT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Method'!$K$10</c:f>
              <c:numCache>
                <c:formatCode>General</c:formatCode>
                <c:ptCount val="1"/>
                <c:pt idx="0">
                  <c:v>3.4</c:v>
                </c:pt>
              </c:numCache>
            </c:numRef>
          </c:xVal>
          <c:yVal>
            <c:numRef>
              <c:f>'Relative Method'!$J$10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8816"/>
        <c:axId val="122037376"/>
      </c:scatterChart>
      <c:valAx>
        <c:axId val="1220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Leverage Ratio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37376"/>
        <c:crosses val="autoZero"/>
        <c:crossBetween val="midCat"/>
      </c:valAx>
      <c:valAx>
        <c:axId val="122037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Quick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018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Financial Condition and</a:t>
            </a:r>
            <a:r>
              <a:rPr lang="en-US" altLang="zh-CN" baseline="0"/>
              <a:t> Operational Risk </a:t>
            </a:r>
            <a:endParaRPr lang="zh-CN" alt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Method'!$B$2</c:f>
              <c:strCache>
                <c:ptCount val="1"/>
                <c:pt idx="0">
                  <c:v>SJR.B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Method'!$O$2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'Relative Method'!$P$2</c:f>
              <c:numCache>
                <c:formatCode>General</c:formatCode>
                <c:ptCount val="1"/>
                <c:pt idx="0">
                  <c:v>1.86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'Relative Method'!$B$3</c:f>
              <c:strCache>
                <c:ptCount val="1"/>
                <c:pt idx="0">
                  <c:v>BCE 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'Relative Method'!$P$3</c:f>
              <c:numCache>
                <c:formatCode>General</c:formatCode>
                <c:ptCount val="1"/>
                <c:pt idx="0">
                  <c:v>1.86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'Relative Method'!$B$4</c:f>
              <c:strCache>
                <c:ptCount val="1"/>
                <c:pt idx="0">
                  <c:v>RCI.B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'Relative Method'!$P$4</c:f>
              <c:numCache>
                <c:formatCode>General</c:formatCode>
                <c:ptCount val="1"/>
                <c:pt idx="0">
                  <c:v>1.91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'Relative Method'!$B$5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'Relative Method'!$P$5</c:f>
              <c:numCache>
                <c:formatCode>General</c:formatCode>
                <c:ptCount val="1"/>
                <c:pt idx="0">
                  <c:v>1.42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'Relative Method'!$B$6</c:f>
              <c:strCache>
                <c:ptCount val="1"/>
                <c:pt idx="0">
                  <c:v>CCA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'Relative Method'!$P$6</c:f>
              <c:numCache>
                <c:formatCode>General</c:formatCode>
                <c:ptCount val="1"/>
                <c:pt idx="0">
                  <c:v>1.37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'Relative Method'!$B$7</c:f>
              <c:strCache>
                <c:ptCount val="1"/>
                <c:pt idx="0">
                  <c:v>QBR.B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Method'!$O$7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'Relative Method'!$P$7</c:f>
              <c:numCache>
                <c:formatCode>General</c:formatCode>
                <c:ptCount val="1"/>
                <c:pt idx="0">
                  <c:v>0.95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'Relative Method'!$B$8</c:f>
              <c:strCache>
                <c:ptCount val="1"/>
                <c:pt idx="0">
                  <c:v>CJR.B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'Relative Method'!$P$8</c:f>
              <c:numCache>
                <c:formatCode>General</c:formatCode>
                <c:ptCount val="1"/>
                <c:pt idx="0">
                  <c:v>2.21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'Relative Method'!$B$9</c:f>
              <c:strCache>
                <c:ptCount val="1"/>
                <c:pt idx="0">
                  <c:v>ACM.A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'Relative Method'!$P$9</c:f>
              <c:numCache>
                <c:formatCode>General</c:formatCode>
                <c:ptCount val="1"/>
                <c:pt idx="0">
                  <c:v>1.86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'Relative Method'!$B$10</c:f>
              <c:strCache>
                <c:ptCount val="1"/>
                <c:pt idx="0">
                  <c:v>MBT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Method'!$O$10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'Relative Method'!$P$10</c:f>
              <c:numCache>
                <c:formatCode>General</c:formatCode>
                <c:ptCount val="1"/>
                <c:pt idx="0">
                  <c:v>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3360"/>
        <c:axId val="120465280"/>
      </c:scatterChart>
      <c:valAx>
        <c:axId val="1204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Piotroski</a:t>
                </a:r>
                <a:r>
                  <a:rPr lang="en-US" altLang="zh-CN" baseline="0"/>
                  <a:t> Score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65280"/>
        <c:crosses val="autoZero"/>
        <c:crossBetween val="midCat"/>
      </c:valAx>
      <c:valAx>
        <c:axId val="120465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Altman</a:t>
                </a:r>
                <a:r>
                  <a:rPr lang="en-US" altLang="zh-CN" baseline="0"/>
                  <a:t> Z Score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63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4</xdr:row>
      <xdr:rowOff>47625</xdr:rowOff>
    </xdr:from>
    <xdr:to>
      <xdr:col>14</xdr:col>
      <xdr:colOff>1819275</xdr:colOff>
      <xdr:row>5</xdr:row>
      <xdr:rowOff>19050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1438275"/>
          <a:ext cx="1781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142875</xdr:colOff>
      <xdr:row>5</xdr:row>
      <xdr:rowOff>47625</xdr:rowOff>
    </xdr:from>
    <xdr:to>
      <xdr:col>14</xdr:col>
      <xdr:colOff>1943100</xdr:colOff>
      <xdr:row>7</xdr:row>
      <xdr:rowOff>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28775"/>
          <a:ext cx="18002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66675</xdr:colOff>
      <xdr:row>3</xdr:row>
      <xdr:rowOff>161925</xdr:rowOff>
    </xdr:from>
    <xdr:to>
      <xdr:col>10</xdr:col>
      <xdr:colOff>209550</xdr:colOff>
      <xdr:row>6</xdr:row>
      <xdr:rowOff>180975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362075"/>
          <a:ext cx="3533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152400</xdr:colOff>
      <xdr:row>72</xdr:row>
      <xdr:rowOff>76200</xdr:rowOff>
    </xdr:from>
    <xdr:to>
      <xdr:col>29</xdr:col>
      <xdr:colOff>371475</xdr:colOff>
      <xdr:row>74</xdr:row>
      <xdr:rowOff>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2275" y="3933825"/>
          <a:ext cx="3829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76200</xdr:colOff>
      <xdr:row>74</xdr:row>
      <xdr:rowOff>9525</xdr:rowOff>
    </xdr:from>
    <xdr:to>
      <xdr:col>25</xdr:col>
      <xdr:colOff>76200</xdr:colOff>
      <xdr:row>76</xdr:row>
      <xdr:rowOff>28575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6075" y="424815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57150</xdr:colOff>
      <xdr:row>76</xdr:row>
      <xdr:rowOff>76200</xdr:rowOff>
    </xdr:from>
    <xdr:to>
      <xdr:col>28</xdr:col>
      <xdr:colOff>561975</xdr:colOff>
      <xdr:row>78</xdr:row>
      <xdr:rowOff>0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7025" y="4695825"/>
          <a:ext cx="3429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66675</xdr:colOff>
      <xdr:row>78</xdr:row>
      <xdr:rowOff>66675</xdr:rowOff>
    </xdr:from>
    <xdr:to>
      <xdr:col>30</xdr:col>
      <xdr:colOff>457200</xdr:colOff>
      <xdr:row>79</xdr:row>
      <xdr:rowOff>171450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067300"/>
          <a:ext cx="4686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66675</xdr:colOff>
      <xdr:row>80</xdr:row>
      <xdr:rowOff>76200</xdr:rowOff>
    </xdr:from>
    <xdr:to>
      <xdr:col>29</xdr:col>
      <xdr:colOff>542925</xdr:colOff>
      <xdr:row>82</xdr:row>
      <xdr:rowOff>180975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467350"/>
          <a:ext cx="40862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47625</xdr:colOff>
      <xdr:row>83</xdr:row>
      <xdr:rowOff>0</xdr:rowOff>
    </xdr:from>
    <xdr:to>
      <xdr:col>28</xdr:col>
      <xdr:colOff>428625</xdr:colOff>
      <xdr:row>86</xdr:row>
      <xdr:rowOff>19050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0" y="5448300"/>
          <a:ext cx="33051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66675</xdr:colOff>
      <xdr:row>14</xdr:row>
      <xdr:rowOff>123825</xdr:rowOff>
    </xdr:from>
    <xdr:to>
      <xdr:col>43</xdr:col>
      <xdr:colOff>438150</xdr:colOff>
      <xdr:row>72</xdr:row>
      <xdr:rowOff>142875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73875" y="2895600"/>
          <a:ext cx="83534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104774</xdr:colOff>
      <xdr:row>100</xdr:row>
      <xdr:rowOff>66675</xdr:rowOff>
    </xdr:from>
    <xdr:to>
      <xdr:col>41</xdr:col>
      <xdr:colOff>885824</xdr:colOff>
      <xdr:row>117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790576</xdr:colOff>
      <xdr:row>107</xdr:row>
      <xdr:rowOff>38099</xdr:rowOff>
    </xdr:from>
    <xdr:to>
      <xdr:col>37</xdr:col>
      <xdr:colOff>490538</xdr:colOff>
      <xdr:row>109</xdr:row>
      <xdr:rowOff>95250</xdr:rowOff>
    </xdr:to>
    <xdr:cxnSp macro="">
      <xdr:nvCxnSpPr>
        <xdr:cNvPr id="17" name="直接箭头连接符 16"/>
        <xdr:cNvCxnSpPr>
          <a:stCxn id="18" idx="2"/>
        </xdr:cNvCxnSpPr>
      </xdr:nvCxnSpPr>
      <xdr:spPr>
        <a:xfrm flipH="1">
          <a:off x="21840826" y="10058399"/>
          <a:ext cx="633412" cy="4381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819150</xdr:colOff>
      <xdr:row>105</xdr:row>
      <xdr:rowOff>66675</xdr:rowOff>
    </xdr:from>
    <xdr:to>
      <xdr:col>38</xdr:col>
      <xdr:colOff>285750</xdr:colOff>
      <xdr:row>107</xdr:row>
      <xdr:rowOff>38099</xdr:rowOff>
    </xdr:to>
    <xdr:sp macro="" textlink="">
      <xdr:nvSpPr>
        <xdr:cNvPr id="18" name="TextBox 17"/>
        <xdr:cNvSpPr txBox="1"/>
      </xdr:nvSpPr>
      <xdr:spPr>
        <a:xfrm>
          <a:off x="21869400" y="9705975"/>
          <a:ext cx="1209675" cy="352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Optimal</a:t>
          </a:r>
          <a:r>
            <a:rPr lang="en-US" altLang="zh-CN" sz="1100" baseline="0"/>
            <a:t> D/E ratio</a:t>
          </a:r>
          <a:endParaRPr lang="zh-CN" altLang="en-US" sz="1100"/>
        </a:p>
      </xdr:txBody>
    </xdr:sp>
    <xdr:clientData/>
  </xdr:twoCellAnchor>
  <xdr:twoCellAnchor>
    <xdr:from>
      <xdr:col>39</xdr:col>
      <xdr:colOff>47625</xdr:colOff>
      <xdr:row>102</xdr:row>
      <xdr:rowOff>28575</xdr:rowOff>
    </xdr:from>
    <xdr:to>
      <xdr:col>40</xdr:col>
      <xdr:colOff>1000125</xdr:colOff>
      <xdr:row>104</xdr:row>
      <xdr:rowOff>0</xdr:rowOff>
    </xdr:to>
    <xdr:sp macro="" textlink="">
      <xdr:nvSpPr>
        <xdr:cNvPr id="25" name="TextBox 24"/>
        <xdr:cNvSpPr txBox="1"/>
      </xdr:nvSpPr>
      <xdr:spPr>
        <a:xfrm>
          <a:off x="24050625" y="9096375"/>
          <a:ext cx="15335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Current D/E Ratio</a:t>
          </a:r>
          <a:endParaRPr lang="zh-CN" altLang="en-US" sz="1100"/>
        </a:p>
      </xdr:txBody>
    </xdr:sp>
    <xdr:clientData/>
  </xdr:twoCellAnchor>
  <xdr:twoCellAnchor>
    <xdr:from>
      <xdr:col>40</xdr:col>
      <xdr:colOff>85727</xdr:colOff>
      <xdr:row>104</xdr:row>
      <xdr:rowOff>0</xdr:rowOff>
    </xdr:from>
    <xdr:to>
      <xdr:col>40</xdr:col>
      <xdr:colOff>233363</xdr:colOff>
      <xdr:row>105</xdr:row>
      <xdr:rowOff>142875</xdr:rowOff>
    </xdr:to>
    <xdr:cxnSp macro="">
      <xdr:nvCxnSpPr>
        <xdr:cNvPr id="27" name="直接箭头连接符 26"/>
        <xdr:cNvCxnSpPr>
          <a:stCxn id="25" idx="2"/>
        </xdr:cNvCxnSpPr>
      </xdr:nvCxnSpPr>
      <xdr:spPr>
        <a:xfrm flipH="1">
          <a:off x="24669752" y="9448800"/>
          <a:ext cx="147636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</xdr:row>
      <xdr:rowOff>28575</xdr:rowOff>
    </xdr:from>
    <xdr:to>
      <xdr:col>50</xdr:col>
      <xdr:colOff>390525</xdr:colOff>
      <xdr:row>5</xdr:row>
      <xdr:rowOff>47625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3150" y="704850"/>
          <a:ext cx="1685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0</xdr:rowOff>
    </xdr:from>
    <xdr:to>
      <xdr:col>10</xdr:col>
      <xdr:colOff>962025</xdr:colOff>
      <xdr:row>9</xdr:row>
      <xdr:rowOff>19050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400175"/>
          <a:ext cx="42386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19050</xdr:colOff>
      <xdr:row>5</xdr:row>
      <xdr:rowOff>66675</xdr:rowOff>
    </xdr:from>
    <xdr:to>
      <xdr:col>25</xdr:col>
      <xdr:colOff>581025</xdr:colOff>
      <xdr:row>7</xdr:row>
      <xdr:rowOff>85725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1085850"/>
          <a:ext cx="467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19050</xdr:colOff>
      <xdr:row>7</xdr:row>
      <xdr:rowOff>114300</xdr:rowOff>
    </xdr:from>
    <xdr:to>
      <xdr:col>22</xdr:col>
      <xdr:colOff>238125</xdr:colOff>
      <xdr:row>9</xdr:row>
      <xdr:rowOff>133350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1514475"/>
          <a:ext cx="22764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28575</xdr:colOff>
      <xdr:row>5</xdr:row>
      <xdr:rowOff>66675</xdr:rowOff>
    </xdr:from>
    <xdr:to>
      <xdr:col>32</xdr:col>
      <xdr:colOff>66675</xdr:colOff>
      <xdr:row>6</xdr:row>
      <xdr:rowOff>76200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2925" y="1085850"/>
          <a:ext cx="4752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66675</xdr:colOff>
      <xdr:row>11</xdr:row>
      <xdr:rowOff>76200</xdr:rowOff>
    </xdr:from>
    <xdr:to>
      <xdr:col>30</xdr:col>
      <xdr:colOff>600075</xdr:colOff>
      <xdr:row>12</xdr:row>
      <xdr:rowOff>85725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2238375"/>
          <a:ext cx="38766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57150</xdr:colOff>
      <xdr:row>8</xdr:row>
      <xdr:rowOff>38100</xdr:rowOff>
    </xdr:from>
    <xdr:to>
      <xdr:col>29</xdr:col>
      <xdr:colOff>962025</xdr:colOff>
      <xdr:row>9</xdr:row>
      <xdr:rowOff>47625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7025" y="1628775"/>
          <a:ext cx="2838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47625</xdr:colOff>
      <xdr:row>14</xdr:row>
      <xdr:rowOff>66675</xdr:rowOff>
    </xdr:from>
    <xdr:to>
      <xdr:col>29</xdr:col>
      <xdr:colOff>1200150</xdr:colOff>
      <xdr:row>15</xdr:row>
      <xdr:rowOff>76200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0" y="2800350"/>
          <a:ext cx="3086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6</xdr:row>
      <xdr:rowOff>47625</xdr:rowOff>
    </xdr:from>
    <xdr:to>
      <xdr:col>17</xdr:col>
      <xdr:colOff>123825</xdr:colOff>
      <xdr:row>8</xdr:row>
      <xdr:rowOff>0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1257300"/>
          <a:ext cx="42005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76200</xdr:colOff>
      <xdr:row>21</xdr:row>
      <xdr:rowOff>9525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00"/>
          <a:ext cx="76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3175</xdr:colOff>
      <xdr:row>15</xdr:row>
      <xdr:rowOff>187325</xdr:rowOff>
    </xdr:from>
    <xdr:to>
      <xdr:col>32</xdr:col>
      <xdr:colOff>12700</xdr:colOff>
      <xdr:row>15</xdr:row>
      <xdr:rowOff>187325</xdr:rowOff>
    </xdr:to>
    <xdr:cxnSp macro="">
      <xdr:nvCxnSpPr>
        <xdr:cNvPr id="4" name="直接箭头连接符 3"/>
        <xdr:cNvCxnSpPr/>
      </xdr:nvCxnSpPr>
      <xdr:spPr>
        <a:xfrm>
          <a:off x="12817475" y="3044825"/>
          <a:ext cx="8328025" cy="0"/>
        </a:xfrm>
        <a:prstGeom prst="straightConnector1">
          <a:avLst/>
        </a:prstGeom>
        <a:ln>
          <a:headEnd type="stealth"/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16</xdr:row>
      <xdr:rowOff>104775</xdr:rowOff>
    </xdr:from>
    <xdr:to>
      <xdr:col>31</xdr:col>
      <xdr:colOff>0</xdr:colOff>
      <xdr:row>16</xdr:row>
      <xdr:rowOff>104775</xdr:rowOff>
    </xdr:to>
    <xdr:cxnSp macro="">
      <xdr:nvCxnSpPr>
        <xdr:cNvPr id="6" name="直接连接符 5"/>
        <xdr:cNvCxnSpPr/>
      </xdr:nvCxnSpPr>
      <xdr:spPr>
        <a:xfrm>
          <a:off x="14220825" y="3152775"/>
          <a:ext cx="7248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432955</xdr:colOff>
      <xdr:row>15</xdr:row>
      <xdr:rowOff>86591</xdr:rowOff>
    </xdr:from>
    <xdr:to>
      <xdr:col>21</xdr:col>
      <xdr:colOff>432955</xdr:colOff>
      <xdr:row>17</xdr:row>
      <xdr:rowOff>17318</xdr:rowOff>
    </xdr:to>
    <xdr:cxnSp macro="">
      <xdr:nvCxnSpPr>
        <xdr:cNvPr id="8" name="直接连接符 7"/>
        <xdr:cNvCxnSpPr/>
      </xdr:nvCxnSpPr>
      <xdr:spPr>
        <a:xfrm>
          <a:off x="14460682" y="2944091"/>
          <a:ext cx="0" cy="3117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15</xdr:row>
      <xdr:rowOff>77932</xdr:rowOff>
    </xdr:from>
    <xdr:to>
      <xdr:col>22</xdr:col>
      <xdr:colOff>381000</xdr:colOff>
      <xdr:row>16</xdr:row>
      <xdr:rowOff>103909</xdr:rowOff>
    </xdr:to>
    <xdr:cxnSp macro="">
      <xdr:nvCxnSpPr>
        <xdr:cNvPr id="10" name="直接连接符 9"/>
        <xdr:cNvCxnSpPr/>
      </xdr:nvCxnSpPr>
      <xdr:spPr>
        <a:xfrm>
          <a:off x="15144750" y="2935432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381000</xdr:colOff>
      <xdr:row>15</xdr:row>
      <xdr:rowOff>77932</xdr:rowOff>
    </xdr:from>
    <xdr:to>
      <xdr:col>23</xdr:col>
      <xdr:colOff>381000</xdr:colOff>
      <xdr:row>16</xdr:row>
      <xdr:rowOff>103909</xdr:rowOff>
    </xdr:to>
    <xdr:cxnSp macro="">
      <xdr:nvCxnSpPr>
        <xdr:cNvPr id="11" name="直接连接符 10"/>
        <xdr:cNvCxnSpPr/>
      </xdr:nvCxnSpPr>
      <xdr:spPr>
        <a:xfrm>
          <a:off x="15828818" y="2935432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264968</xdr:colOff>
      <xdr:row>15</xdr:row>
      <xdr:rowOff>83127</xdr:rowOff>
    </xdr:from>
    <xdr:to>
      <xdr:col>24</xdr:col>
      <xdr:colOff>264968</xdr:colOff>
      <xdr:row>16</xdr:row>
      <xdr:rowOff>109104</xdr:rowOff>
    </xdr:to>
    <xdr:cxnSp macro="">
      <xdr:nvCxnSpPr>
        <xdr:cNvPr id="12" name="直接连接符 11"/>
        <xdr:cNvCxnSpPr/>
      </xdr:nvCxnSpPr>
      <xdr:spPr>
        <a:xfrm>
          <a:off x="16396854" y="2940627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287481</xdr:colOff>
      <xdr:row>15</xdr:row>
      <xdr:rowOff>71004</xdr:rowOff>
    </xdr:from>
    <xdr:to>
      <xdr:col>25</xdr:col>
      <xdr:colOff>287481</xdr:colOff>
      <xdr:row>16</xdr:row>
      <xdr:rowOff>96981</xdr:rowOff>
    </xdr:to>
    <xdr:cxnSp macro="">
      <xdr:nvCxnSpPr>
        <xdr:cNvPr id="13" name="直接连接符 12"/>
        <xdr:cNvCxnSpPr/>
      </xdr:nvCxnSpPr>
      <xdr:spPr>
        <a:xfrm>
          <a:off x="17103436" y="2928504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284017</xdr:colOff>
      <xdr:row>15</xdr:row>
      <xdr:rowOff>84858</xdr:rowOff>
    </xdr:from>
    <xdr:to>
      <xdr:col>26</xdr:col>
      <xdr:colOff>284017</xdr:colOff>
      <xdr:row>16</xdr:row>
      <xdr:rowOff>110835</xdr:rowOff>
    </xdr:to>
    <xdr:cxnSp macro="">
      <xdr:nvCxnSpPr>
        <xdr:cNvPr id="14" name="直接连接符 13"/>
        <xdr:cNvCxnSpPr/>
      </xdr:nvCxnSpPr>
      <xdr:spPr>
        <a:xfrm>
          <a:off x="17784040" y="2942358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280554</xdr:colOff>
      <xdr:row>15</xdr:row>
      <xdr:rowOff>90055</xdr:rowOff>
    </xdr:from>
    <xdr:to>
      <xdr:col>27</xdr:col>
      <xdr:colOff>280554</xdr:colOff>
      <xdr:row>16</xdr:row>
      <xdr:rowOff>116032</xdr:rowOff>
    </xdr:to>
    <xdr:cxnSp macro="">
      <xdr:nvCxnSpPr>
        <xdr:cNvPr id="15" name="直接连接符 14"/>
        <xdr:cNvCxnSpPr/>
      </xdr:nvCxnSpPr>
      <xdr:spPr>
        <a:xfrm>
          <a:off x="18464645" y="2947555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277091</xdr:colOff>
      <xdr:row>15</xdr:row>
      <xdr:rowOff>86591</xdr:rowOff>
    </xdr:from>
    <xdr:to>
      <xdr:col>28</xdr:col>
      <xdr:colOff>277091</xdr:colOff>
      <xdr:row>16</xdr:row>
      <xdr:rowOff>112568</xdr:rowOff>
    </xdr:to>
    <xdr:cxnSp macro="">
      <xdr:nvCxnSpPr>
        <xdr:cNvPr id="16" name="直接连接符 15"/>
        <xdr:cNvCxnSpPr/>
      </xdr:nvCxnSpPr>
      <xdr:spPr>
        <a:xfrm>
          <a:off x="19145250" y="2944091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264968</xdr:colOff>
      <xdr:row>15</xdr:row>
      <xdr:rowOff>65809</xdr:rowOff>
    </xdr:from>
    <xdr:to>
      <xdr:col>29</xdr:col>
      <xdr:colOff>264968</xdr:colOff>
      <xdr:row>16</xdr:row>
      <xdr:rowOff>91786</xdr:rowOff>
    </xdr:to>
    <xdr:cxnSp macro="">
      <xdr:nvCxnSpPr>
        <xdr:cNvPr id="17" name="直接连接符 16"/>
        <xdr:cNvCxnSpPr/>
      </xdr:nvCxnSpPr>
      <xdr:spPr>
        <a:xfrm>
          <a:off x="19817195" y="2923309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278822</xdr:colOff>
      <xdr:row>15</xdr:row>
      <xdr:rowOff>79664</xdr:rowOff>
    </xdr:from>
    <xdr:to>
      <xdr:col>30</xdr:col>
      <xdr:colOff>278822</xdr:colOff>
      <xdr:row>16</xdr:row>
      <xdr:rowOff>105641</xdr:rowOff>
    </xdr:to>
    <xdr:cxnSp macro="">
      <xdr:nvCxnSpPr>
        <xdr:cNvPr id="18" name="直接连接符 17"/>
        <xdr:cNvCxnSpPr/>
      </xdr:nvCxnSpPr>
      <xdr:spPr>
        <a:xfrm>
          <a:off x="20515117" y="2937164"/>
          <a:ext cx="0" cy="216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155864</xdr:colOff>
      <xdr:row>17</xdr:row>
      <xdr:rowOff>17319</xdr:rowOff>
    </xdr:from>
    <xdr:to>
      <xdr:col>29</xdr:col>
      <xdr:colOff>173182</xdr:colOff>
      <xdr:row>18</xdr:row>
      <xdr:rowOff>69273</xdr:rowOff>
    </xdr:to>
    <xdr:sp macro="" textlink="">
      <xdr:nvSpPr>
        <xdr:cNvPr id="19" name="TextBox 18"/>
        <xdr:cNvSpPr txBox="1"/>
      </xdr:nvSpPr>
      <xdr:spPr>
        <a:xfrm>
          <a:off x="14183591" y="3255819"/>
          <a:ext cx="5541818" cy="24245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Discount at $ Cost of Capital (WACC) =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7.85% * 0.333 + 7.42% * 0.667 * (1 - 28%) = 6.77%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25</xdr:col>
      <xdr:colOff>138546</xdr:colOff>
      <xdr:row>18</xdr:row>
      <xdr:rowOff>69273</xdr:rowOff>
    </xdr:from>
    <xdr:to>
      <xdr:col>28</xdr:col>
      <xdr:colOff>17319</xdr:colOff>
      <xdr:row>18</xdr:row>
      <xdr:rowOff>190497</xdr:rowOff>
    </xdr:to>
    <xdr:cxnSp macro="">
      <xdr:nvCxnSpPr>
        <xdr:cNvPr id="23" name="肘形连接符 22"/>
        <xdr:cNvCxnSpPr>
          <a:endCxn id="19" idx="2"/>
        </xdr:cNvCxnSpPr>
      </xdr:nvCxnSpPr>
      <xdr:spPr>
        <a:xfrm rot="10800000">
          <a:off x="16954501" y="3498273"/>
          <a:ext cx="1930977" cy="121224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259771</xdr:colOff>
      <xdr:row>20</xdr:row>
      <xdr:rowOff>0</xdr:rowOff>
    </xdr:from>
    <xdr:to>
      <xdr:col>31</xdr:col>
      <xdr:colOff>190499</xdr:colOff>
      <xdr:row>23</xdr:row>
      <xdr:rowOff>25978</xdr:rowOff>
    </xdr:to>
    <xdr:sp macro="" textlink="">
      <xdr:nvSpPr>
        <xdr:cNvPr id="29" name="TextBox 28"/>
        <xdr:cNvSpPr txBox="1"/>
      </xdr:nvSpPr>
      <xdr:spPr>
        <a:xfrm>
          <a:off x="18443862" y="3810000"/>
          <a:ext cx="2667001" cy="5974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Weights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E = 33.3%, D = 66.7%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Based on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historical book value of D/E ratio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363683</xdr:colOff>
      <xdr:row>20</xdr:row>
      <xdr:rowOff>8660</xdr:rowOff>
    </xdr:from>
    <xdr:to>
      <xdr:col>26</xdr:col>
      <xdr:colOff>450274</xdr:colOff>
      <xdr:row>24</xdr:row>
      <xdr:rowOff>173182</xdr:rowOff>
    </xdr:to>
    <xdr:sp macro="" textlink="">
      <xdr:nvSpPr>
        <xdr:cNvPr id="30" name="TextBox 29"/>
        <xdr:cNvSpPr txBox="1"/>
      </xdr:nvSpPr>
      <xdr:spPr>
        <a:xfrm>
          <a:off x="15811501" y="3818660"/>
          <a:ext cx="2138796" cy="9265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Cost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of Debt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Rd = 7.24%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Overall Rating for SJR : BBB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Interest Spread</a:t>
          </a:r>
          <a:r>
            <a:rPr lang="en-US" altLang="zh-CN">
              <a:latin typeface="Times New Roman" pitchFamily="18" charset="0"/>
              <a:cs typeface="Times New Roman" pitchFamily="18" charset="0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3.40%</a:t>
          </a:r>
          <a:r>
            <a:rPr lang="en-US" altLang="zh-CN">
              <a:latin typeface="Times New Roman" pitchFamily="18" charset="0"/>
              <a:cs typeface="Times New Roman" pitchFamily="18" charset="0"/>
            </a:rPr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Risk Free Rate</a:t>
          </a:r>
          <a:r>
            <a:rPr lang="en-US" altLang="zh-CN">
              <a:latin typeface="Times New Roman" pitchFamily="18" charset="0"/>
              <a:cs typeface="Times New Roman" pitchFamily="18" charset="0"/>
            </a:rPr>
            <a:t>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3.84%</a:t>
          </a:r>
          <a:r>
            <a:rPr lang="en-US" altLang="zh-CN">
              <a:latin typeface="Times New Roman" pitchFamily="18" charset="0"/>
              <a:cs typeface="Times New Roman" pitchFamily="18" charset="0"/>
            </a:rPr>
            <a:t> </a:t>
          </a:r>
          <a:endParaRPr lang="en-US" altLang="zh-CN" sz="1100" baseline="0">
            <a:latin typeface="Times New Roman" pitchFamily="18" charset="0"/>
            <a:cs typeface="Times New Roman" pitchFamily="18" charset="0"/>
          </a:endParaRPr>
        </a:p>
        <a:p>
          <a:endParaRPr lang="zh-CN" altLang="en-US" sz="1100"/>
        </a:p>
      </xdr:txBody>
    </xdr:sp>
    <xdr:clientData/>
  </xdr:twoCellAnchor>
  <xdr:twoCellAnchor>
    <xdr:from>
      <xdr:col>21</xdr:col>
      <xdr:colOff>60614</xdr:colOff>
      <xdr:row>20</xdr:row>
      <xdr:rowOff>34636</xdr:rowOff>
    </xdr:from>
    <xdr:to>
      <xdr:col>23</xdr:col>
      <xdr:colOff>43295</xdr:colOff>
      <xdr:row>22</xdr:row>
      <xdr:rowOff>77931</xdr:rowOff>
    </xdr:to>
    <xdr:sp macro="" textlink="">
      <xdr:nvSpPr>
        <xdr:cNvPr id="31" name="TextBox 30"/>
        <xdr:cNvSpPr txBox="1"/>
      </xdr:nvSpPr>
      <xdr:spPr>
        <a:xfrm>
          <a:off x="14088341" y="3844636"/>
          <a:ext cx="1402772" cy="4242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Cost of Equity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7.85%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21</xdr:col>
      <xdr:colOff>60614</xdr:colOff>
      <xdr:row>25</xdr:row>
      <xdr:rowOff>121226</xdr:rowOff>
    </xdr:from>
    <xdr:to>
      <xdr:col>28</xdr:col>
      <xdr:colOff>640773</xdr:colOff>
      <xdr:row>31</xdr:row>
      <xdr:rowOff>173182</xdr:rowOff>
    </xdr:to>
    <xdr:sp macro="" textlink="">
      <xdr:nvSpPr>
        <xdr:cNvPr id="32" name="矩形 31"/>
        <xdr:cNvSpPr/>
      </xdr:nvSpPr>
      <xdr:spPr>
        <a:xfrm>
          <a:off x="14088341" y="4883726"/>
          <a:ext cx="5420591" cy="1194956"/>
        </a:xfrm>
        <a:prstGeom prst="rect">
          <a:avLst/>
        </a:prstGeom>
        <a:solidFill>
          <a:schemeClr val="bg1">
            <a:alpha val="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164523</xdr:colOff>
      <xdr:row>26</xdr:row>
      <xdr:rowOff>51955</xdr:rowOff>
    </xdr:from>
    <xdr:to>
      <xdr:col>23</xdr:col>
      <xdr:colOff>303068</xdr:colOff>
      <xdr:row>29</xdr:row>
      <xdr:rowOff>103909</xdr:rowOff>
    </xdr:to>
    <xdr:sp macro="" textlink="">
      <xdr:nvSpPr>
        <xdr:cNvPr id="33" name="TextBox 32"/>
        <xdr:cNvSpPr txBox="1"/>
      </xdr:nvSpPr>
      <xdr:spPr>
        <a:xfrm>
          <a:off x="14192250" y="5004955"/>
          <a:ext cx="1558636" cy="62345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Riskfree Rate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3.84% (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7 Yr T-bill)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Source: Bank of Canada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381000</xdr:colOff>
      <xdr:row>26</xdr:row>
      <xdr:rowOff>164523</xdr:rowOff>
    </xdr:from>
    <xdr:to>
      <xdr:col>23</xdr:col>
      <xdr:colOff>675409</xdr:colOff>
      <xdr:row>28</xdr:row>
      <xdr:rowOff>34636</xdr:rowOff>
    </xdr:to>
    <xdr:sp macro="" textlink="">
      <xdr:nvSpPr>
        <xdr:cNvPr id="34" name="TextBox 33"/>
        <xdr:cNvSpPr txBox="1"/>
      </xdr:nvSpPr>
      <xdr:spPr>
        <a:xfrm>
          <a:off x="15828818" y="5117523"/>
          <a:ext cx="294409" cy="251113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latin typeface="Times New Roman" pitchFamily="18" charset="0"/>
              <a:cs typeface="Times New Roman" pitchFamily="18" charset="0"/>
            </a:rPr>
            <a:t>+</a:t>
          </a:r>
          <a:endParaRPr lang="zh-CN" alt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26</xdr:col>
      <xdr:colOff>95249</xdr:colOff>
      <xdr:row>26</xdr:row>
      <xdr:rowOff>185305</xdr:rowOff>
    </xdr:from>
    <xdr:to>
      <xdr:col>26</xdr:col>
      <xdr:colOff>389658</xdr:colOff>
      <xdr:row>28</xdr:row>
      <xdr:rowOff>55418</xdr:rowOff>
    </xdr:to>
    <xdr:sp macro="" textlink="">
      <xdr:nvSpPr>
        <xdr:cNvPr id="35" name="TextBox 34"/>
        <xdr:cNvSpPr txBox="1"/>
      </xdr:nvSpPr>
      <xdr:spPr>
        <a:xfrm>
          <a:off x="19659599" y="5138305"/>
          <a:ext cx="294409" cy="251113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>
              <a:latin typeface="Times New Roman" pitchFamily="18" charset="0"/>
              <a:cs typeface="Times New Roman" pitchFamily="18" charset="0"/>
            </a:rPr>
            <a:t>*</a:t>
          </a:r>
          <a:endParaRPr lang="zh-CN" alt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24</xdr:col>
      <xdr:colOff>17319</xdr:colOff>
      <xdr:row>26</xdr:row>
      <xdr:rowOff>60614</xdr:rowOff>
    </xdr:from>
    <xdr:to>
      <xdr:col>25</xdr:col>
      <xdr:colOff>675409</xdr:colOff>
      <xdr:row>28</xdr:row>
      <xdr:rowOff>103909</xdr:rowOff>
    </xdr:to>
    <xdr:sp macro="" textlink="">
      <xdr:nvSpPr>
        <xdr:cNvPr id="36" name="TextBox 35"/>
        <xdr:cNvSpPr txBox="1"/>
      </xdr:nvSpPr>
      <xdr:spPr>
        <a:xfrm>
          <a:off x="16149205" y="5013614"/>
          <a:ext cx="1342159" cy="4242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Beta: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</a:t>
          </a:r>
          <a:r>
            <a:rPr lang="en-US" altLang="zh-CN" sz="1100">
              <a:latin typeface="Times New Roman" pitchFamily="18" charset="0"/>
              <a:cs typeface="Times New Roman" pitchFamily="18" charset="0"/>
            </a:rPr>
            <a:t>0.68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Based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on Calculated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60615</xdr:colOff>
      <xdr:row>30</xdr:row>
      <xdr:rowOff>1</xdr:rowOff>
    </xdr:from>
    <xdr:to>
      <xdr:col>25</xdr:col>
      <xdr:colOff>164524</xdr:colOff>
      <xdr:row>31</xdr:row>
      <xdr:rowOff>95251</xdr:rowOff>
    </xdr:to>
    <xdr:sp macro="" textlink="">
      <xdr:nvSpPr>
        <xdr:cNvPr id="37" name="TextBox 36"/>
        <xdr:cNvSpPr txBox="1"/>
      </xdr:nvSpPr>
      <xdr:spPr>
        <a:xfrm>
          <a:off x="15508433" y="5715001"/>
          <a:ext cx="1472046" cy="285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Unlevered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</a:t>
          </a:r>
          <a:r>
            <a:rPr lang="en-US" altLang="zh-CN" sz="1100">
              <a:latin typeface="Times New Roman" pitchFamily="18" charset="0"/>
              <a:cs typeface="Times New Roman" pitchFamily="18" charset="0"/>
            </a:rPr>
            <a:t>Beta: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</a:t>
          </a:r>
          <a:r>
            <a:rPr lang="en-US" altLang="zh-CN" sz="1100">
              <a:latin typeface="Times New Roman" pitchFamily="18" charset="0"/>
              <a:cs typeface="Times New Roman" pitchFamily="18" charset="0"/>
            </a:rPr>
            <a:t>0.28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25</xdr:col>
      <xdr:colOff>277092</xdr:colOff>
      <xdr:row>29</xdr:row>
      <xdr:rowOff>181841</xdr:rowOff>
    </xdr:from>
    <xdr:to>
      <xdr:col>27</xdr:col>
      <xdr:colOff>190500</xdr:colOff>
      <xdr:row>31</xdr:row>
      <xdr:rowOff>77932</xdr:rowOff>
    </xdr:to>
    <xdr:sp macro="" textlink="">
      <xdr:nvSpPr>
        <xdr:cNvPr id="38" name="TextBox 37"/>
        <xdr:cNvSpPr txBox="1"/>
      </xdr:nvSpPr>
      <xdr:spPr>
        <a:xfrm>
          <a:off x="17093047" y="5706341"/>
          <a:ext cx="1281544" cy="27709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Firm's D/E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Ratio: 2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26</xdr:col>
      <xdr:colOff>450272</xdr:colOff>
      <xdr:row>26</xdr:row>
      <xdr:rowOff>77932</xdr:rowOff>
    </xdr:from>
    <xdr:to>
      <xdr:col>28</xdr:col>
      <xdr:colOff>424295</xdr:colOff>
      <xdr:row>28</xdr:row>
      <xdr:rowOff>121227</xdr:rowOff>
    </xdr:to>
    <xdr:sp macro="" textlink="">
      <xdr:nvSpPr>
        <xdr:cNvPr id="39" name="TextBox 38"/>
        <xdr:cNvSpPr txBox="1"/>
      </xdr:nvSpPr>
      <xdr:spPr>
        <a:xfrm>
          <a:off x="17950295" y="5030932"/>
          <a:ext cx="1342159" cy="4242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Market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Premium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5.9%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25</xdr:col>
      <xdr:colOff>4330</xdr:colOff>
      <xdr:row>28</xdr:row>
      <xdr:rowOff>103909</xdr:rowOff>
    </xdr:from>
    <xdr:to>
      <xdr:col>25</xdr:col>
      <xdr:colOff>4330</xdr:colOff>
      <xdr:row>29</xdr:row>
      <xdr:rowOff>60614</xdr:rowOff>
    </xdr:to>
    <xdr:cxnSp macro="">
      <xdr:nvCxnSpPr>
        <xdr:cNvPr id="43" name="直接连接符 42"/>
        <xdr:cNvCxnSpPr>
          <a:stCxn id="36" idx="2"/>
        </xdr:cNvCxnSpPr>
      </xdr:nvCxnSpPr>
      <xdr:spPr>
        <a:xfrm>
          <a:off x="16820285" y="5437909"/>
          <a:ext cx="0" cy="147205"/>
        </a:xfrm>
        <a:prstGeom prst="line">
          <a:avLst/>
        </a:prstGeom>
        <a:ln>
          <a:head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103909</xdr:colOff>
      <xdr:row>29</xdr:row>
      <xdr:rowOff>86591</xdr:rowOff>
    </xdr:from>
    <xdr:to>
      <xdr:col>24</xdr:col>
      <xdr:colOff>103909</xdr:colOff>
      <xdr:row>29</xdr:row>
      <xdr:rowOff>173182</xdr:rowOff>
    </xdr:to>
    <xdr:cxnSp macro="">
      <xdr:nvCxnSpPr>
        <xdr:cNvPr id="46" name="直接连接符 45"/>
        <xdr:cNvCxnSpPr/>
      </xdr:nvCxnSpPr>
      <xdr:spPr>
        <a:xfrm flipV="1">
          <a:off x="16235795" y="5611091"/>
          <a:ext cx="0" cy="86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233795</xdr:colOff>
      <xdr:row>29</xdr:row>
      <xdr:rowOff>77932</xdr:rowOff>
    </xdr:from>
    <xdr:to>
      <xdr:col>26</xdr:col>
      <xdr:colOff>233796</xdr:colOff>
      <xdr:row>29</xdr:row>
      <xdr:rowOff>181841</xdr:rowOff>
    </xdr:to>
    <xdr:cxnSp macro="">
      <xdr:nvCxnSpPr>
        <xdr:cNvPr id="55" name="直接连接符 54"/>
        <xdr:cNvCxnSpPr>
          <a:stCxn id="38" idx="0"/>
        </xdr:cNvCxnSpPr>
      </xdr:nvCxnSpPr>
      <xdr:spPr>
        <a:xfrm flipH="1" flipV="1">
          <a:off x="17733818" y="5602432"/>
          <a:ext cx="1" cy="1039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103909</xdr:colOff>
      <xdr:row>29</xdr:row>
      <xdr:rowOff>77932</xdr:rowOff>
    </xdr:from>
    <xdr:to>
      <xdr:col>26</xdr:col>
      <xdr:colOff>233795</xdr:colOff>
      <xdr:row>29</xdr:row>
      <xdr:rowOff>77932</xdr:rowOff>
    </xdr:to>
    <xdr:cxnSp macro="">
      <xdr:nvCxnSpPr>
        <xdr:cNvPr id="57" name="直接连接符 56"/>
        <xdr:cNvCxnSpPr/>
      </xdr:nvCxnSpPr>
      <xdr:spPr>
        <a:xfrm>
          <a:off x="16235795" y="5602432"/>
          <a:ext cx="14980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242455</xdr:colOff>
      <xdr:row>22</xdr:row>
      <xdr:rowOff>77932</xdr:rowOff>
    </xdr:from>
    <xdr:to>
      <xdr:col>22</xdr:col>
      <xdr:colOff>242455</xdr:colOff>
      <xdr:row>25</xdr:row>
      <xdr:rowOff>103909</xdr:rowOff>
    </xdr:to>
    <xdr:cxnSp macro="">
      <xdr:nvCxnSpPr>
        <xdr:cNvPr id="62" name="直接连接符 61"/>
        <xdr:cNvCxnSpPr/>
      </xdr:nvCxnSpPr>
      <xdr:spPr>
        <a:xfrm flipV="1">
          <a:off x="15006205" y="4268932"/>
          <a:ext cx="0" cy="5974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727363</xdr:colOff>
      <xdr:row>19</xdr:row>
      <xdr:rowOff>0</xdr:rowOff>
    </xdr:from>
    <xdr:to>
      <xdr:col>25</xdr:col>
      <xdr:colOff>277090</xdr:colOff>
      <xdr:row>19</xdr:row>
      <xdr:rowOff>0</xdr:rowOff>
    </xdr:to>
    <xdr:cxnSp macro="">
      <xdr:nvCxnSpPr>
        <xdr:cNvPr id="64" name="直接连接符 63"/>
        <xdr:cNvCxnSpPr/>
      </xdr:nvCxnSpPr>
      <xdr:spPr>
        <a:xfrm>
          <a:off x="14755090" y="3619500"/>
          <a:ext cx="23379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718705</xdr:colOff>
      <xdr:row>18</xdr:row>
      <xdr:rowOff>190499</xdr:rowOff>
    </xdr:from>
    <xdr:to>
      <xdr:col>21</xdr:col>
      <xdr:colOff>718705</xdr:colOff>
      <xdr:row>20</xdr:row>
      <xdr:rowOff>34636</xdr:rowOff>
    </xdr:to>
    <xdr:cxnSp macro="">
      <xdr:nvCxnSpPr>
        <xdr:cNvPr id="68" name="直接连接符 67"/>
        <xdr:cNvCxnSpPr/>
      </xdr:nvCxnSpPr>
      <xdr:spPr>
        <a:xfrm>
          <a:off x="14746432" y="3619499"/>
          <a:ext cx="0" cy="2251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17318</xdr:colOff>
      <xdr:row>19</xdr:row>
      <xdr:rowOff>8659</xdr:rowOff>
    </xdr:from>
    <xdr:to>
      <xdr:col>28</xdr:col>
      <xdr:colOff>17318</xdr:colOff>
      <xdr:row>20</xdr:row>
      <xdr:rowOff>8659</xdr:rowOff>
    </xdr:to>
    <xdr:cxnSp macro="">
      <xdr:nvCxnSpPr>
        <xdr:cNvPr id="73" name="直接连接符 72"/>
        <xdr:cNvCxnSpPr/>
      </xdr:nvCxnSpPr>
      <xdr:spPr>
        <a:xfrm>
          <a:off x="18885477" y="3628159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135081</xdr:colOff>
      <xdr:row>18</xdr:row>
      <xdr:rowOff>169718</xdr:rowOff>
    </xdr:from>
    <xdr:to>
      <xdr:col>25</xdr:col>
      <xdr:colOff>135081</xdr:colOff>
      <xdr:row>20</xdr:row>
      <xdr:rowOff>13855</xdr:rowOff>
    </xdr:to>
    <xdr:cxnSp macro="">
      <xdr:nvCxnSpPr>
        <xdr:cNvPr id="74" name="直接连接符 73"/>
        <xdr:cNvCxnSpPr/>
      </xdr:nvCxnSpPr>
      <xdr:spPr>
        <a:xfrm>
          <a:off x="16951036" y="3598718"/>
          <a:ext cx="0" cy="2251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8660</xdr:colOff>
      <xdr:row>12</xdr:row>
      <xdr:rowOff>60614</xdr:rowOff>
    </xdr:from>
    <xdr:to>
      <xdr:col>33</xdr:col>
      <xdr:colOff>484910</xdr:colOff>
      <xdr:row>16</xdr:row>
      <xdr:rowOff>51955</xdr:rowOff>
    </xdr:to>
    <xdr:sp macro="" textlink="">
      <xdr:nvSpPr>
        <xdr:cNvPr id="77" name="TextBox 76"/>
        <xdr:cNvSpPr txBox="1"/>
      </xdr:nvSpPr>
      <xdr:spPr>
        <a:xfrm>
          <a:off x="21119524" y="2346614"/>
          <a:ext cx="1160318" cy="75334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Terminal Yr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1,846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477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1,369</a:t>
          </a:r>
        </a:p>
        <a:p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29</xdr:col>
      <xdr:colOff>424295</xdr:colOff>
      <xdr:row>10</xdr:row>
      <xdr:rowOff>17319</xdr:rowOff>
    </xdr:from>
    <xdr:to>
      <xdr:col>34</xdr:col>
      <xdr:colOff>571499</xdr:colOff>
      <xdr:row>11</xdr:row>
      <xdr:rowOff>112569</xdr:rowOff>
    </xdr:to>
    <xdr:sp macro="" textlink="">
      <xdr:nvSpPr>
        <xdr:cNvPr id="78" name="TextBox 77"/>
        <xdr:cNvSpPr txBox="1"/>
      </xdr:nvSpPr>
      <xdr:spPr>
        <a:xfrm>
          <a:off x="19976522" y="1922319"/>
          <a:ext cx="3073977" cy="285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Terminal Value =  1,369 / (8.32%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- 2%) =22,817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33</xdr:col>
      <xdr:colOff>17318</xdr:colOff>
      <xdr:row>11</xdr:row>
      <xdr:rowOff>121227</xdr:rowOff>
    </xdr:from>
    <xdr:to>
      <xdr:col>33</xdr:col>
      <xdr:colOff>17318</xdr:colOff>
      <xdr:row>12</xdr:row>
      <xdr:rowOff>77932</xdr:rowOff>
    </xdr:to>
    <xdr:cxnSp macro="">
      <xdr:nvCxnSpPr>
        <xdr:cNvPr id="80" name="直接连接符 79"/>
        <xdr:cNvCxnSpPr/>
      </xdr:nvCxnSpPr>
      <xdr:spPr>
        <a:xfrm>
          <a:off x="21812250" y="2216727"/>
          <a:ext cx="0" cy="147205"/>
        </a:xfrm>
        <a:prstGeom prst="line">
          <a:avLst/>
        </a:prstGeom>
        <a:ln>
          <a:head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450273</xdr:colOff>
      <xdr:row>6</xdr:row>
      <xdr:rowOff>0</xdr:rowOff>
    </xdr:from>
    <xdr:to>
      <xdr:col>34</xdr:col>
      <xdr:colOff>242455</xdr:colOff>
      <xdr:row>9</xdr:row>
      <xdr:rowOff>8659</xdr:rowOff>
    </xdr:to>
    <xdr:sp macro="" textlink="">
      <xdr:nvSpPr>
        <xdr:cNvPr id="82" name="TextBox 81"/>
        <xdr:cNvSpPr txBox="1"/>
      </xdr:nvSpPr>
      <xdr:spPr>
        <a:xfrm>
          <a:off x="20002500" y="1143000"/>
          <a:ext cx="2718955" cy="5801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Stable Growth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g = 2%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( Expect GDP of Canada)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Cost of Capital = 8.32% ( Industry Average)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31</xdr:col>
      <xdr:colOff>8659</xdr:colOff>
      <xdr:row>9</xdr:row>
      <xdr:rowOff>8659</xdr:rowOff>
    </xdr:from>
    <xdr:to>
      <xdr:col>31</xdr:col>
      <xdr:colOff>8659</xdr:colOff>
      <xdr:row>10</xdr:row>
      <xdr:rowOff>25977</xdr:rowOff>
    </xdr:to>
    <xdr:cxnSp macro="">
      <xdr:nvCxnSpPr>
        <xdr:cNvPr id="84" name="直接连接符 83"/>
        <xdr:cNvCxnSpPr/>
      </xdr:nvCxnSpPr>
      <xdr:spPr>
        <a:xfrm>
          <a:off x="20929023" y="1723159"/>
          <a:ext cx="0" cy="207818"/>
        </a:xfrm>
        <a:prstGeom prst="line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112568</xdr:colOff>
      <xdr:row>11</xdr:row>
      <xdr:rowOff>112568</xdr:rowOff>
    </xdr:from>
    <xdr:to>
      <xdr:col>22</xdr:col>
      <xdr:colOff>112568</xdr:colOff>
      <xdr:row>13</xdr:row>
      <xdr:rowOff>8659</xdr:rowOff>
    </xdr:to>
    <xdr:cxnSp macro="">
      <xdr:nvCxnSpPr>
        <xdr:cNvPr id="86" name="直接连接符 85"/>
        <xdr:cNvCxnSpPr/>
      </xdr:nvCxnSpPr>
      <xdr:spPr>
        <a:xfrm>
          <a:off x="14876318" y="2208068"/>
          <a:ext cx="0" cy="277091"/>
        </a:xfrm>
        <a:prstGeom prst="line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458932</xdr:colOff>
      <xdr:row>7</xdr:row>
      <xdr:rowOff>112568</xdr:rowOff>
    </xdr:from>
    <xdr:to>
      <xdr:col>25</xdr:col>
      <xdr:colOff>380999</xdr:colOff>
      <xdr:row>10</xdr:row>
      <xdr:rowOff>164522</xdr:rowOff>
    </xdr:to>
    <xdr:sp macro="" textlink="">
      <xdr:nvSpPr>
        <xdr:cNvPr id="87" name="TextBox 86"/>
        <xdr:cNvSpPr txBox="1"/>
      </xdr:nvSpPr>
      <xdr:spPr>
        <a:xfrm>
          <a:off x="15906750" y="1446068"/>
          <a:ext cx="1290204" cy="62345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Expected Growth in Revenue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5%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26</xdr:col>
      <xdr:colOff>103909</xdr:colOff>
      <xdr:row>8</xdr:row>
      <xdr:rowOff>164524</xdr:rowOff>
    </xdr:from>
    <xdr:to>
      <xdr:col>29</xdr:col>
      <xdr:colOff>225137</xdr:colOff>
      <xdr:row>11</xdr:row>
      <xdr:rowOff>43296</xdr:rowOff>
    </xdr:to>
    <xdr:sp macro="" textlink="">
      <xdr:nvSpPr>
        <xdr:cNvPr id="89" name="TextBox 88"/>
        <xdr:cNvSpPr txBox="1"/>
      </xdr:nvSpPr>
      <xdr:spPr>
        <a:xfrm>
          <a:off x="17603932" y="1688524"/>
          <a:ext cx="2173432" cy="45027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Arithmetic Average (3 Yr) 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7.52%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Geometric Average (3 Yr)   4.14%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883228</xdr:colOff>
      <xdr:row>7</xdr:row>
      <xdr:rowOff>103909</xdr:rowOff>
    </xdr:from>
    <xdr:to>
      <xdr:col>22</xdr:col>
      <xdr:colOff>640773</xdr:colOff>
      <xdr:row>9</xdr:row>
      <xdr:rowOff>164523</xdr:rowOff>
    </xdr:to>
    <xdr:sp macro="" textlink="">
      <xdr:nvSpPr>
        <xdr:cNvPr id="90" name="TextBox 89"/>
        <xdr:cNvSpPr txBox="1"/>
      </xdr:nvSpPr>
      <xdr:spPr>
        <a:xfrm>
          <a:off x="13880523" y="1437409"/>
          <a:ext cx="1524000" cy="44161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ARIMA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Model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6.24%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26</xdr:col>
      <xdr:colOff>95248</xdr:colOff>
      <xdr:row>2</xdr:row>
      <xdr:rowOff>43296</xdr:rowOff>
    </xdr:from>
    <xdr:to>
      <xdr:col>28</xdr:col>
      <xdr:colOff>545521</xdr:colOff>
      <xdr:row>5</xdr:row>
      <xdr:rowOff>103910</xdr:rowOff>
    </xdr:to>
    <xdr:sp macro="" textlink="">
      <xdr:nvSpPr>
        <xdr:cNvPr id="91" name="TextBox 90"/>
        <xdr:cNvSpPr txBox="1"/>
      </xdr:nvSpPr>
      <xdr:spPr>
        <a:xfrm>
          <a:off x="17595271" y="424296"/>
          <a:ext cx="1818409" cy="63211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Expect ROE   20%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Retention Ratio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 0.38</a:t>
          </a:r>
          <a:r>
            <a:rPr lang="en-US" altLang="zh-CN" sz="1100">
              <a:latin typeface="Times New Roman" pitchFamily="18" charset="0"/>
              <a:cs typeface="Times New Roman" pitchFamily="18" charset="0"/>
            </a:rPr>
            <a:t> 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Expect Growth Rate 7.65% 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 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26</xdr:col>
      <xdr:colOff>103909</xdr:colOff>
      <xdr:row>6</xdr:row>
      <xdr:rowOff>17318</xdr:rowOff>
    </xdr:from>
    <xdr:to>
      <xdr:col>28</xdr:col>
      <xdr:colOff>303069</xdr:colOff>
      <xdr:row>8</xdr:row>
      <xdr:rowOff>77932</xdr:rowOff>
    </xdr:to>
    <xdr:sp macro="" textlink="">
      <xdr:nvSpPr>
        <xdr:cNvPr id="92" name="TextBox 91"/>
        <xdr:cNvSpPr txBox="1"/>
      </xdr:nvSpPr>
      <xdr:spPr>
        <a:xfrm>
          <a:off x="17603932" y="1160318"/>
          <a:ext cx="1567296" cy="44161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Linear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regression Model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12.61%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969817</xdr:colOff>
      <xdr:row>2</xdr:row>
      <xdr:rowOff>86590</xdr:rowOff>
    </xdr:from>
    <xdr:to>
      <xdr:col>23</xdr:col>
      <xdr:colOff>77932</xdr:colOff>
      <xdr:row>4</xdr:row>
      <xdr:rowOff>147204</xdr:rowOff>
    </xdr:to>
    <xdr:sp macro="" textlink="">
      <xdr:nvSpPr>
        <xdr:cNvPr id="93" name="TextBox 92"/>
        <xdr:cNvSpPr txBox="1"/>
      </xdr:nvSpPr>
      <xdr:spPr>
        <a:xfrm>
          <a:off x="13967112" y="467590"/>
          <a:ext cx="1558638" cy="44161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Breakeven Growth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Rate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3.22% - 4.11%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23</xdr:col>
      <xdr:colOff>381001</xdr:colOff>
      <xdr:row>2</xdr:row>
      <xdr:rowOff>51953</xdr:rowOff>
    </xdr:from>
    <xdr:to>
      <xdr:col>25</xdr:col>
      <xdr:colOff>658092</xdr:colOff>
      <xdr:row>4</xdr:row>
      <xdr:rowOff>121226</xdr:rowOff>
    </xdr:to>
    <xdr:sp macro="" textlink="">
      <xdr:nvSpPr>
        <xdr:cNvPr id="94" name="TextBox 93"/>
        <xdr:cNvSpPr txBox="1"/>
      </xdr:nvSpPr>
      <xdr:spPr>
        <a:xfrm>
          <a:off x="15828819" y="432953"/>
          <a:ext cx="1645228" cy="4502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ROC  30%</a:t>
          </a:r>
          <a:endParaRPr lang="en-US" altLang="zh-CN" sz="1100" baseline="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Reinvestment Rate  10%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22</xdr:col>
      <xdr:colOff>640773</xdr:colOff>
      <xdr:row>8</xdr:row>
      <xdr:rowOff>134216</xdr:rowOff>
    </xdr:from>
    <xdr:to>
      <xdr:col>23</xdr:col>
      <xdr:colOff>450273</xdr:colOff>
      <xdr:row>8</xdr:row>
      <xdr:rowOff>134216</xdr:rowOff>
    </xdr:to>
    <xdr:cxnSp macro="">
      <xdr:nvCxnSpPr>
        <xdr:cNvPr id="99" name="直接连接符 98"/>
        <xdr:cNvCxnSpPr>
          <a:stCxn id="90" idx="3"/>
        </xdr:cNvCxnSpPr>
      </xdr:nvCxnSpPr>
      <xdr:spPr>
        <a:xfrm>
          <a:off x="15404523" y="1658216"/>
          <a:ext cx="493568" cy="0"/>
        </a:xfrm>
        <a:prstGeom prst="line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389659</xdr:colOff>
      <xdr:row>10</xdr:row>
      <xdr:rowOff>8659</xdr:rowOff>
    </xdr:from>
    <xdr:to>
      <xdr:col>26</xdr:col>
      <xdr:colOff>103909</xdr:colOff>
      <xdr:row>10</xdr:row>
      <xdr:rowOff>8660</xdr:rowOff>
    </xdr:to>
    <xdr:cxnSp macro="">
      <xdr:nvCxnSpPr>
        <xdr:cNvPr id="102" name="直接箭头连接符 101"/>
        <xdr:cNvCxnSpPr>
          <a:stCxn id="89" idx="1"/>
        </xdr:cNvCxnSpPr>
      </xdr:nvCxnSpPr>
      <xdr:spPr>
        <a:xfrm flipH="1" flipV="1">
          <a:off x="17205614" y="1913659"/>
          <a:ext cx="398318" cy="1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372340</xdr:colOff>
      <xdr:row>7</xdr:row>
      <xdr:rowOff>173182</xdr:rowOff>
    </xdr:from>
    <xdr:to>
      <xdr:col>26</xdr:col>
      <xdr:colOff>103909</xdr:colOff>
      <xdr:row>7</xdr:row>
      <xdr:rowOff>173182</xdr:rowOff>
    </xdr:to>
    <xdr:cxnSp macro="">
      <xdr:nvCxnSpPr>
        <xdr:cNvPr id="104" name="直接箭头连接符 103"/>
        <xdr:cNvCxnSpPr/>
      </xdr:nvCxnSpPr>
      <xdr:spPr>
        <a:xfrm flipH="1">
          <a:off x="17188295" y="1506682"/>
          <a:ext cx="415637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268432</xdr:colOff>
      <xdr:row>5</xdr:row>
      <xdr:rowOff>0</xdr:rowOff>
    </xdr:from>
    <xdr:to>
      <xdr:col>26</xdr:col>
      <xdr:colOff>77932</xdr:colOff>
      <xdr:row>7</xdr:row>
      <xdr:rowOff>112568</xdr:rowOff>
    </xdr:to>
    <xdr:cxnSp macro="">
      <xdr:nvCxnSpPr>
        <xdr:cNvPr id="106" name="直接箭头连接符 105"/>
        <xdr:cNvCxnSpPr/>
      </xdr:nvCxnSpPr>
      <xdr:spPr>
        <a:xfrm flipH="1">
          <a:off x="17084387" y="952500"/>
          <a:ext cx="493568" cy="493568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303069</xdr:colOff>
      <xdr:row>4</xdr:row>
      <xdr:rowOff>121227</xdr:rowOff>
    </xdr:from>
    <xdr:to>
      <xdr:col>24</xdr:col>
      <xdr:colOff>303069</xdr:colOff>
      <xdr:row>7</xdr:row>
      <xdr:rowOff>112568</xdr:rowOff>
    </xdr:to>
    <xdr:cxnSp macro="">
      <xdr:nvCxnSpPr>
        <xdr:cNvPr id="108" name="直接箭头连接符 107"/>
        <xdr:cNvCxnSpPr/>
      </xdr:nvCxnSpPr>
      <xdr:spPr>
        <a:xfrm>
          <a:off x="16434955" y="883227"/>
          <a:ext cx="0" cy="562841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77932</xdr:colOff>
      <xdr:row>4</xdr:row>
      <xdr:rowOff>129886</xdr:rowOff>
    </xdr:from>
    <xdr:to>
      <xdr:col>23</xdr:col>
      <xdr:colOff>614796</xdr:colOff>
      <xdr:row>7</xdr:row>
      <xdr:rowOff>95250</xdr:rowOff>
    </xdr:to>
    <xdr:cxnSp macro="">
      <xdr:nvCxnSpPr>
        <xdr:cNvPr id="110" name="直接箭头连接符 109"/>
        <xdr:cNvCxnSpPr/>
      </xdr:nvCxnSpPr>
      <xdr:spPr>
        <a:xfrm>
          <a:off x="15525750" y="891886"/>
          <a:ext cx="536864" cy="536864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11</xdr:row>
      <xdr:rowOff>95250</xdr:rowOff>
    </xdr:from>
    <xdr:to>
      <xdr:col>24</xdr:col>
      <xdr:colOff>303068</xdr:colOff>
      <xdr:row>11</xdr:row>
      <xdr:rowOff>95250</xdr:rowOff>
    </xdr:to>
    <xdr:cxnSp macro="">
      <xdr:nvCxnSpPr>
        <xdr:cNvPr id="112" name="直接连接符 111"/>
        <xdr:cNvCxnSpPr/>
      </xdr:nvCxnSpPr>
      <xdr:spPr>
        <a:xfrm>
          <a:off x="15230475" y="2190750"/>
          <a:ext cx="326534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311728</xdr:colOff>
      <xdr:row>10</xdr:row>
      <xdr:rowOff>164523</xdr:rowOff>
    </xdr:from>
    <xdr:to>
      <xdr:col>24</xdr:col>
      <xdr:colOff>311728</xdr:colOff>
      <xdr:row>11</xdr:row>
      <xdr:rowOff>103909</xdr:rowOff>
    </xdr:to>
    <xdr:cxnSp macro="">
      <xdr:nvCxnSpPr>
        <xdr:cNvPr id="114" name="直接连接符 113"/>
        <xdr:cNvCxnSpPr/>
      </xdr:nvCxnSpPr>
      <xdr:spPr>
        <a:xfrm>
          <a:off x="16443614" y="2069523"/>
          <a:ext cx="0" cy="1298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1276349</xdr:colOff>
      <xdr:row>1</xdr:row>
      <xdr:rowOff>1</xdr:rowOff>
    </xdr:from>
    <xdr:to>
      <xdr:col>20</xdr:col>
      <xdr:colOff>742950</xdr:colOff>
      <xdr:row>10</xdr:row>
      <xdr:rowOff>76201</xdr:rowOff>
    </xdr:to>
    <xdr:sp macro="" textlink="">
      <xdr:nvSpPr>
        <xdr:cNvPr id="116" name="TextBox 115"/>
        <xdr:cNvSpPr txBox="1"/>
      </xdr:nvSpPr>
      <xdr:spPr>
        <a:xfrm>
          <a:off x="14135099" y="190501"/>
          <a:ext cx="1666876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Current Cashflow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to Firm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EBIT (1-t)	1134</a:t>
          </a:r>
        </a:p>
        <a:p>
          <a:endParaRPr lang="en-US" altLang="zh-CN" sz="1100" baseline="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+Depreciation	837</a:t>
          </a:r>
        </a:p>
        <a:p>
          <a:endParaRPr lang="en-US" altLang="zh-CN" sz="1100" baseline="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- CapEx	1050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/>
          </a:r>
          <a:br>
            <a:rPr lang="en-US" altLang="zh-CN" sz="1100" baseline="0">
              <a:latin typeface="Times New Roman" pitchFamily="18" charset="0"/>
              <a:cs typeface="Times New Roman" pitchFamily="18" charset="0"/>
            </a:rPr>
          </a:b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-/+CWC	0</a:t>
          </a:r>
        </a:p>
        <a:p>
          <a:endParaRPr lang="en-US" altLang="zh-CN" sz="1100" baseline="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=FCFF	921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171450</xdr:colOff>
      <xdr:row>10</xdr:row>
      <xdr:rowOff>66675</xdr:rowOff>
    </xdr:from>
    <xdr:to>
      <xdr:col>20</xdr:col>
      <xdr:colOff>171450</xdr:colOff>
      <xdr:row>11</xdr:row>
      <xdr:rowOff>114300</xdr:rowOff>
    </xdr:to>
    <xdr:cxnSp macro="">
      <xdr:nvCxnSpPr>
        <xdr:cNvPr id="120" name="直接连接符 119"/>
        <xdr:cNvCxnSpPr/>
      </xdr:nvCxnSpPr>
      <xdr:spPr>
        <a:xfrm>
          <a:off x="15230475" y="1971675"/>
          <a:ext cx="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142875</xdr:colOff>
      <xdr:row>0</xdr:row>
      <xdr:rowOff>66675</xdr:rowOff>
    </xdr:from>
    <xdr:to>
      <xdr:col>17</xdr:col>
      <xdr:colOff>990600</xdr:colOff>
      <xdr:row>2</xdr:row>
      <xdr:rowOff>114300</xdr:rowOff>
    </xdr:to>
    <xdr:sp macro="" textlink="">
      <xdr:nvSpPr>
        <xdr:cNvPr id="125" name="TextBox 124"/>
        <xdr:cNvSpPr txBox="1"/>
      </xdr:nvSpPr>
      <xdr:spPr>
        <a:xfrm>
          <a:off x="12315825" y="66675"/>
          <a:ext cx="15335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EBIT as % Revenue</a:t>
          </a:r>
        </a:p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	30%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276225</xdr:colOff>
      <xdr:row>6</xdr:row>
      <xdr:rowOff>57150</xdr:rowOff>
    </xdr:from>
    <xdr:to>
      <xdr:col>17</xdr:col>
      <xdr:colOff>1013114</xdr:colOff>
      <xdr:row>8</xdr:row>
      <xdr:rowOff>133350</xdr:rowOff>
    </xdr:to>
    <xdr:sp macro="" textlink="">
      <xdr:nvSpPr>
        <xdr:cNvPr id="126" name="TextBox 125"/>
        <xdr:cNvSpPr txBox="1"/>
      </xdr:nvSpPr>
      <xdr:spPr>
        <a:xfrm>
          <a:off x="12449175" y="1200150"/>
          <a:ext cx="142268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CapEx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as % Revenue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	20%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457198</xdr:colOff>
      <xdr:row>2</xdr:row>
      <xdr:rowOff>161924</xdr:rowOff>
    </xdr:from>
    <xdr:to>
      <xdr:col>17</xdr:col>
      <xdr:colOff>1009649</xdr:colOff>
      <xdr:row>6</xdr:row>
      <xdr:rowOff>9525</xdr:rowOff>
    </xdr:to>
    <xdr:sp macro="" textlink="">
      <xdr:nvSpPr>
        <xdr:cNvPr id="127" name="TextBox 126"/>
        <xdr:cNvSpPr txBox="1"/>
      </xdr:nvSpPr>
      <xdr:spPr>
        <a:xfrm>
          <a:off x="11944348" y="542924"/>
          <a:ext cx="1924051" cy="6096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Straight Line Dep rule</a:t>
          </a:r>
        </a:p>
        <a:p>
          <a:r>
            <a:rPr lang="en-US" altLang="zh-CN" sz="1100" i="1">
              <a:latin typeface="Times New Roman" pitchFamily="18" charset="0"/>
              <a:cs typeface="Times New Roman" pitchFamily="18" charset="0"/>
            </a:rPr>
            <a:t>Dt = Dt-1</a:t>
          </a:r>
          <a:r>
            <a:rPr lang="en-US" altLang="zh-CN" sz="1100" i="1" baseline="0">
              <a:latin typeface="Times New Roman" pitchFamily="18" charset="0"/>
              <a:cs typeface="Times New Roman" pitchFamily="18" charset="0"/>
            </a:rPr>
            <a:t> + [Capext/N]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Depreciation rule(# years): 10</a:t>
          </a:r>
          <a:endParaRPr lang="en-US" altLang="zh-CN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104776</xdr:colOff>
      <xdr:row>9</xdr:row>
      <xdr:rowOff>0</xdr:rowOff>
    </xdr:from>
    <xdr:to>
      <xdr:col>17</xdr:col>
      <xdr:colOff>1019176</xdr:colOff>
      <xdr:row>11</xdr:row>
      <xdr:rowOff>85725</xdr:rowOff>
    </xdr:to>
    <xdr:sp macro="" textlink="">
      <xdr:nvSpPr>
        <xdr:cNvPr id="128" name="TextBox 127"/>
        <xdr:cNvSpPr txBox="1"/>
      </xdr:nvSpPr>
      <xdr:spPr>
        <a:xfrm>
          <a:off x="12277726" y="1714500"/>
          <a:ext cx="16002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Negative, prefer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use 0 for future forecasting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17</xdr:col>
      <xdr:colOff>990600</xdr:colOff>
      <xdr:row>1</xdr:row>
      <xdr:rowOff>90488</xdr:rowOff>
    </xdr:from>
    <xdr:to>
      <xdr:col>17</xdr:col>
      <xdr:colOff>1285875</xdr:colOff>
      <xdr:row>2</xdr:row>
      <xdr:rowOff>95250</xdr:rowOff>
    </xdr:to>
    <xdr:cxnSp macro="">
      <xdr:nvCxnSpPr>
        <xdr:cNvPr id="130" name="直接箭头连接符 129"/>
        <xdr:cNvCxnSpPr>
          <a:stCxn id="125" idx="3"/>
        </xdr:cNvCxnSpPr>
      </xdr:nvCxnSpPr>
      <xdr:spPr>
        <a:xfrm>
          <a:off x="13849350" y="280988"/>
          <a:ext cx="295275" cy="195262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1009649</xdr:colOff>
      <xdr:row>4</xdr:row>
      <xdr:rowOff>57150</xdr:rowOff>
    </xdr:from>
    <xdr:to>
      <xdr:col>17</xdr:col>
      <xdr:colOff>1285875</xdr:colOff>
      <xdr:row>4</xdr:row>
      <xdr:rowOff>85725</xdr:rowOff>
    </xdr:to>
    <xdr:cxnSp macro="">
      <xdr:nvCxnSpPr>
        <xdr:cNvPr id="132" name="直接箭头连接符 131"/>
        <xdr:cNvCxnSpPr>
          <a:stCxn id="127" idx="3"/>
        </xdr:cNvCxnSpPr>
      </xdr:nvCxnSpPr>
      <xdr:spPr>
        <a:xfrm flipV="1">
          <a:off x="13868399" y="819150"/>
          <a:ext cx="276226" cy="28575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1013114</xdr:colOff>
      <xdr:row>5</xdr:row>
      <xdr:rowOff>133351</xdr:rowOff>
    </xdr:from>
    <xdr:to>
      <xdr:col>17</xdr:col>
      <xdr:colOff>1276349</xdr:colOff>
      <xdr:row>7</xdr:row>
      <xdr:rowOff>95250</xdr:rowOff>
    </xdr:to>
    <xdr:cxnSp macro="">
      <xdr:nvCxnSpPr>
        <xdr:cNvPr id="134" name="直接箭头连接符 133"/>
        <xdr:cNvCxnSpPr>
          <a:stCxn id="126" idx="3"/>
          <a:endCxn id="116" idx="1"/>
        </xdr:cNvCxnSpPr>
      </xdr:nvCxnSpPr>
      <xdr:spPr>
        <a:xfrm flipV="1">
          <a:off x="13871864" y="1085851"/>
          <a:ext cx="263235" cy="342899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1019176</xdr:colOff>
      <xdr:row>7</xdr:row>
      <xdr:rowOff>142875</xdr:rowOff>
    </xdr:from>
    <xdr:to>
      <xdr:col>17</xdr:col>
      <xdr:colOff>1276350</xdr:colOff>
      <xdr:row>10</xdr:row>
      <xdr:rowOff>42863</xdr:rowOff>
    </xdr:to>
    <xdr:cxnSp macro="">
      <xdr:nvCxnSpPr>
        <xdr:cNvPr id="136" name="直接箭头连接符 135"/>
        <xdr:cNvCxnSpPr>
          <a:stCxn id="128" idx="3"/>
        </xdr:cNvCxnSpPr>
      </xdr:nvCxnSpPr>
      <xdr:spPr>
        <a:xfrm flipV="1">
          <a:off x="13877926" y="1476375"/>
          <a:ext cx="257174" cy="471488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12</xdr:row>
      <xdr:rowOff>9525</xdr:rowOff>
    </xdr:from>
    <xdr:to>
      <xdr:col>18</xdr:col>
      <xdr:colOff>657225</xdr:colOff>
      <xdr:row>18</xdr:row>
      <xdr:rowOff>123825</xdr:rowOff>
    </xdr:to>
    <xdr:sp macro="" textlink="">
      <xdr:nvSpPr>
        <xdr:cNvPr id="137" name="TextBox 136"/>
        <xdr:cNvSpPr txBox="1"/>
      </xdr:nvSpPr>
      <xdr:spPr>
        <a:xfrm>
          <a:off x="13096875" y="2295525"/>
          <a:ext cx="1743075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Op.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Assets:	        7,260         + Cash:	        427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+Non-Op:	       5,035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-Debt:	       7,373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=Equity	       5,349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-Options	       0</a:t>
          </a:r>
        </a:p>
        <a:p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Value/ Share	       11.94</a:t>
          </a:r>
        </a:p>
        <a:p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14</xdr:col>
      <xdr:colOff>226359</xdr:colOff>
      <xdr:row>47</xdr:row>
      <xdr:rowOff>184337</xdr:rowOff>
    </xdr:to>
    <xdr:graphicFrame macro="">
      <xdr:nvGraphicFramePr>
        <xdr:cNvPr id="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218246</xdr:colOff>
      <xdr:row>5</xdr:row>
      <xdr:rowOff>20292</xdr:rowOff>
    </xdr:from>
    <xdr:to>
      <xdr:col>11</xdr:col>
      <xdr:colOff>475353</xdr:colOff>
      <xdr:row>16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114300</xdr:rowOff>
    </xdr:from>
    <xdr:to>
      <xdr:col>8</xdr:col>
      <xdr:colOff>800100</xdr:colOff>
      <xdr:row>29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14</xdr:row>
      <xdr:rowOff>28575</xdr:rowOff>
    </xdr:from>
    <xdr:to>
      <xdr:col>4</xdr:col>
      <xdr:colOff>314325</xdr:colOff>
      <xdr:row>22</xdr:row>
      <xdr:rowOff>9525</xdr:rowOff>
    </xdr:to>
    <xdr:sp macro="" textlink="">
      <xdr:nvSpPr>
        <xdr:cNvPr id="4" name="椭圆 3"/>
        <xdr:cNvSpPr/>
      </xdr:nvSpPr>
      <xdr:spPr>
        <a:xfrm>
          <a:off x="2333625" y="2695575"/>
          <a:ext cx="1504950" cy="1504950"/>
        </a:xfrm>
        <a:prstGeom prst="ellipse">
          <a:avLst/>
        </a:prstGeom>
        <a:solidFill>
          <a:schemeClr val="bg1">
            <a:alpha val="0"/>
          </a:schemeClr>
        </a:solidFill>
        <a:ln w="158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400050</xdr:colOff>
      <xdr:row>11</xdr:row>
      <xdr:rowOff>28574</xdr:rowOff>
    </xdr:from>
    <xdr:to>
      <xdr:col>16</xdr:col>
      <xdr:colOff>371475</xdr:colOff>
      <xdr:row>29</xdr:row>
      <xdr:rowOff>190499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13</xdr:row>
      <xdr:rowOff>152400</xdr:rowOff>
    </xdr:from>
    <xdr:to>
      <xdr:col>13</xdr:col>
      <xdr:colOff>200025</xdr:colOff>
      <xdr:row>20</xdr:row>
      <xdr:rowOff>19050</xdr:rowOff>
    </xdr:to>
    <xdr:sp macro="" textlink="">
      <xdr:nvSpPr>
        <xdr:cNvPr id="6" name="矩形 5"/>
        <xdr:cNvSpPr/>
      </xdr:nvSpPr>
      <xdr:spPr>
        <a:xfrm>
          <a:off x="8048625" y="2628900"/>
          <a:ext cx="2219325" cy="1200150"/>
        </a:xfrm>
        <a:prstGeom prst="rect">
          <a:avLst/>
        </a:prstGeom>
        <a:solidFill>
          <a:schemeClr val="accent6">
            <a:alpha val="2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561975</xdr:colOff>
      <xdr:row>20</xdr:row>
      <xdr:rowOff>95250</xdr:rowOff>
    </xdr:from>
    <xdr:to>
      <xdr:col>13</xdr:col>
      <xdr:colOff>209550</xdr:colOff>
      <xdr:row>26</xdr:row>
      <xdr:rowOff>152400</xdr:rowOff>
    </xdr:to>
    <xdr:sp macro="" textlink="">
      <xdr:nvSpPr>
        <xdr:cNvPr id="7" name="矩形 6"/>
        <xdr:cNvSpPr/>
      </xdr:nvSpPr>
      <xdr:spPr>
        <a:xfrm>
          <a:off x="8058150" y="3905250"/>
          <a:ext cx="2219325" cy="1200150"/>
        </a:xfrm>
        <a:prstGeom prst="rect">
          <a:avLst/>
        </a:prstGeom>
        <a:solidFill>
          <a:srgbClr val="00B050">
            <a:alpha val="2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238125</xdr:colOff>
      <xdr:row>13</xdr:row>
      <xdr:rowOff>152400</xdr:rowOff>
    </xdr:from>
    <xdr:to>
      <xdr:col>16</xdr:col>
      <xdr:colOff>104775</xdr:colOff>
      <xdr:row>20</xdr:row>
      <xdr:rowOff>19050</xdr:rowOff>
    </xdr:to>
    <xdr:sp macro="" textlink="">
      <xdr:nvSpPr>
        <xdr:cNvPr id="8" name="矩形 7"/>
        <xdr:cNvSpPr/>
      </xdr:nvSpPr>
      <xdr:spPr>
        <a:xfrm>
          <a:off x="10306050" y="2628900"/>
          <a:ext cx="2219325" cy="1200150"/>
        </a:xfrm>
        <a:prstGeom prst="rect">
          <a:avLst/>
        </a:prstGeom>
        <a:solidFill>
          <a:srgbClr val="0070C0">
            <a:alpha val="2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238125</xdr:colOff>
      <xdr:row>20</xdr:row>
      <xdr:rowOff>95250</xdr:rowOff>
    </xdr:from>
    <xdr:to>
      <xdr:col>16</xdr:col>
      <xdr:colOff>104775</xdr:colOff>
      <xdr:row>26</xdr:row>
      <xdr:rowOff>152400</xdr:rowOff>
    </xdr:to>
    <xdr:sp macro="" textlink="">
      <xdr:nvSpPr>
        <xdr:cNvPr id="9" name="矩形 8"/>
        <xdr:cNvSpPr/>
      </xdr:nvSpPr>
      <xdr:spPr>
        <a:xfrm>
          <a:off x="10306050" y="3905250"/>
          <a:ext cx="2219325" cy="1200150"/>
        </a:xfrm>
        <a:prstGeom prst="rect">
          <a:avLst/>
        </a:prstGeom>
        <a:solidFill>
          <a:srgbClr val="FF0000">
            <a:alpha val="2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85724</xdr:colOff>
      <xdr:row>29</xdr:row>
      <xdr:rowOff>190499</xdr:rowOff>
    </xdr:from>
    <xdr:to>
      <xdr:col>8</xdr:col>
      <xdr:colOff>781050</xdr:colOff>
      <xdr:row>50</xdr:row>
      <xdr:rowOff>47624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33</xdr:row>
      <xdr:rowOff>76200</xdr:rowOff>
    </xdr:from>
    <xdr:to>
      <xdr:col>3</xdr:col>
      <xdr:colOff>285750</xdr:colOff>
      <xdr:row>38</xdr:row>
      <xdr:rowOff>123825</xdr:rowOff>
    </xdr:to>
    <xdr:sp macro="" textlink="">
      <xdr:nvSpPr>
        <xdr:cNvPr id="11" name="椭圆 10"/>
        <xdr:cNvSpPr/>
      </xdr:nvSpPr>
      <xdr:spPr>
        <a:xfrm>
          <a:off x="2200275" y="6362700"/>
          <a:ext cx="1000125" cy="1000125"/>
        </a:xfrm>
        <a:prstGeom prst="ellipse">
          <a:avLst/>
        </a:prstGeom>
        <a:solidFill>
          <a:schemeClr val="bg1">
            <a:alpha val="0"/>
          </a:schemeClr>
        </a:solidFill>
        <a:ln w="158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371474</xdr:colOff>
      <xdr:row>30</xdr:row>
      <xdr:rowOff>57149</xdr:rowOff>
    </xdr:from>
    <xdr:to>
      <xdr:col>16</xdr:col>
      <xdr:colOff>390524</xdr:colOff>
      <xdr:row>50</xdr:row>
      <xdr:rowOff>123824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800100</xdr:colOff>
      <xdr:row>37</xdr:row>
      <xdr:rowOff>19050</xdr:rowOff>
    </xdr:from>
    <xdr:to>
      <xdr:col>13</xdr:col>
      <xdr:colOff>228600</xdr:colOff>
      <xdr:row>42</xdr:row>
      <xdr:rowOff>66675</xdr:rowOff>
    </xdr:to>
    <xdr:sp macro="" textlink="">
      <xdr:nvSpPr>
        <xdr:cNvPr id="13" name="椭圆 12"/>
        <xdr:cNvSpPr/>
      </xdr:nvSpPr>
      <xdr:spPr>
        <a:xfrm>
          <a:off x="9296400" y="7067550"/>
          <a:ext cx="1000125" cy="1000125"/>
        </a:xfrm>
        <a:prstGeom prst="ellipse">
          <a:avLst/>
        </a:prstGeom>
        <a:solidFill>
          <a:schemeClr val="bg1">
            <a:alpha val="0"/>
          </a:schemeClr>
        </a:solidFill>
        <a:ln w="158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66674</xdr:colOff>
      <xdr:row>50</xdr:row>
      <xdr:rowOff>133349</xdr:rowOff>
    </xdr:from>
    <xdr:to>
      <xdr:col>8</xdr:col>
      <xdr:colOff>781049</xdr:colOff>
      <xdr:row>70</xdr:row>
      <xdr:rowOff>161924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52</xdr:row>
      <xdr:rowOff>19050</xdr:rowOff>
    </xdr:from>
    <xdr:to>
      <xdr:col>7</xdr:col>
      <xdr:colOff>104775</xdr:colOff>
      <xdr:row>58</xdr:row>
      <xdr:rowOff>38100</xdr:rowOff>
    </xdr:to>
    <xdr:sp macro="" textlink="">
      <xdr:nvSpPr>
        <xdr:cNvPr id="16" name="椭圆 15"/>
        <xdr:cNvSpPr/>
      </xdr:nvSpPr>
      <xdr:spPr>
        <a:xfrm>
          <a:off x="4391025" y="9925050"/>
          <a:ext cx="1162050" cy="1162050"/>
        </a:xfrm>
        <a:prstGeom prst="ellipse">
          <a:avLst/>
        </a:prstGeom>
        <a:solidFill>
          <a:schemeClr val="bg1">
            <a:alpha val="0"/>
          </a:schemeClr>
        </a:solidFill>
        <a:ln w="158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OSV_Stock_Valuation_SAMPLE_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shData"/>
      <sheetName val="KeyData"/>
      <sheetName val="Lists"/>
      <sheetName val="Statements"/>
      <sheetName val="StatementsData"/>
      <sheetName val="YahooCSVData"/>
      <sheetName val="MiscData"/>
      <sheetName val="Statements%"/>
      <sheetName val="Ratios"/>
      <sheetName val="Charts"/>
      <sheetName val="RatiosData"/>
      <sheetName val="DCF Valuation"/>
      <sheetName val="DCFData"/>
      <sheetName val="PriceValueGraph"/>
      <sheetName val="YahooPrices"/>
      <sheetName val="Graham Valuation"/>
      <sheetName val="GrahamData"/>
      <sheetName val="AbsolutePE"/>
      <sheetName val="AbsolutePEData"/>
      <sheetName val="EPV"/>
      <sheetName val="EPVData"/>
      <sheetName val="NetNet"/>
      <sheetName val="NetNetData"/>
      <sheetName val="Quality"/>
      <sheetName val="PioData"/>
      <sheetName val="AltmanData"/>
      <sheetName val="BeneishData"/>
      <sheetName val="AccrualData"/>
      <sheetName val="Competitors"/>
      <sheetName val="CompData"/>
      <sheetName val="ChartsData"/>
      <sheetName val="StockDB"/>
      <sheetName val="StockDBData"/>
      <sheetName val="HelpSheet"/>
      <sheetName val="LOGIN"/>
      <sheetName val="SheetState"/>
    </sheetNames>
    <sheetDataSet>
      <sheetData sheetId="0">
        <row r="4">
          <cell r="O4" t="str">
            <v>Low Risk</v>
          </cell>
          <cell r="P4" t="str">
            <v>High Growth</v>
          </cell>
          <cell r="Q4" t="str">
            <v>Under Valued</v>
          </cell>
          <cell r="R4" t="str">
            <v>Well Managed</v>
          </cell>
          <cell r="S4" t="str">
            <v>Good Financials</v>
          </cell>
          <cell r="T4" t="str">
            <v>Strong Moat</v>
          </cell>
        </row>
        <row r="5">
          <cell r="O5">
            <v>2</v>
          </cell>
          <cell r="P5">
            <v>4</v>
          </cell>
          <cell r="Q5">
            <v>2</v>
          </cell>
          <cell r="R5">
            <v>3</v>
          </cell>
          <cell r="S5">
            <v>3</v>
          </cell>
          <cell r="T5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I74" sqref="I74"/>
    </sheetView>
  </sheetViews>
  <sheetFormatPr defaultRowHeight="13.5" x14ac:dyDescent="0.15"/>
  <cols>
    <col min="1" max="1" width="34" customWidth="1"/>
  </cols>
  <sheetData>
    <row r="1" spans="1:18" x14ac:dyDescent="0.15">
      <c r="A1" s="4" t="s">
        <v>279</v>
      </c>
      <c r="B1" s="7">
        <v>1996</v>
      </c>
      <c r="C1" s="7">
        <v>1997</v>
      </c>
      <c r="D1" s="7">
        <v>1998</v>
      </c>
      <c r="E1" s="7">
        <v>1999</v>
      </c>
      <c r="F1" s="7">
        <v>2000</v>
      </c>
      <c r="G1" s="7">
        <v>2001</v>
      </c>
      <c r="H1" s="7">
        <v>2002</v>
      </c>
      <c r="I1" s="7">
        <v>2003</v>
      </c>
      <c r="J1" s="7">
        <v>2004</v>
      </c>
      <c r="K1" s="7">
        <v>2005</v>
      </c>
      <c r="L1" s="7">
        <v>2006</v>
      </c>
      <c r="M1" s="7">
        <v>2007</v>
      </c>
      <c r="N1" s="7">
        <v>2008</v>
      </c>
      <c r="O1" s="7">
        <v>2009</v>
      </c>
      <c r="P1" s="7">
        <v>2010</v>
      </c>
      <c r="Q1" s="7">
        <v>2011</v>
      </c>
      <c r="R1" s="7">
        <v>2012</v>
      </c>
    </row>
    <row r="2" spans="1:18" x14ac:dyDescent="0.15">
      <c r="A2" s="182" t="s">
        <v>0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</row>
    <row r="3" spans="1:18" x14ac:dyDescent="0.15">
      <c r="A3" s="1" t="s">
        <v>1</v>
      </c>
      <c r="B3" s="2">
        <v>584.4</v>
      </c>
      <c r="C3" s="2">
        <v>688.4</v>
      </c>
      <c r="D3" s="2">
        <v>783.8</v>
      </c>
      <c r="E3" s="2">
        <v>728.3</v>
      </c>
      <c r="F3" s="2">
        <v>971</v>
      </c>
      <c r="G3" s="3">
        <v>1572</v>
      </c>
      <c r="H3" s="3">
        <v>1888.6</v>
      </c>
      <c r="I3" s="3">
        <v>2076.6999999999998</v>
      </c>
      <c r="J3" s="3">
        <v>2079.6999999999998</v>
      </c>
      <c r="K3" s="3">
        <v>2209.8000000000002</v>
      </c>
      <c r="L3" s="3">
        <v>2459.3000000000002</v>
      </c>
      <c r="M3" s="3">
        <v>2774.4</v>
      </c>
      <c r="N3" s="3">
        <v>3104.9</v>
      </c>
      <c r="O3" s="3">
        <v>3390.9</v>
      </c>
      <c r="P3" s="3">
        <v>3717.6</v>
      </c>
      <c r="Q3" s="3">
        <v>4740.8999999999996</v>
      </c>
      <c r="R3" s="3">
        <v>4998</v>
      </c>
    </row>
    <row r="4" spans="1:18" x14ac:dyDescent="0.15">
      <c r="A4" s="4" t="s">
        <v>2</v>
      </c>
      <c r="B4" s="5">
        <v>584.4</v>
      </c>
      <c r="C4" s="5">
        <v>688.4</v>
      </c>
      <c r="D4" s="5">
        <v>783.8</v>
      </c>
      <c r="E4" s="5">
        <v>728.3</v>
      </c>
      <c r="F4" s="5">
        <v>971</v>
      </c>
      <c r="G4" s="6">
        <v>1572</v>
      </c>
      <c r="H4" s="6">
        <v>1888.6</v>
      </c>
      <c r="I4" s="6">
        <v>2076.6999999999998</v>
      </c>
      <c r="J4" s="6">
        <v>2079.6999999999998</v>
      </c>
      <c r="K4" s="6">
        <v>2209.8000000000002</v>
      </c>
      <c r="L4" s="6">
        <v>2459.3000000000002</v>
      </c>
      <c r="M4" s="6">
        <v>2774.4</v>
      </c>
      <c r="N4" s="6">
        <v>3104.9</v>
      </c>
      <c r="O4" s="6">
        <v>3390.9</v>
      </c>
      <c r="P4" s="6">
        <v>3717.6</v>
      </c>
      <c r="Q4" s="6">
        <v>4740.8999999999996</v>
      </c>
      <c r="R4" s="6">
        <v>4998</v>
      </c>
    </row>
    <row r="5" spans="1:18" x14ac:dyDescent="0.15">
      <c r="A5" s="4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</row>
    <row r="6" spans="1:18" x14ac:dyDescent="0.15">
      <c r="A6" s="4" t="s">
        <v>4</v>
      </c>
      <c r="B6" s="5">
        <v>317.3</v>
      </c>
      <c r="C6" s="5">
        <v>386.2</v>
      </c>
      <c r="D6" s="5">
        <v>453.9</v>
      </c>
      <c r="E6" s="5">
        <v>415.1</v>
      </c>
      <c r="F6" s="5">
        <v>573.29999999999995</v>
      </c>
      <c r="G6" s="6">
        <v>1111.5999999999999</v>
      </c>
      <c r="H6" s="6">
        <v>1255.9000000000001</v>
      </c>
      <c r="I6" s="6">
        <v>1256.0999999999999</v>
      </c>
      <c r="J6" s="6">
        <v>1153.8</v>
      </c>
      <c r="K6" s="6">
        <v>1227.8</v>
      </c>
      <c r="L6" s="6">
        <v>1381.4</v>
      </c>
      <c r="M6" s="6">
        <v>1534.8</v>
      </c>
      <c r="N6" s="6">
        <v>1187.9000000000001</v>
      </c>
      <c r="O6" s="6">
        <v>2137</v>
      </c>
      <c r="P6" s="6">
        <v>1331.9</v>
      </c>
      <c r="Q6" s="6">
        <v>2792.3</v>
      </c>
      <c r="R6" s="6">
        <v>2866</v>
      </c>
    </row>
    <row r="7" spans="1:18" x14ac:dyDescent="0.15">
      <c r="A7" s="4" t="s">
        <v>5</v>
      </c>
      <c r="B7" s="5">
        <v>317.3</v>
      </c>
      <c r="C7" s="5">
        <v>386.2</v>
      </c>
      <c r="D7" s="5">
        <v>453.9</v>
      </c>
      <c r="E7" s="5">
        <v>415.1</v>
      </c>
      <c r="F7" s="5">
        <v>573.29999999999995</v>
      </c>
      <c r="G7" s="6">
        <v>1111.5999999999999</v>
      </c>
      <c r="H7" s="6">
        <v>1255.9000000000001</v>
      </c>
      <c r="I7" s="6">
        <v>1256.0999999999999</v>
      </c>
      <c r="J7" s="6">
        <v>1153.8</v>
      </c>
      <c r="K7" s="6">
        <v>1227.8</v>
      </c>
      <c r="L7" s="6">
        <v>1381.4</v>
      </c>
      <c r="M7" s="6">
        <v>1534.8</v>
      </c>
      <c r="N7" s="6">
        <v>1696.6</v>
      </c>
      <c r="O7" s="6">
        <v>1852</v>
      </c>
      <c r="P7" s="6">
        <v>1958.8</v>
      </c>
      <c r="Q7" s="6">
        <v>2710.1</v>
      </c>
      <c r="R7" s="6">
        <v>2871</v>
      </c>
    </row>
    <row r="8" spans="1:18" x14ac:dyDescent="0.15">
      <c r="A8" s="4" t="s">
        <v>6</v>
      </c>
      <c r="B8" s="5">
        <v>0</v>
      </c>
      <c r="C8" s="5">
        <v>0</v>
      </c>
      <c r="D8" s="5">
        <v>0</v>
      </c>
      <c r="E8" s="5">
        <v>313.2</v>
      </c>
      <c r="F8" s="5">
        <v>397.7</v>
      </c>
      <c r="G8" s="5">
        <v>460.3</v>
      </c>
      <c r="H8" s="5">
        <v>632.70000000000005</v>
      </c>
      <c r="I8" s="5">
        <v>820.6</v>
      </c>
      <c r="J8" s="5">
        <v>925.9</v>
      </c>
      <c r="K8" s="5">
        <v>982</v>
      </c>
      <c r="L8" s="6">
        <v>1077.9000000000001</v>
      </c>
      <c r="M8" s="6">
        <v>1239.5999999999999</v>
      </c>
      <c r="N8" s="6">
        <v>1917</v>
      </c>
      <c r="O8" s="6">
        <v>1253.9000000000001</v>
      </c>
      <c r="P8" s="6">
        <v>2385.6999999999998</v>
      </c>
      <c r="Q8" s="6">
        <v>1948.6</v>
      </c>
      <c r="R8" s="6">
        <v>2132</v>
      </c>
    </row>
    <row r="9" spans="1:18" x14ac:dyDescent="0.15">
      <c r="A9" s="1" t="s">
        <v>7</v>
      </c>
      <c r="B9" s="2">
        <v>267.10000000000002</v>
      </c>
      <c r="C9" s="2">
        <v>302.2</v>
      </c>
      <c r="D9" s="2">
        <v>329.9</v>
      </c>
      <c r="E9" s="2">
        <v>313.2</v>
      </c>
      <c r="F9" s="2">
        <v>397.7</v>
      </c>
      <c r="G9" s="2">
        <v>460.3</v>
      </c>
      <c r="H9" s="2">
        <v>632.70000000000005</v>
      </c>
      <c r="I9" s="2">
        <v>820.6</v>
      </c>
      <c r="J9" s="2">
        <v>925.9</v>
      </c>
      <c r="K9" s="2">
        <v>982</v>
      </c>
      <c r="L9" s="3">
        <v>1077.9000000000001</v>
      </c>
      <c r="M9" s="3">
        <v>1239.5999999999999</v>
      </c>
      <c r="N9" s="3">
        <v>1917</v>
      </c>
      <c r="O9" s="3">
        <v>1253.9000000000001</v>
      </c>
      <c r="P9" s="3">
        <v>2385.6999999999998</v>
      </c>
      <c r="Q9" s="3">
        <v>1948.6</v>
      </c>
      <c r="R9" s="3">
        <v>2132</v>
      </c>
    </row>
    <row r="10" spans="1:18" x14ac:dyDescent="0.15">
      <c r="A10" s="4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15">
      <c r="A11" s="4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15">
      <c r="A12" s="4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15">
      <c r="A13" s="4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-11.1</v>
      </c>
      <c r="H13" s="5">
        <v>54.8</v>
      </c>
      <c r="I13" s="5">
        <v>234.4</v>
      </c>
      <c r="J13" s="5">
        <v>380.5</v>
      </c>
      <c r="K13" s="5">
        <v>441</v>
      </c>
      <c r="L13" s="5">
        <v>579.6</v>
      </c>
      <c r="M13" s="5">
        <v>766.5</v>
      </c>
      <c r="N13" s="5">
        <v>903.1</v>
      </c>
      <c r="O13" s="5">
        <v>955.8</v>
      </c>
      <c r="P13" s="6">
        <v>1102.5</v>
      </c>
      <c r="Q13" s="6">
        <v>1294.8</v>
      </c>
      <c r="R13" s="6">
        <v>1319</v>
      </c>
    </row>
    <row r="14" spans="1:18" x14ac:dyDescent="0.15">
      <c r="A14" s="1" t="s">
        <v>12</v>
      </c>
      <c r="B14" s="2">
        <v>267.10000000000002</v>
      </c>
      <c r="C14" s="2">
        <v>302.2</v>
      </c>
      <c r="D14" s="2">
        <v>329.9</v>
      </c>
      <c r="E14" s="2">
        <v>313.2</v>
      </c>
      <c r="F14" s="2">
        <v>397.7</v>
      </c>
      <c r="G14" s="2">
        <v>460.3</v>
      </c>
      <c r="H14" s="2">
        <v>632.70000000000005</v>
      </c>
      <c r="I14" s="2">
        <v>820.6</v>
      </c>
      <c r="J14" s="2">
        <v>925.9</v>
      </c>
      <c r="K14" s="2">
        <v>982</v>
      </c>
      <c r="L14" s="3">
        <v>1077.9000000000001</v>
      </c>
      <c r="M14" s="3">
        <v>1239.5999999999999</v>
      </c>
      <c r="N14" s="3">
        <v>1917</v>
      </c>
      <c r="O14" s="3">
        <v>1253.9000000000001</v>
      </c>
      <c r="P14" s="3">
        <v>2385.6999999999998</v>
      </c>
      <c r="Q14" s="3">
        <v>1948.6</v>
      </c>
      <c r="R14" s="3">
        <v>2132</v>
      </c>
    </row>
    <row r="15" spans="1:18" x14ac:dyDescent="0.15">
      <c r="A15" s="4" t="s">
        <v>13</v>
      </c>
      <c r="B15" s="5">
        <v>85.7</v>
      </c>
      <c r="C15" s="5">
        <v>117.8</v>
      </c>
      <c r="D15" s="5">
        <v>161.1</v>
      </c>
      <c r="E15" s="5">
        <v>159.1</v>
      </c>
      <c r="F15" s="5">
        <v>219.6</v>
      </c>
      <c r="G15" s="5">
        <v>471.4</v>
      </c>
      <c r="H15" s="5">
        <v>577.9</v>
      </c>
      <c r="I15" s="5">
        <v>586.20000000000005</v>
      </c>
      <c r="J15" s="5">
        <v>545.4</v>
      </c>
      <c r="K15" s="5">
        <v>541</v>
      </c>
      <c r="L15" s="5">
        <v>498.4</v>
      </c>
      <c r="M15" s="5">
        <v>473.1</v>
      </c>
      <c r="N15" s="5">
        <v>508.8</v>
      </c>
      <c r="O15" s="5">
        <v>587.20000000000005</v>
      </c>
      <c r="P15" s="5">
        <v>660.2</v>
      </c>
      <c r="Q15" s="5">
        <v>653.70000000000005</v>
      </c>
      <c r="R15" s="5">
        <v>813</v>
      </c>
    </row>
    <row r="16" spans="1:18" x14ac:dyDescent="0.15">
      <c r="A16" s="4" t="s">
        <v>14</v>
      </c>
      <c r="B16" s="5">
        <v>85.7</v>
      </c>
      <c r="C16" s="5">
        <v>117.8</v>
      </c>
      <c r="D16" s="5">
        <v>161.1</v>
      </c>
      <c r="E16" s="5">
        <v>159.1</v>
      </c>
      <c r="F16" s="5">
        <v>219.6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385.6</v>
      </c>
      <c r="M16" s="5">
        <v>381.9</v>
      </c>
      <c r="N16" s="5">
        <v>0</v>
      </c>
      <c r="O16" s="5">
        <v>480.6</v>
      </c>
      <c r="P16" s="5">
        <v>0</v>
      </c>
      <c r="Q16" s="5">
        <v>604.20000000000005</v>
      </c>
      <c r="R16" s="5">
        <v>692</v>
      </c>
    </row>
    <row r="17" spans="1:18" x14ac:dyDescent="0.15">
      <c r="A17" s="4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471.4</v>
      </c>
      <c r="H17" s="5">
        <v>577.9</v>
      </c>
      <c r="I17" s="5">
        <v>586.20000000000005</v>
      </c>
      <c r="J17" s="5">
        <v>545.4</v>
      </c>
      <c r="K17" s="5">
        <v>541</v>
      </c>
      <c r="L17" s="5">
        <v>112.7</v>
      </c>
      <c r="M17" s="5">
        <v>91.2</v>
      </c>
      <c r="N17" s="5">
        <v>0</v>
      </c>
      <c r="O17" s="5">
        <v>391.6</v>
      </c>
      <c r="P17" s="5">
        <v>0</v>
      </c>
      <c r="Q17" s="5">
        <v>86.6</v>
      </c>
      <c r="R17" s="5">
        <v>116</v>
      </c>
    </row>
    <row r="18" spans="1:18" x14ac:dyDescent="0.1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33.299999999999997</v>
      </c>
      <c r="Q18" s="5">
        <v>45.2</v>
      </c>
      <c r="R18" s="5">
        <v>0</v>
      </c>
    </row>
    <row r="19" spans="1:18" x14ac:dyDescent="0.15">
      <c r="A19" s="1" t="s">
        <v>17</v>
      </c>
      <c r="B19" s="2">
        <v>181.4</v>
      </c>
      <c r="C19" s="2">
        <v>184.4</v>
      </c>
      <c r="D19" s="2">
        <v>168.8</v>
      </c>
      <c r="E19" s="2">
        <v>154.1</v>
      </c>
      <c r="F19" s="2">
        <v>178</v>
      </c>
      <c r="G19" s="2">
        <v>-11.1</v>
      </c>
      <c r="H19" s="2">
        <v>54.8</v>
      </c>
      <c r="I19" s="2">
        <v>234.4</v>
      </c>
      <c r="J19" s="2">
        <v>380.5</v>
      </c>
      <c r="K19" s="2">
        <v>441</v>
      </c>
      <c r="L19" s="2">
        <v>579.6</v>
      </c>
      <c r="M19" s="2">
        <v>766.5</v>
      </c>
      <c r="N19" s="3">
        <v>1408.2</v>
      </c>
      <c r="O19" s="2">
        <v>666.8</v>
      </c>
      <c r="P19" s="3">
        <v>1725.5</v>
      </c>
      <c r="Q19" s="3">
        <v>1294.8</v>
      </c>
      <c r="R19" s="3">
        <v>1319</v>
      </c>
    </row>
    <row r="20" spans="1:18" x14ac:dyDescent="0.15">
      <c r="A20" s="4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3.5</v>
      </c>
      <c r="R20" s="5">
        <v>0</v>
      </c>
    </row>
    <row r="21" spans="1:18" x14ac:dyDescent="0.15">
      <c r="A21" s="4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-53.5</v>
      </c>
      <c r="I21" s="5">
        <v>-1.9</v>
      </c>
      <c r="J21" s="5">
        <v>-0.3</v>
      </c>
      <c r="K21" s="5">
        <v>-0.3</v>
      </c>
      <c r="L21" s="5">
        <v>0</v>
      </c>
      <c r="M21" s="5">
        <v>0.4</v>
      </c>
      <c r="N21" s="5">
        <v>0.3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15">
      <c r="A22" s="4" t="s">
        <v>20</v>
      </c>
      <c r="B22" s="5">
        <v>-3.5</v>
      </c>
      <c r="C22" s="5">
        <v>1.2</v>
      </c>
      <c r="D22" s="5">
        <v>6.4</v>
      </c>
      <c r="E22" s="5">
        <v>134</v>
      </c>
      <c r="F22" s="5">
        <v>106.1</v>
      </c>
      <c r="G22" s="5">
        <v>-174.1</v>
      </c>
      <c r="H22" s="5">
        <v>7.8</v>
      </c>
      <c r="I22" s="5">
        <v>43.9</v>
      </c>
      <c r="J22" s="5">
        <v>5.5</v>
      </c>
      <c r="K22" s="5">
        <v>47.5</v>
      </c>
      <c r="L22" s="5">
        <v>62</v>
      </c>
      <c r="M22" s="5">
        <v>9.5</v>
      </c>
      <c r="N22" s="5">
        <v>-490</v>
      </c>
      <c r="O22" s="5">
        <v>296.3</v>
      </c>
      <c r="P22" s="5">
        <v>-761.6</v>
      </c>
      <c r="Q22" s="5">
        <v>-196.4</v>
      </c>
      <c r="R22" s="5">
        <v>-14</v>
      </c>
    </row>
    <row r="23" spans="1:18" x14ac:dyDescent="0.15">
      <c r="A23" s="4" t="s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15">
      <c r="A24" s="4" t="s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15">
      <c r="A25" s="4" t="s">
        <v>23</v>
      </c>
      <c r="B25" s="5">
        <v>109.9</v>
      </c>
      <c r="C25" s="5">
        <v>-23.1</v>
      </c>
      <c r="D25" s="5">
        <v>41.5</v>
      </c>
      <c r="E25" s="5">
        <v>-60.8</v>
      </c>
      <c r="F25" s="5">
        <v>23.3</v>
      </c>
      <c r="G25" s="5">
        <v>-105.4</v>
      </c>
      <c r="H25" s="5">
        <v>-113.4</v>
      </c>
      <c r="I25" s="5">
        <v>-34.6</v>
      </c>
      <c r="J25" s="5">
        <v>-0.7</v>
      </c>
      <c r="K25" s="5">
        <v>-19.3</v>
      </c>
      <c r="L25" s="5">
        <v>-12.8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15">
      <c r="A26" s="4" t="s">
        <v>24</v>
      </c>
      <c r="B26" s="5">
        <v>109.9</v>
      </c>
      <c r="C26" s="5">
        <v>-23.1</v>
      </c>
      <c r="D26" s="5">
        <v>41.5</v>
      </c>
      <c r="E26" s="5">
        <v>-60.8</v>
      </c>
      <c r="F26" s="5">
        <v>23.3</v>
      </c>
      <c r="G26" s="5">
        <v>-105.4</v>
      </c>
      <c r="H26" s="5">
        <v>-113.4</v>
      </c>
      <c r="I26" s="5">
        <v>-34.6</v>
      </c>
      <c r="J26" s="5">
        <v>-0.7</v>
      </c>
      <c r="K26" s="5">
        <v>-19.3</v>
      </c>
      <c r="L26" s="5">
        <v>-12.8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15">
      <c r="A27" s="1" t="s">
        <v>25</v>
      </c>
      <c r="B27" s="2">
        <v>287.8</v>
      </c>
      <c r="C27" s="2">
        <v>162.5</v>
      </c>
      <c r="D27" s="2">
        <v>216.7</v>
      </c>
      <c r="E27" s="2">
        <v>227.3</v>
      </c>
      <c r="F27" s="2">
        <v>307.39999999999998</v>
      </c>
      <c r="G27" s="2">
        <v>-290.60000000000002</v>
      </c>
      <c r="H27" s="2">
        <v>-104.3</v>
      </c>
      <c r="I27" s="2">
        <v>241.8</v>
      </c>
      <c r="J27" s="2">
        <v>385.1</v>
      </c>
      <c r="K27" s="2">
        <v>468.9</v>
      </c>
      <c r="L27" s="2">
        <v>628.9</v>
      </c>
      <c r="M27" s="2">
        <v>776.4</v>
      </c>
      <c r="N27" s="2">
        <v>918.5</v>
      </c>
      <c r="O27" s="2">
        <v>963.1</v>
      </c>
      <c r="P27" s="2">
        <v>963.9</v>
      </c>
      <c r="Q27" s="3">
        <v>1101.9000000000001</v>
      </c>
      <c r="R27" s="3">
        <v>1305</v>
      </c>
    </row>
    <row r="28" spans="1:18" x14ac:dyDescent="0.15">
      <c r="A28" s="4" t="s">
        <v>26</v>
      </c>
      <c r="B28" s="5">
        <v>126.6</v>
      </c>
      <c r="C28" s="5">
        <v>135.4</v>
      </c>
      <c r="D28" s="5">
        <v>135.19999999999999</v>
      </c>
      <c r="E28" s="5">
        <v>100</v>
      </c>
      <c r="F28" s="5">
        <v>121</v>
      </c>
      <c r="G28" s="5">
        <v>206.9</v>
      </c>
      <c r="H28" s="5">
        <v>267.3</v>
      </c>
      <c r="I28" s="5">
        <v>259.7</v>
      </c>
      <c r="J28" s="5">
        <v>219.5</v>
      </c>
      <c r="K28" s="5">
        <v>214.4</v>
      </c>
      <c r="L28" s="5">
        <v>254.3</v>
      </c>
      <c r="M28" s="5">
        <v>245</v>
      </c>
      <c r="N28" s="5">
        <v>230.6</v>
      </c>
      <c r="O28" s="5">
        <v>237</v>
      </c>
      <c r="P28" s="5">
        <v>248</v>
      </c>
      <c r="Q28" s="5">
        <v>335.1</v>
      </c>
      <c r="R28" s="5">
        <v>330</v>
      </c>
    </row>
    <row r="29" spans="1:18" x14ac:dyDescent="0.15">
      <c r="A29" s="1" t="s">
        <v>27</v>
      </c>
      <c r="B29" s="2">
        <v>161.19999999999999</v>
      </c>
      <c r="C29" s="2">
        <v>27.1</v>
      </c>
      <c r="D29" s="2">
        <v>81.5</v>
      </c>
      <c r="E29" s="2">
        <v>127.3</v>
      </c>
      <c r="F29" s="2">
        <v>186.4</v>
      </c>
      <c r="G29" s="2">
        <v>-497.6</v>
      </c>
      <c r="H29" s="2">
        <v>-371.6</v>
      </c>
      <c r="I29" s="2">
        <v>-17.899999999999999</v>
      </c>
      <c r="J29" s="2">
        <v>165.6</v>
      </c>
      <c r="K29" s="2">
        <v>254.5</v>
      </c>
      <c r="L29" s="2">
        <v>374.6</v>
      </c>
      <c r="M29" s="2">
        <v>531.4</v>
      </c>
      <c r="N29" s="2">
        <v>687.9</v>
      </c>
      <c r="O29" s="2">
        <v>726</v>
      </c>
      <c r="P29" s="2">
        <v>715.9</v>
      </c>
      <c r="Q29" s="2">
        <v>766.9</v>
      </c>
      <c r="R29" s="2">
        <v>975</v>
      </c>
    </row>
    <row r="30" spans="1:18" x14ac:dyDescent="0.15">
      <c r="A30" s="4" t="s">
        <v>28</v>
      </c>
      <c r="B30" s="5">
        <v>75.7</v>
      </c>
      <c r="C30" s="5">
        <v>26.8</v>
      </c>
      <c r="D30" s="5">
        <v>71.400000000000006</v>
      </c>
      <c r="E30" s="5">
        <v>81.2</v>
      </c>
      <c r="F30" s="5">
        <v>71.400000000000006</v>
      </c>
      <c r="G30" s="5">
        <v>-349.4</v>
      </c>
      <c r="H30" s="5">
        <v>-83.3</v>
      </c>
      <c r="I30" s="5">
        <v>29.9</v>
      </c>
      <c r="J30" s="5">
        <v>74.7</v>
      </c>
      <c r="K30" s="5">
        <v>93.9</v>
      </c>
      <c r="L30" s="5">
        <v>-83.7</v>
      </c>
      <c r="M30" s="5">
        <v>142.9</v>
      </c>
      <c r="N30" s="5">
        <v>16.399999999999999</v>
      </c>
      <c r="O30" s="5">
        <v>190.8</v>
      </c>
      <c r="P30" s="5">
        <v>183.1</v>
      </c>
      <c r="Q30" s="5">
        <v>204.8</v>
      </c>
      <c r="R30" s="5">
        <v>214</v>
      </c>
    </row>
    <row r="31" spans="1:18" x14ac:dyDescent="0.15">
      <c r="A31" s="4" t="s">
        <v>29</v>
      </c>
      <c r="B31" s="5">
        <v>0</v>
      </c>
      <c r="C31" s="5">
        <v>0</v>
      </c>
      <c r="D31" s="5">
        <v>-3.4</v>
      </c>
      <c r="E31" s="5">
        <v>0</v>
      </c>
      <c r="F31" s="5">
        <v>-3.5</v>
      </c>
      <c r="G31" s="5">
        <v>-0.7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19.100000000000001</v>
      </c>
      <c r="R31" s="5">
        <v>33</v>
      </c>
    </row>
    <row r="32" spans="1:18" x14ac:dyDescent="0.15">
      <c r="A32" s="4" t="s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15">
      <c r="A33" s="4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-426.3</v>
      </c>
      <c r="H33" s="5">
        <v>-318.10000000000002</v>
      </c>
      <c r="I33" s="5">
        <v>-16</v>
      </c>
      <c r="J33" s="5">
        <v>166</v>
      </c>
      <c r="K33" s="5">
        <v>254.7</v>
      </c>
      <c r="L33" s="5">
        <v>374.5</v>
      </c>
      <c r="M33" s="5">
        <v>531</v>
      </c>
      <c r="N33" s="5">
        <v>687.6</v>
      </c>
      <c r="O33" s="5">
        <v>726.1</v>
      </c>
      <c r="P33" s="5">
        <v>727.1</v>
      </c>
      <c r="Q33" s="5">
        <v>752.7</v>
      </c>
      <c r="R33" s="5">
        <v>975</v>
      </c>
    </row>
    <row r="34" spans="1:18" x14ac:dyDescent="0.15">
      <c r="A34" s="4" t="s">
        <v>32</v>
      </c>
      <c r="B34" s="5">
        <v>85.5</v>
      </c>
      <c r="C34" s="5">
        <v>0.2</v>
      </c>
      <c r="D34" s="5">
        <v>13.5</v>
      </c>
      <c r="E34" s="5">
        <v>46.1</v>
      </c>
      <c r="F34" s="5">
        <v>118.5</v>
      </c>
      <c r="G34" s="5">
        <v>-147.4</v>
      </c>
      <c r="H34" s="5">
        <v>-288.3</v>
      </c>
      <c r="I34" s="5">
        <v>-47.8</v>
      </c>
      <c r="J34" s="5">
        <v>90.9</v>
      </c>
      <c r="K34" s="5">
        <v>160.6</v>
      </c>
      <c r="L34" s="5">
        <v>458.3</v>
      </c>
      <c r="M34" s="5">
        <v>388.5</v>
      </c>
      <c r="N34" s="5">
        <v>671.6</v>
      </c>
      <c r="O34" s="5">
        <v>535.20000000000005</v>
      </c>
      <c r="P34" s="5">
        <v>532.70000000000005</v>
      </c>
      <c r="Q34" s="5">
        <v>562.1</v>
      </c>
      <c r="R34" s="5">
        <v>761</v>
      </c>
    </row>
    <row r="35" spans="1:18" x14ac:dyDescent="0.15">
      <c r="A35" s="4" t="s">
        <v>33</v>
      </c>
      <c r="B35" s="5">
        <v>-17.600000000000001</v>
      </c>
      <c r="C35" s="5">
        <v>-26.8</v>
      </c>
      <c r="D35" s="5">
        <v>0</v>
      </c>
      <c r="E35" s="5">
        <v>-0.3</v>
      </c>
      <c r="F35" s="5">
        <v>-0.2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-89.3</v>
      </c>
      <c r="R35" s="5">
        <v>0</v>
      </c>
    </row>
    <row r="36" spans="1:18" x14ac:dyDescent="0.15">
      <c r="A36" s="1" t="s">
        <v>34</v>
      </c>
      <c r="B36" s="2">
        <v>67.900000000000006</v>
      </c>
      <c r="C36" s="2">
        <v>-26.6</v>
      </c>
      <c r="D36" s="2">
        <v>13.5</v>
      </c>
      <c r="E36" s="2">
        <v>45.8</v>
      </c>
      <c r="F36" s="2">
        <v>118.3</v>
      </c>
      <c r="G36" s="2">
        <v>-147.4</v>
      </c>
      <c r="H36" s="2">
        <v>-288.3</v>
      </c>
      <c r="I36" s="2">
        <v>-47.8</v>
      </c>
      <c r="J36" s="2">
        <v>90.9</v>
      </c>
      <c r="K36" s="2">
        <v>160.6</v>
      </c>
      <c r="L36" s="2">
        <v>458.3</v>
      </c>
      <c r="M36" s="2">
        <v>388.5</v>
      </c>
      <c r="N36" s="2">
        <v>671.6</v>
      </c>
      <c r="O36" s="2">
        <v>535.20000000000005</v>
      </c>
      <c r="P36" s="2">
        <v>532.70000000000005</v>
      </c>
      <c r="Q36" s="2">
        <v>472.8</v>
      </c>
      <c r="R36" s="2">
        <v>761</v>
      </c>
    </row>
    <row r="37" spans="1:18" x14ac:dyDescent="0.15">
      <c r="A37" s="4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15">
      <c r="A38" s="4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15">
      <c r="A39" s="4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15">
      <c r="A40" s="4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15">
      <c r="A41" s="1" t="s">
        <v>39</v>
      </c>
      <c r="B41" s="2">
        <v>67.900000000000006</v>
      </c>
      <c r="C41" s="2">
        <v>-26.6</v>
      </c>
      <c r="D41" s="2">
        <v>13.5</v>
      </c>
      <c r="E41" s="2">
        <v>45.8</v>
      </c>
      <c r="F41" s="2">
        <v>118.3</v>
      </c>
      <c r="G41" s="2">
        <v>-147.4</v>
      </c>
      <c r="H41" s="2">
        <v>-288.3</v>
      </c>
      <c r="I41" s="2">
        <v>-47.8</v>
      </c>
      <c r="J41" s="2">
        <v>90.9</v>
      </c>
      <c r="K41" s="2">
        <v>160.6</v>
      </c>
      <c r="L41" s="2">
        <v>458.3</v>
      </c>
      <c r="M41" s="2">
        <v>388.5</v>
      </c>
      <c r="N41" s="2">
        <v>671.6</v>
      </c>
      <c r="O41" s="2">
        <v>535.20000000000005</v>
      </c>
      <c r="P41" s="2">
        <v>532.70000000000005</v>
      </c>
      <c r="Q41" s="2">
        <v>453.7</v>
      </c>
      <c r="R41" s="2">
        <v>728</v>
      </c>
    </row>
    <row r="42" spans="1:18" x14ac:dyDescent="0.15">
      <c r="A42" s="4" t="s">
        <v>40</v>
      </c>
      <c r="B42" s="5">
        <v>-24.4</v>
      </c>
      <c r="C42" s="5">
        <v>23.3</v>
      </c>
      <c r="D42" s="5">
        <v>-28</v>
      </c>
      <c r="E42" s="5">
        <v>106.9</v>
      </c>
      <c r="F42" s="5">
        <v>95.2</v>
      </c>
      <c r="G42" s="5">
        <v>-42</v>
      </c>
      <c r="H42" s="5">
        <v>-174.9</v>
      </c>
      <c r="I42" s="5">
        <v>-13.2</v>
      </c>
      <c r="J42" s="5">
        <v>91.6</v>
      </c>
      <c r="K42" s="5">
        <v>179.9</v>
      </c>
      <c r="L42" s="5">
        <v>471</v>
      </c>
      <c r="M42" s="5">
        <v>388.5</v>
      </c>
      <c r="N42" s="5">
        <v>671.6</v>
      </c>
      <c r="O42" s="5">
        <v>535.20000000000005</v>
      </c>
      <c r="P42" s="5">
        <v>532.70000000000005</v>
      </c>
      <c r="Q42" s="5">
        <v>562.1</v>
      </c>
      <c r="R42" s="5">
        <v>761</v>
      </c>
    </row>
    <row r="43" spans="1:18" x14ac:dyDescent="0.15">
      <c r="A43" s="4" t="s">
        <v>41</v>
      </c>
      <c r="B43" s="5">
        <v>85.5</v>
      </c>
      <c r="C43" s="5">
        <v>0.2</v>
      </c>
      <c r="D43" s="5">
        <v>13.5</v>
      </c>
      <c r="E43" s="5">
        <v>21.2</v>
      </c>
      <c r="F43" s="5">
        <v>80</v>
      </c>
      <c r="G43" s="5">
        <v>-147.4</v>
      </c>
      <c r="H43" s="5">
        <v>-330.6</v>
      </c>
      <c r="I43" s="5">
        <v>-47.8</v>
      </c>
      <c r="J43" s="5">
        <v>90.9</v>
      </c>
      <c r="K43" s="5">
        <v>160.6</v>
      </c>
      <c r="L43" s="5">
        <v>458.3</v>
      </c>
      <c r="M43" s="5">
        <v>388.5</v>
      </c>
      <c r="N43" s="5">
        <v>671.6</v>
      </c>
      <c r="O43" s="5">
        <v>535.20000000000005</v>
      </c>
      <c r="P43" s="5">
        <v>532.70000000000005</v>
      </c>
      <c r="Q43" s="5">
        <v>562.1</v>
      </c>
      <c r="R43" s="5">
        <v>761</v>
      </c>
    </row>
    <row r="44" spans="1:18" x14ac:dyDescent="0.15">
      <c r="A44" s="4" t="s">
        <v>42</v>
      </c>
      <c r="B44" s="5">
        <v>0</v>
      </c>
      <c r="C44" s="5">
        <v>0</v>
      </c>
      <c r="D44" s="5">
        <v>0</v>
      </c>
      <c r="E44" s="5">
        <v>24.9</v>
      </c>
      <c r="F44" s="5">
        <v>38.5</v>
      </c>
      <c r="G44" s="5">
        <v>0</v>
      </c>
      <c r="H44" s="5">
        <v>42.3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15">
      <c r="A45" s="4" t="s">
        <v>43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15">
      <c r="A46" s="4" t="s">
        <v>44</v>
      </c>
      <c r="B46" s="5">
        <v>0.28999999999999998</v>
      </c>
      <c r="C46" s="5">
        <v>0.01</v>
      </c>
      <c r="D46" s="5">
        <v>-0.01</v>
      </c>
      <c r="E46" s="5">
        <v>0.06</v>
      </c>
      <c r="F46" s="5">
        <v>0.23</v>
      </c>
      <c r="G46" s="5">
        <v>-0.43</v>
      </c>
      <c r="H46" s="5">
        <v>-0.72</v>
      </c>
      <c r="I46" s="5">
        <v>-0.19</v>
      </c>
      <c r="J46" s="5">
        <v>0.11</v>
      </c>
      <c r="K46" s="5">
        <v>0.32</v>
      </c>
      <c r="L46" s="5">
        <v>1.06</v>
      </c>
      <c r="M46" s="5">
        <v>0.9</v>
      </c>
      <c r="N46" s="5">
        <v>0.31</v>
      </c>
      <c r="O46" s="5">
        <v>1.25</v>
      </c>
      <c r="P46" s="5">
        <v>1.23</v>
      </c>
      <c r="Q46" s="5">
        <v>1.24</v>
      </c>
      <c r="R46" s="5">
        <v>1.62</v>
      </c>
    </row>
    <row r="47" spans="1:18" x14ac:dyDescent="0.15">
      <c r="A47" s="4" t="s">
        <v>45</v>
      </c>
      <c r="B47" s="5">
        <v>-7.0000000000000007E-2</v>
      </c>
      <c r="C47" s="5">
        <v>0.06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-0.21</v>
      </c>
      <c r="R47" s="5">
        <v>0</v>
      </c>
    </row>
    <row r="48" spans="1:18" x14ac:dyDescent="0.15">
      <c r="A48" s="1" t="s">
        <v>46</v>
      </c>
      <c r="B48" s="2">
        <v>0.22</v>
      </c>
      <c r="C48" s="2">
        <v>7.0000000000000007E-2</v>
      </c>
      <c r="D48" s="2">
        <v>-0.01</v>
      </c>
      <c r="E48" s="2">
        <v>0.06</v>
      </c>
      <c r="F48" s="2">
        <v>0.23</v>
      </c>
      <c r="G48" s="2">
        <v>-0.43</v>
      </c>
      <c r="H48" s="2">
        <v>-0.72</v>
      </c>
      <c r="I48" s="2">
        <v>-0.19</v>
      </c>
      <c r="J48" s="2">
        <v>0.11</v>
      </c>
      <c r="K48" s="2">
        <v>0.32</v>
      </c>
      <c r="L48" s="2">
        <v>1.06</v>
      </c>
      <c r="M48" s="2">
        <v>0.9</v>
      </c>
      <c r="N48" s="2">
        <v>0.31</v>
      </c>
      <c r="O48" s="2">
        <v>1.25</v>
      </c>
      <c r="P48" s="2">
        <v>1.23</v>
      </c>
      <c r="Q48" s="2">
        <v>1.03</v>
      </c>
      <c r="R48" s="2">
        <v>1.62</v>
      </c>
    </row>
    <row r="49" spans="1:18" x14ac:dyDescent="0.15">
      <c r="A49" s="4" t="s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15">
      <c r="A50" s="4" t="s">
        <v>48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15">
      <c r="A51" s="4" t="s">
        <v>49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15">
      <c r="A52" s="4" t="s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15">
      <c r="A53" s="1" t="s">
        <v>51</v>
      </c>
      <c r="B53" s="2">
        <v>0.22</v>
      </c>
      <c r="C53" s="2">
        <v>7.0000000000000007E-2</v>
      </c>
      <c r="D53" s="2">
        <v>-0.01</v>
      </c>
      <c r="E53" s="2">
        <v>0.06</v>
      </c>
      <c r="F53" s="2">
        <v>0.23</v>
      </c>
      <c r="G53" s="2">
        <v>-0.43</v>
      </c>
      <c r="H53" s="2">
        <v>-0.72</v>
      </c>
      <c r="I53" s="2">
        <v>-0.19</v>
      </c>
      <c r="J53" s="2">
        <v>0.11</v>
      </c>
      <c r="K53" s="2">
        <v>0.32</v>
      </c>
      <c r="L53" s="2">
        <v>1.06</v>
      </c>
      <c r="M53" s="2">
        <v>0.9</v>
      </c>
      <c r="N53" s="2">
        <v>0.31</v>
      </c>
      <c r="O53" s="2">
        <v>1.25</v>
      </c>
      <c r="P53" s="2">
        <v>1.23</v>
      </c>
      <c r="Q53" s="2">
        <v>1.03</v>
      </c>
      <c r="R53" s="2">
        <v>1.62</v>
      </c>
    </row>
    <row r="54" spans="1:18" x14ac:dyDescent="0.15">
      <c r="A54" s="1" t="s">
        <v>52</v>
      </c>
      <c r="B54" s="2">
        <v>-0.08</v>
      </c>
      <c r="C54" s="2">
        <v>0.57999999999999996</v>
      </c>
      <c r="D54" s="2">
        <v>0</v>
      </c>
      <c r="E54" s="2">
        <v>0.14000000000000001</v>
      </c>
      <c r="F54" s="2">
        <v>0.18</v>
      </c>
      <c r="G54" s="2">
        <v>-0.12</v>
      </c>
      <c r="H54" s="2">
        <v>-0.43</v>
      </c>
      <c r="I54" s="2">
        <v>-0.05</v>
      </c>
      <c r="J54" s="2">
        <v>0.11</v>
      </c>
      <c r="K54" s="2">
        <v>0.36</v>
      </c>
      <c r="L54" s="2">
        <v>1.08</v>
      </c>
      <c r="M54" s="2">
        <v>0.9</v>
      </c>
      <c r="N54" s="2">
        <v>0.31</v>
      </c>
      <c r="O54" s="2">
        <v>1.25</v>
      </c>
      <c r="P54" s="2">
        <v>1.23</v>
      </c>
      <c r="Q54" s="2">
        <v>1.24</v>
      </c>
      <c r="R54" s="2">
        <v>1.62</v>
      </c>
    </row>
    <row r="55" spans="1:18" x14ac:dyDescent="0.15">
      <c r="A55" s="4" t="s">
        <v>53</v>
      </c>
      <c r="B55" s="5">
        <v>0.28999999999999998</v>
      </c>
      <c r="C55" s="5">
        <v>0.01</v>
      </c>
      <c r="D55" s="5">
        <v>-0.01</v>
      </c>
      <c r="E55" s="5">
        <v>0.06</v>
      </c>
      <c r="F55" s="5">
        <v>0.23</v>
      </c>
      <c r="G55" s="5">
        <v>-0.43</v>
      </c>
      <c r="H55" s="5">
        <v>-0.72</v>
      </c>
      <c r="I55" s="5">
        <v>-0.19</v>
      </c>
      <c r="J55" s="5">
        <v>0.11</v>
      </c>
      <c r="K55" s="5">
        <v>0.32</v>
      </c>
      <c r="L55" s="5">
        <v>1.05</v>
      </c>
      <c r="M55" s="5">
        <v>0.89</v>
      </c>
      <c r="N55" s="5">
        <v>0.31</v>
      </c>
      <c r="O55" s="5">
        <v>1.24</v>
      </c>
      <c r="P55" s="5">
        <v>1.23</v>
      </c>
      <c r="Q55" s="5">
        <v>1.24</v>
      </c>
      <c r="R55" s="5">
        <v>1.61</v>
      </c>
    </row>
    <row r="56" spans="1:18" x14ac:dyDescent="0.15">
      <c r="A56" s="4" t="s">
        <v>54</v>
      </c>
      <c r="B56" s="5">
        <v>-7.0000000000000007E-2</v>
      </c>
      <c r="C56" s="5">
        <v>0.06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-0.21</v>
      </c>
      <c r="R56" s="5">
        <v>0</v>
      </c>
    </row>
    <row r="57" spans="1:18" x14ac:dyDescent="0.15">
      <c r="A57" s="1" t="s">
        <v>55</v>
      </c>
      <c r="B57" s="2">
        <v>0.22</v>
      </c>
      <c r="C57" s="2">
        <v>7.0000000000000007E-2</v>
      </c>
      <c r="D57" s="2">
        <v>-0.01</v>
      </c>
      <c r="E57" s="2">
        <v>0.06</v>
      </c>
      <c r="F57" s="2">
        <v>0.23</v>
      </c>
      <c r="G57" s="2">
        <v>-0.43</v>
      </c>
      <c r="H57" s="2">
        <v>-0.72</v>
      </c>
      <c r="I57" s="2">
        <v>-0.19</v>
      </c>
      <c r="J57" s="2">
        <v>0.11</v>
      </c>
      <c r="K57" s="2">
        <v>0.32</v>
      </c>
      <c r="L57" s="2">
        <v>1.05</v>
      </c>
      <c r="M57" s="2">
        <v>0.89</v>
      </c>
      <c r="N57" s="2">
        <v>0.31</v>
      </c>
      <c r="O57" s="2">
        <v>1.24</v>
      </c>
      <c r="P57" s="2">
        <v>1.23</v>
      </c>
      <c r="Q57" s="2">
        <v>1.03</v>
      </c>
      <c r="R57" s="2">
        <v>1.61</v>
      </c>
    </row>
    <row r="58" spans="1:18" x14ac:dyDescent="0.1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15">
      <c r="A59" s="4" t="s">
        <v>57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15">
      <c r="A60" s="4" t="s">
        <v>58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15">
      <c r="A61" s="4" t="s">
        <v>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15">
      <c r="A62" s="1" t="s">
        <v>60</v>
      </c>
      <c r="B62" s="2">
        <v>0.22</v>
      </c>
      <c r="C62" s="2">
        <v>7.0000000000000007E-2</v>
      </c>
      <c r="D62" s="2">
        <v>-0.01</v>
      </c>
      <c r="E62" s="2">
        <v>0.06</v>
      </c>
      <c r="F62" s="2">
        <v>0.23</v>
      </c>
      <c r="G62" s="2">
        <v>-0.43</v>
      </c>
      <c r="H62" s="2">
        <v>-0.72</v>
      </c>
      <c r="I62" s="2">
        <v>-0.19</v>
      </c>
      <c r="J62" s="2">
        <v>0.11</v>
      </c>
      <c r="K62" s="2">
        <v>0.32</v>
      </c>
      <c r="L62" s="2">
        <v>1.05</v>
      </c>
      <c r="M62" s="2">
        <v>0.89</v>
      </c>
      <c r="N62" s="2">
        <v>0.31</v>
      </c>
      <c r="O62" s="2">
        <v>1.24</v>
      </c>
      <c r="P62" s="2">
        <v>1.23</v>
      </c>
      <c r="Q62" s="2">
        <v>1.03</v>
      </c>
      <c r="R62" s="2">
        <v>1.61</v>
      </c>
    </row>
    <row r="63" spans="1:18" x14ac:dyDescent="0.15">
      <c r="A63" s="1" t="s">
        <v>61</v>
      </c>
      <c r="B63" s="2">
        <v>-0.08</v>
      </c>
      <c r="C63" s="2">
        <v>0.57999999999999996</v>
      </c>
      <c r="D63" s="2">
        <v>0</v>
      </c>
      <c r="E63" s="2">
        <v>0.14000000000000001</v>
      </c>
      <c r="F63" s="2">
        <v>0.18</v>
      </c>
      <c r="G63" s="2">
        <v>-0.12</v>
      </c>
      <c r="H63" s="2">
        <v>-0.43</v>
      </c>
      <c r="I63" s="2">
        <v>-0.05</v>
      </c>
      <c r="J63" s="2">
        <v>0.11</v>
      </c>
      <c r="K63" s="2">
        <v>0.36</v>
      </c>
      <c r="L63" s="2">
        <v>1.07</v>
      </c>
      <c r="M63" s="2">
        <v>0.89</v>
      </c>
      <c r="N63" s="2">
        <v>0.31</v>
      </c>
      <c r="O63" s="2">
        <v>1.24</v>
      </c>
      <c r="P63" s="2">
        <v>1.23</v>
      </c>
      <c r="Q63" s="2">
        <v>1.24</v>
      </c>
      <c r="R63" s="2">
        <v>1.61</v>
      </c>
    </row>
    <row r="64" spans="1:18" x14ac:dyDescent="0.15">
      <c r="A64" s="1" t="s">
        <v>62</v>
      </c>
      <c r="B64" s="2">
        <v>0.02</v>
      </c>
      <c r="C64" s="2">
        <v>0.02</v>
      </c>
      <c r="D64" s="2">
        <v>0.02</v>
      </c>
      <c r="E64" s="2">
        <v>0</v>
      </c>
      <c r="F64" s="2">
        <v>0</v>
      </c>
      <c r="G64" s="2">
        <v>0.03</v>
      </c>
      <c r="H64" s="2">
        <v>0.03</v>
      </c>
      <c r="I64" s="2">
        <v>0.03</v>
      </c>
      <c r="J64" s="2">
        <v>0.08</v>
      </c>
      <c r="K64" s="2">
        <v>0.19</v>
      </c>
      <c r="L64" s="2">
        <v>0.24</v>
      </c>
      <c r="M64" s="2">
        <v>0.88</v>
      </c>
      <c r="N64" s="2">
        <v>0.71</v>
      </c>
      <c r="O64" s="2">
        <v>0.82</v>
      </c>
      <c r="P64" s="2">
        <v>0.86</v>
      </c>
      <c r="Q64" s="2">
        <v>0.9</v>
      </c>
      <c r="R64" s="2">
        <v>1.02</v>
      </c>
    </row>
  </sheetData>
  <mergeCells count="4">
    <mergeCell ref="L2:P2"/>
    <mergeCell ref="Q2:R2"/>
    <mergeCell ref="A2:F2"/>
    <mergeCell ref="G2:K2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"/>
  <sheetViews>
    <sheetView topLeftCell="A46" zoomScaleNormal="100" workbookViewId="0">
      <selection activeCell="P18" sqref="P18"/>
    </sheetView>
  </sheetViews>
  <sheetFormatPr defaultRowHeight="15" x14ac:dyDescent="0.15"/>
  <cols>
    <col min="1" max="1" width="11.625" style="8" bestFit="1" customWidth="1"/>
    <col min="2" max="2" width="10.5" style="127" bestFit="1" customWidth="1"/>
    <col min="3" max="4" width="9" style="8"/>
    <col min="5" max="5" width="22.75" style="8" bestFit="1" customWidth="1"/>
    <col min="6" max="16384" width="9" style="8"/>
  </cols>
  <sheetData>
    <row r="1" spans="1:17" x14ac:dyDescent="0.15">
      <c r="A1" s="8" t="s">
        <v>593</v>
      </c>
      <c r="B1" s="127" t="s">
        <v>594</v>
      </c>
      <c r="E1" s="8" t="s">
        <v>555</v>
      </c>
      <c r="F1" s="8">
        <v>2007</v>
      </c>
      <c r="G1" s="8" t="s">
        <v>597</v>
      </c>
      <c r="H1" s="8" t="s">
        <v>600</v>
      </c>
      <c r="I1" s="8">
        <v>2008</v>
      </c>
      <c r="J1" s="8">
        <v>2009</v>
      </c>
      <c r="K1" s="8" t="s">
        <v>598</v>
      </c>
      <c r="L1" s="8" t="s">
        <v>599</v>
      </c>
      <c r="M1" s="8">
        <v>2010</v>
      </c>
      <c r="O1" s="8">
        <v>2011</v>
      </c>
      <c r="P1" s="8">
        <v>2012</v>
      </c>
      <c r="Q1" s="8" t="s">
        <v>595</v>
      </c>
    </row>
    <row r="2" spans="1:17" x14ac:dyDescent="0.15">
      <c r="A2" s="128">
        <v>39454</v>
      </c>
      <c r="B2" s="127">
        <v>17.28</v>
      </c>
      <c r="C2" s="8">
        <v>16.420000000000002</v>
      </c>
      <c r="D2" s="8">
        <f>C2*0.8</f>
        <v>13.136000000000003</v>
      </c>
      <c r="E2" s="8" t="s">
        <v>596</v>
      </c>
      <c r="F2" s="122">
        <f>'Income Statement'!M3</f>
        <v>2774.4</v>
      </c>
      <c r="G2" s="122">
        <f>F2*1.08</f>
        <v>2996.3520000000003</v>
      </c>
      <c r="H2" s="8">
        <f>M2*1.08</f>
        <v>4015.0080000000003</v>
      </c>
      <c r="I2" s="122">
        <f>'Income Statement'!N3</f>
        <v>3104.9</v>
      </c>
      <c r="J2" s="122">
        <f>'Income Statement'!O3</f>
        <v>3390.9</v>
      </c>
      <c r="K2" s="122">
        <f>I2*1.08</f>
        <v>3353.2920000000004</v>
      </c>
      <c r="L2" s="8">
        <f>J2*1.08</f>
        <v>3662.1720000000005</v>
      </c>
      <c r="M2" s="122">
        <f>'Income Statement'!P3</f>
        <v>3717.6</v>
      </c>
      <c r="O2" s="122">
        <f>'Income Statement'!Q3</f>
        <v>4740.8999999999996</v>
      </c>
      <c r="P2" s="122">
        <f>'Income Statement'!R3</f>
        <v>4998</v>
      </c>
      <c r="Q2" s="122"/>
    </row>
    <row r="3" spans="1:17" x14ac:dyDescent="0.15">
      <c r="A3" s="128">
        <v>39461</v>
      </c>
      <c r="B3" s="127">
        <v>15.46</v>
      </c>
      <c r="C3" s="8">
        <v>16.420000000000002</v>
      </c>
      <c r="D3" s="8">
        <f t="shared" ref="D3:D66" si="0">C3*0.8</f>
        <v>13.136000000000003</v>
      </c>
      <c r="E3" s="8" t="s">
        <v>25</v>
      </c>
      <c r="F3" s="8">
        <v>776.4</v>
      </c>
      <c r="G3" s="8">
        <f>G2*0.3</f>
        <v>898.90560000000005</v>
      </c>
      <c r="H3" s="8">
        <f>H2*0.3</f>
        <v>1204.5024000000001</v>
      </c>
      <c r="I3" s="8">
        <v>918.5</v>
      </c>
      <c r="J3" s="8">
        <v>963.1</v>
      </c>
      <c r="K3" s="8">
        <f>K2*0.3</f>
        <v>1005.9876</v>
      </c>
      <c r="L3" s="8">
        <f>L2*0.3</f>
        <v>1098.6516000000001</v>
      </c>
      <c r="M3" s="8">
        <v>963.9</v>
      </c>
      <c r="O3" s="8">
        <v>1101.9000000000001</v>
      </c>
      <c r="P3" s="8">
        <v>1305</v>
      </c>
      <c r="Q3" s="8">
        <v>1574.37</v>
      </c>
    </row>
    <row r="4" spans="1:17" x14ac:dyDescent="0.15">
      <c r="A4" s="128">
        <v>39468</v>
      </c>
      <c r="B4" s="127">
        <v>15.15</v>
      </c>
      <c r="C4" s="8">
        <v>16.420000000000002</v>
      </c>
      <c r="D4" s="8">
        <f t="shared" si="0"/>
        <v>13.136000000000003</v>
      </c>
      <c r="E4" s="8" t="s">
        <v>557</v>
      </c>
      <c r="F4" s="8">
        <v>559.00799999999992</v>
      </c>
      <c r="G4" s="8">
        <f>G3*0.72</f>
        <v>647.21203200000002</v>
      </c>
      <c r="H4" s="8">
        <f>H3*0.72</f>
        <v>867.24172800000008</v>
      </c>
      <c r="I4" s="8">
        <v>661.31999999999994</v>
      </c>
      <c r="J4" s="8">
        <v>693.43200000000002</v>
      </c>
      <c r="K4" s="8">
        <f>K3*0.72</f>
        <v>724.31107199999997</v>
      </c>
      <c r="L4" s="8">
        <f>L3*0.72</f>
        <v>791.02915200000007</v>
      </c>
      <c r="M4" s="8">
        <v>694.00799999999992</v>
      </c>
      <c r="O4" s="8">
        <v>793.36800000000005</v>
      </c>
      <c r="P4" s="8">
        <v>939.59999999999991</v>
      </c>
      <c r="Q4" s="8">
        <v>1133.5463999999999</v>
      </c>
    </row>
    <row r="5" spans="1:17" x14ac:dyDescent="0.15">
      <c r="A5" s="128">
        <v>39475</v>
      </c>
      <c r="B5" s="127">
        <v>16.12</v>
      </c>
      <c r="C5" s="8">
        <v>16.420000000000002</v>
      </c>
      <c r="D5" s="8">
        <f t="shared" si="0"/>
        <v>13.136000000000003</v>
      </c>
      <c r="E5" s="8" t="s">
        <v>13</v>
      </c>
      <c r="F5" s="8">
        <v>473.1</v>
      </c>
      <c r="G5" s="8">
        <f>(G6-F5)/10+F5</f>
        <v>485.71704000000005</v>
      </c>
      <c r="H5" s="8">
        <f>(H6-M5)/10+M5</f>
        <v>674.48016000000007</v>
      </c>
      <c r="I5" s="8">
        <v>508.8</v>
      </c>
      <c r="J5" s="8">
        <v>587.20000000000005</v>
      </c>
      <c r="K5" s="8">
        <f>(K6-I6)/10+I6</f>
        <v>721.72583999999995</v>
      </c>
      <c r="L5" s="8">
        <f>(L6-J6)/10+J6</f>
        <v>795.85343999999998</v>
      </c>
      <c r="M5" s="8">
        <v>660.2</v>
      </c>
      <c r="O5" s="8">
        <v>653.70000000000005</v>
      </c>
      <c r="P5" s="8">
        <v>813</v>
      </c>
      <c r="Q5" s="8">
        <v>836.65800000000002</v>
      </c>
    </row>
    <row r="6" spans="1:17" x14ac:dyDescent="0.15">
      <c r="A6" s="128">
        <v>39482</v>
      </c>
      <c r="B6" s="127">
        <v>15.67</v>
      </c>
      <c r="C6" s="8">
        <v>16.420000000000002</v>
      </c>
      <c r="D6" s="8">
        <f t="shared" si="0"/>
        <v>13.136000000000003</v>
      </c>
      <c r="E6" s="8" t="s">
        <v>549</v>
      </c>
      <c r="F6" s="8">
        <v>651.1</v>
      </c>
      <c r="G6" s="8">
        <f>0.2*G2</f>
        <v>599.27040000000011</v>
      </c>
      <c r="H6" s="8">
        <f>0.2*H2</f>
        <v>803.00160000000005</v>
      </c>
      <c r="I6" s="8">
        <v>727.4</v>
      </c>
      <c r="J6" s="8">
        <v>802.9</v>
      </c>
      <c r="K6" s="8">
        <f>0.2*K2</f>
        <v>670.65840000000014</v>
      </c>
      <c r="L6" s="8">
        <f>0.2*L2</f>
        <v>732.4344000000001</v>
      </c>
      <c r="M6" s="8">
        <v>840.7</v>
      </c>
      <c r="O6" s="8">
        <v>889.1</v>
      </c>
      <c r="P6" s="8">
        <v>243</v>
      </c>
      <c r="Q6" s="8">
        <v>1049.58</v>
      </c>
    </row>
    <row r="7" spans="1:17" x14ac:dyDescent="0.15">
      <c r="A7" s="128">
        <v>39489</v>
      </c>
      <c r="B7" s="127">
        <v>16.64</v>
      </c>
      <c r="C7" s="8">
        <v>16.420000000000002</v>
      </c>
      <c r="D7" s="8">
        <f t="shared" si="0"/>
        <v>13.136000000000003</v>
      </c>
      <c r="E7" s="8" t="s">
        <v>550</v>
      </c>
      <c r="F7" s="8">
        <v>-56.699999999999989</v>
      </c>
      <c r="G7" s="8">
        <v>0</v>
      </c>
      <c r="H7" s="8">
        <v>0</v>
      </c>
      <c r="I7" s="8">
        <v>12.89999999999992</v>
      </c>
      <c r="J7" s="8">
        <v>-449.09999999999991</v>
      </c>
      <c r="K7" s="8">
        <v>0</v>
      </c>
      <c r="L7" s="8">
        <v>0</v>
      </c>
      <c r="M7" s="8">
        <v>232.60000000000002</v>
      </c>
      <c r="O7" s="8">
        <v>328.19999999999993</v>
      </c>
      <c r="P7" s="8">
        <v>-658.6</v>
      </c>
      <c r="Q7" s="8">
        <v>0</v>
      </c>
    </row>
    <row r="8" spans="1:17" x14ac:dyDescent="0.15">
      <c r="A8" s="128">
        <v>39496</v>
      </c>
      <c r="B8" s="127">
        <v>16.14</v>
      </c>
      <c r="C8" s="8">
        <v>16.420000000000002</v>
      </c>
      <c r="D8" s="8">
        <f t="shared" si="0"/>
        <v>13.136000000000003</v>
      </c>
      <c r="E8" s="8" t="s">
        <v>132</v>
      </c>
      <c r="F8" s="8">
        <v>655.09999999999991</v>
      </c>
      <c r="G8" s="8">
        <f>G4+G5-G6</f>
        <v>533.65867200000002</v>
      </c>
      <c r="H8" s="8">
        <f>H4+H5-H6</f>
        <v>738.72028799999998</v>
      </c>
      <c r="I8" s="8">
        <v>687</v>
      </c>
      <c r="J8" s="8">
        <v>1196.5</v>
      </c>
      <c r="K8" s="8">
        <f>K4+K5-K6</f>
        <v>775.37851199999989</v>
      </c>
      <c r="L8" s="8">
        <f>L4+L5-L6</f>
        <v>854.44819199999984</v>
      </c>
      <c r="M8" s="8">
        <v>550.79999999999984</v>
      </c>
      <c r="O8" s="8">
        <v>538.30000000000018</v>
      </c>
      <c r="P8" s="8">
        <v>2533.6</v>
      </c>
      <c r="Q8" s="8">
        <v>920.62440000000015</v>
      </c>
    </row>
    <row r="9" spans="1:17" x14ac:dyDescent="0.15">
      <c r="A9" s="128">
        <v>39503</v>
      </c>
      <c r="B9" s="127">
        <v>15.07</v>
      </c>
      <c r="C9" s="8">
        <v>16.420000000000002</v>
      </c>
      <c r="D9" s="8">
        <f t="shared" si="0"/>
        <v>13.136000000000003</v>
      </c>
    </row>
    <row r="10" spans="1:17" x14ac:dyDescent="0.15">
      <c r="A10" s="128">
        <v>39510</v>
      </c>
      <c r="B10" s="127">
        <v>14.52</v>
      </c>
      <c r="C10" s="8">
        <v>16.420000000000002</v>
      </c>
      <c r="D10" s="8">
        <f t="shared" si="0"/>
        <v>13.136000000000003</v>
      </c>
    </row>
    <row r="11" spans="1:17" x14ac:dyDescent="0.15">
      <c r="A11" s="128">
        <v>39517</v>
      </c>
      <c r="B11" s="127">
        <v>14.38</v>
      </c>
      <c r="C11" s="8">
        <v>16.420000000000002</v>
      </c>
      <c r="D11" s="8">
        <f t="shared" si="0"/>
        <v>13.136000000000003</v>
      </c>
    </row>
    <row r="12" spans="1:17" x14ac:dyDescent="0.15">
      <c r="A12" s="128">
        <v>39524</v>
      </c>
      <c r="B12" s="127">
        <v>14.33</v>
      </c>
      <c r="C12" s="8">
        <v>16.420000000000002</v>
      </c>
      <c r="D12" s="8">
        <f t="shared" si="0"/>
        <v>13.136000000000003</v>
      </c>
    </row>
    <row r="13" spans="1:17" x14ac:dyDescent="0.15">
      <c r="A13" s="128">
        <v>39531</v>
      </c>
      <c r="B13" s="127">
        <v>14.31</v>
      </c>
      <c r="C13" s="8">
        <v>16.420000000000002</v>
      </c>
      <c r="D13" s="8">
        <f t="shared" si="0"/>
        <v>13.136000000000003</v>
      </c>
    </row>
    <row r="14" spans="1:17" x14ac:dyDescent="0.15">
      <c r="A14" s="128">
        <v>39538</v>
      </c>
      <c r="B14" s="127">
        <v>16.25</v>
      </c>
      <c r="C14" s="8">
        <v>16.420000000000002</v>
      </c>
      <c r="D14" s="8">
        <f t="shared" si="0"/>
        <v>13.136000000000003</v>
      </c>
    </row>
    <row r="15" spans="1:17" x14ac:dyDescent="0.15">
      <c r="A15" s="128">
        <v>39545</v>
      </c>
      <c r="B15" s="127">
        <v>16.68</v>
      </c>
      <c r="C15" s="8">
        <v>16.420000000000002</v>
      </c>
      <c r="D15" s="8">
        <f t="shared" si="0"/>
        <v>13.136000000000003</v>
      </c>
    </row>
    <row r="16" spans="1:17" x14ac:dyDescent="0.15">
      <c r="A16" s="128">
        <v>39552</v>
      </c>
      <c r="B16" s="127">
        <v>16.27</v>
      </c>
      <c r="C16" s="8">
        <v>16.420000000000002</v>
      </c>
      <c r="D16" s="8">
        <f t="shared" si="0"/>
        <v>13.136000000000003</v>
      </c>
    </row>
    <row r="17" spans="1:16" x14ac:dyDescent="0.15">
      <c r="A17" s="128">
        <v>39559</v>
      </c>
      <c r="B17" s="127">
        <v>16.63</v>
      </c>
      <c r="C17" s="8">
        <v>16.420000000000002</v>
      </c>
      <c r="D17" s="8">
        <f t="shared" si="0"/>
        <v>13.136000000000003</v>
      </c>
    </row>
    <row r="18" spans="1:16" x14ac:dyDescent="0.15">
      <c r="A18" s="128">
        <v>39566</v>
      </c>
      <c r="B18" s="127">
        <v>17.32</v>
      </c>
      <c r="C18" s="8">
        <v>16.420000000000002</v>
      </c>
      <c r="D18" s="8">
        <f t="shared" si="0"/>
        <v>13.136000000000003</v>
      </c>
    </row>
    <row r="19" spans="1:16" x14ac:dyDescent="0.15">
      <c r="A19" s="128">
        <v>39573</v>
      </c>
      <c r="B19" s="127">
        <v>17.29</v>
      </c>
      <c r="C19" s="8">
        <v>16.420000000000002</v>
      </c>
      <c r="D19" s="8">
        <f t="shared" si="0"/>
        <v>13.136000000000003</v>
      </c>
      <c r="E19" s="8" t="s">
        <v>591</v>
      </c>
    </row>
    <row r="20" spans="1:16" x14ac:dyDescent="0.15">
      <c r="A20" s="128">
        <v>39580</v>
      </c>
      <c r="B20" s="127">
        <v>17.440000000000001</v>
      </c>
      <c r="C20" s="8">
        <v>16.420000000000002</v>
      </c>
      <c r="D20" s="8">
        <f t="shared" si="0"/>
        <v>13.136000000000003</v>
      </c>
    </row>
    <row r="21" spans="1:16" x14ac:dyDescent="0.15">
      <c r="A21" s="128">
        <v>39587</v>
      </c>
      <c r="B21" s="127">
        <v>17.02</v>
      </c>
      <c r="C21" s="8">
        <v>16.420000000000002</v>
      </c>
      <c r="D21" s="8">
        <f t="shared" si="0"/>
        <v>13.136000000000003</v>
      </c>
      <c r="E21" s="8" t="s">
        <v>555</v>
      </c>
      <c r="F21" s="8">
        <v>2009</v>
      </c>
      <c r="G21" s="8">
        <v>2010</v>
      </c>
      <c r="H21" s="8">
        <v>2011</v>
      </c>
      <c r="I21" s="8">
        <v>2012</v>
      </c>
      <c r="J21" s="8">
        <v>2013</v>
      </c>
      <c r="K21" s="8">
        <v>2014</v>
      </c>
      <c r="L21" s="8">
        <v>2015</v>
      </c>
      <c r="M21" s="8">
        <v>2016</v>
      </c>
      <c r="N21" s="8">
        <v>2017</v>
      </c>
      <c r="O21" s="8">
        <v>2018</v>
      </c>
    </row>
    <row r="22" spans="1:16" x14ac:dyDescent="0.15">
      <c r="A22" s="128">
        <v>39594</v>
      </c>
      <c r="B22" s="127">
        <v>16.34</v>
      </c>
      <c r="C22" s="8">
        <v>16.420000000000002</v>
      </c>
      <c r="D22" s="8">
        <f t="shared" si="0"/>
        <v>13.136000000000003</v>
      </c>
      <c r="E22" s="8" t="s">
        <v>551</v>
      </c>
      <c r="F22" s="8">
        <v>3662.1720000000005</v>
      </c>
      <c r="G22" s="8">
        <f>F22*1.08</f>
        <v>3955.1457600000008</v>
      </c>
      <c r="H22" s="8">
        <f t="shared" ref="H22:O22" si="1">G22*1.08</f>
        <v>4271.5574208000007</v>
      </c>
      <c r="I22" s="8">
        <f t="shared" si="1"/>
        <v>4613.2820144640009</v>
      </c>
      <c r="J22" s="8">
        <f t="shared" si="1"/>
        <v>4982.3445756211213</v>
      </c>
      <c r="K22" s="8">
        <f t="shared" si="1"/>
        <v>5380.9321416708117</v>
      </c>
      <c r="L22" s="8">
        <f t="shared" si="1"/>
        <v>5811.4067130044768</v>
      </c>
      <c r="M22" s="8">
        <f t="shared" si="1"/>
        <v>6276.3192500448358</v>
      </c>
      <c r="N22" s="8">
        <f t="shared" si="1"/>
        <v>6778.4247900484233</v>
      </c>
      <c r="O22" s="8">
        <f t="shared" si="1"/>
        <v>7320.6987732522975</v>
      </c>
      <c r="P22" s="8">
        <f t="shared" ref="P22" si="2">O22*1.08</f>
        <v>7906.3546751124823</v>
      </c>
    </row>
    <row r="23" spans="1:16" x14ac:dyDescent="0.15">
      <c r="A23" s="128">
        <v>39601</v>
      </c>
      <c r="B23" s="127">
        <v>16.59</v>
      </c>
      <c r="C23" s="8">
        <v>16.420000000000002</v>
      </c>
      <c r="D23" s="8">
        <f t="shared" si="0"/>
        <v>13.136000000000003</v>
      </c>
      <c r="E23" s="8" t="s">
        <v>25</v>
      </c>
      <c r="F23" s="8">
        <v>1098.6516000000001</v>
      </c>
      <c r="G23" s="8">
        <f>G22*0.3</f>
        <v>1186.5437280000001</v>
      </c>
      <c r="H23" s="8">
        <f t="shared" ref="H23:P23" si="3">H22*0.3</f>
        <v>1281.4672262400002</v>
      </c>
      <c r="I23" s="8">
        <f t="shared" si="3"/>
        <v>1383.9846043392001</v>
      </c>
      <c r="J23" s="8">
        <f t="shared" si="3"/>
        <v>1494.7033726863363</v>
      </c>
      <c r="K23" s="8">
        <f t="shared" si="3"/>
        <v>1614.2796425012434</v>
      </c>
      <c r="L23" s="8">
        <f t="shared" si="3"/>
        <v>1743.422013901343</v>
      </c>
      <c r="M23" s="8">
        <f t="shared" si="3"/>
        <v>1882.8957750134507</v>
      </c>
      <c r="N23" s="8">
        <f t="shared" si="3"/>
        <v>2033.5274370145269</v>
      </c>
      <c r="O23" s="8">
        <f t="shared" si="3"/>
        <v>2196.2096319756893</v>
      </c>
      <c r="P23" s="8">
        <f t="shared" si="3"/>
        <v>2371.9064025337448</v>
      </c>
    </row>
    <row r="24" spans="1:16" x14ac:dyDescent="0.15">
      <c r="A24" s="128">
        <v>39608</v>
      </c>
      <c r="B24" s="127">
        <v>16</v>
      </c>
      <c r="C24" s="8">
        <v>16.420000000000002</v>
      </c>
      <c r="D24" s="8">
        <f t="shared" si="0"/>
        <v>13.136000000000003</v>
      </c>
      <c r="E24" s="8" t="s">
        <v>557</v>
      </c>
      <c r="F24" s="8">
        <v>791.02915200000007</v>
      </c>
      <c r="G24" s="8">
        <f>G23*0.72</f>
        <v>854.31148416000008</v>
      </c>
      <c r="H24" s="8">
        <f t="shared" ref="H24:P24" si="4">H23*0.72</f>
        <v>922.65640289280009</v>
      </c>
      <c r="I24" s="8">
        <f t="shared" si="4"/>
        <v>996.46891512422405</v>
      </c>
      <c r="J24" s="8">
        <f t="shared" si="4"/>
        <v>1076.186428334162</v>
      </c>
      <c r="K24" s="8">
        <f t="shared" si="4"/>
        <v>1162.2813426008952</v>
      </c>
      <c r="L24" s="8">
        <f t="shared" si="4"/>
        <v>1255.263850008967</v>
      </c>
      <c r="M24" s="8">
        <f t="shared" si="4"/>
        <v>1355.6849580096844</v>
      </c>
      <c r="N24" s="8">
        <f t="shared" si="4"/>
        <v>1464.1397546504593</v>
      </c>
      <c r="O24" s="8">
        <f t="shared" si="4"/>
        <v>1581.2709350224961</v>
      </c>
      <c r="P24" s="8">
        <f t="shared" si="4"/>
        <v>1707.7726098242961</v>
      </c>
    </row>
    <row r="25" spans="1:16" x14ac:dyDescent="0.15">
      <c r="A25" s="128">
        <v>39615</v>
      </c>
      <c r="B25" s="127">
        <v>15.42</v>
      </c>
      <c r="C25" s="8">
        <v>16.420000000000002</v>
      </c>
      <c r="D25" s="8">
        <f t="shared" si="0"/>
        <v>13.136000000000003</v>
      </c>
      <c r="E25" s="8" t="s">
        <v>562</v>
      </c>
      <c r="F25" s="8">
        <v>795.85343999999998</v>
      </c>
      <c r="G25" s="8">
        <f>(G26-F25)/10+F25</f>
        <v>795.3710112</v>
      </c>
      <c r="H25" s="8">
        <f t="shared" ref="H25:P25" si="5">(H26-G25)/10+G25</f>
        <v>801.26505849600005</v>
      </c>
      <c r="I25" s="8">
        <f t="shared" si="5"/>
        <v>813.40419293568004</v>
      </c>
      <c r="J25" s="8">
        <f t="shared" si="5"/>
        <v>831.71066515453447</v>
      </c>
      <c r="K25" s="8">
        <f t="shared" si="5"/>
        <v>856.15824147249725</v>
      </c>
      <c r="L25" s="8">
        <f t="shared" si="5"/>
        <v>886.7705515853371</v>
      </c>
      <c r="M25" s="8">
        <f t="shared" si="5"/>
        <v>923.61988142770008</v>
      </c>
      <c r="N25" s="8">
        <f t="shared" si="5"/>
        <v>966.82638908589854</v>
      </c>
      <c r="O25" s="8">
        <f t="shared" si="5"/>
        <v>1016.5577256423546</v>
      </c>
      <c r="P25" s="8">
        <f t="shared" si="5"/>
        <v>1073.0290465803689</v>
      </c>
    </row>
    <row r="26" spans="1:16" x14ac:dyDescent="0.15">
      <c r="A26" s="128">
        <v>39622</v>
      </c>
      <c r="B26" s="127">
        <v>15.77</v>
      </c>
      <c r="C26" s="8">
        <v>16.420000000000002</v>
      </c>
      <c r="D26" s="8">
        <f t="shared" si="0"/>
        <v>13.136000000000003</v>
      </c>
      <c r="E26" s="8" t="s">
        <v>549</v>
      </c>
      <c r="F26" s="8">
        <v>732.4344000000001</v>
      </c>
      <c r="G26" s="8">
        <f>G22*0.2</f>
        <v>791.02915200000018</v>
      </c>
      <c r="H26" s="8">
        <f t="shared" ref="H26:O26" si="6">H22*0.2</f>
        <v>854.31148416000019</v>
      </c>
      <c r="I26" s="8">
        <f t="shared" si="6"/>
        <v>922.6564028928002</v>
      </c>
      <c r="J26" s="8">
        <f t="shared" si="6"/>
        <v>996.46891512422428</v>
      </c>
      <c r="K26" s="8">
        <f t="shared" si="6"/>
        <v>1076.1864283341624</v>
      </c>
      <c r="L26" s="8">
        <f t="shared" si="6"/>
        <v>1162.2813426008954</v>
      </c>
      <c r="M26" s="8">
        <f t="shared" si="6"/>
        <v>1255.2638500089672</v>
      </c>
      <c r="N26" s="8">
        <f t="shared" si="6"/>
        <v>1355.6849580096848</v>
      </c>
      <c r="O26" s="8">
        <f t="shared" si="6"/>
        <v>1464.1397546504595</v>
      </c>
      <c r="P26" s="8">
        <f t="shared" ref="P26" si="7">P22*0.2</f>
        <v>1581.2709350224966</v>
      </c>
    </row>
    <row r="27" spans="1:16" x14ac:dyDescent="0.15">
      <c r="A27" s="128">
        <v>39629</v>
      </c>
      <c r="B27" s="127">
        <v>16.89</v>
      </c>
      <c r="C27" s="8">
        <v>16.420000000000002</v>
      </c>
      <c r="D27" s="8">
        <f t="shared" si="0"/>
        <v>13.136000000000003</v>
      </c>
      <c r="E27" s="8" t="s">
        <v>565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</row>
    <row r="28" spans="1:16" x14ac:dyDescent="0.15">
      <c r="A28" s="128">
        <v>39636</v>
      </c>
      <c r="B28" s="127">
        <v>17.03</v>
      </c>
      <c r="C28" s="8">
        <v>16.420000000000002</v>
      </c>
      <c r="D28" s="8">
        <f t="shared" si="0"/>
        <v>13.136000000000003</v>
      </c>
      <c r="E28" s="8" t="s">
        <v>552</v>
      </c>
      <c r="F28" s="8">
        <v>854.44819199999984</v>
      </c>
      <c r="G28" s="8">
        <f>G24+G25-G26</f>
        <v>858.65334335999989</v>
      </c>
      <c r="H28" s="8">
        <f t="shared" ref="H28:O28" si="8">H24+H25-H26</f>
        <v>869.60997722880006</v>
      </c>
      <c r="I28" s="8">
        <f t="shared" si="8"/>
        <v>887.2167051671039</v>
      </c>
      <c r="J28" s="8">
        <f t="shared" si="8"/>
        <v>911.42817836447227</v>
      </c>
      <c r="K28" s="8">
        <f t="shared" si="8"/>
        <v>942.2531557392299</v>
      </c>
      <c r="L28" s="8">
        <f t="shared" si="8"/>
        <v>979.75305899340879</v>
      </c>
      <c r="M28" s="8">
        <f t="shared" si="8"/>
        <v>1024.0409894284173</v>
      </c>
      <c r="N28" s="8">
        <f t="shared" si="8"/>
        <v>1075.2811857266731</v>
      </c>
      <c r="O28" s="8">
        <f t="shared" si="8"/>
        <v>1133.6889060143913</v>
      </c>
      <c r="P28" s="8">
        <f t="shared" ref="P28" si="9">P24+P25-P26</f>
        <v>1199.5307213821682</v>
      </c>
    </row>
    <row r="29" spans="1:16" x14ac:dyDescent="0.15">
      <c r="A29" s="128">
        <v>39643</v>
      </c>
      <c r="B29" s="127">
        <v>18.32</v>
      </c>
      <c r="C29" s="8">
        <v>16.420000000000002</v>
      </c>
      <c r="D29" s="8">
        <f t="shared" si="0"/>
        <v>13.136000000000003</v>
      </c>
    </row>
    <row r="30" spans="1:16" x14ac:dyDescent="0.15">
      <c r="A30" s="128">
        <v>39650</v>
      </c>
      <c r="B30" s="127">
        <v>17.690000000000001</v>
      </c>
      <c r="C30" s="8">
        <v>16.420000000000002</v>
      </c>
      <c r="D30" s="8">
        <f t="shared" si="0"/>
        <v>13.136000000000003</v>
      </c>
      <c r="E30" s="8" t="s">
        <v>569</v>
      </c>
      <c r="F30" s="8">
        <v>6.7699999999999996E-2</v>
      </c>
    </row>
    <row r="31" spans="1:16" x14ac:dyDescent="0.15">
      <c r="A31" s="128">
        <v>39657</v>
      </c>
      <c r="B31" s="127">
        <v>17.260000000000002</v>
      </c>
      <c r="C31" s="8">
        <v>16.420000000000002</v>
      </c>
      <c r="D31" s="8">
        <f t="shared" si="0"/>
        <v>13.136000000000003</v>
      </c>
      <c r="E31" s="8" t="s">
        <v>553</v>
      </c>
      <c r="F31" s="8">
        <v>0.93659267584527484</v>
      </c>
      <c r="G31" s="8">
        <v>0.877205840447012</v>
      </c>
      <c r="H31" s="8">
        <v>0.82158456537137015</v>
      </c>
      <c r="I31" s="8">
        <v>0.76949008651434869</v>
      </c>
      <c r="J31" s="8">
        <v>0.72069877916488589</v>
      </c>
      <c r="K31" s="8">
        <v>0.67500119805646319</v>
      </c>
      <c r="L31" s="8">
        <v>0.63220117828646916</v>
      </c>
      <c r="M31" s="8">
        <v>0.59211499324385986</v>
      </c>
      <c r="N31" s="8">
        <v>0.55457056593037346</v>
      </c>
      <c r="O31" s="8">
        <v>0.51940673028975692</v>
      </c>
      <c r="P31" s="8">
        <v>0.42</v>
      </c>
    </row>
    <row r="32" spans="1:16" x14ac:dyDescent="0.15">
      <c r="A32" s="128">
        <v>39664</v>
      </c>
      <c r="B32" s="127">
        <v>17.79</v>
      </c>
      <c r="C32" s="8">
        <v>16.420000000000002</v>
      </c>
      <c r="D32" s="8">
        <f t="shared" si="0"/>
        <v>13.136000000000003</v>
      </c>
      <c r="E32" s="8" t="s">
        <v>572</v>
      </c>
      <c r="F32" s="8">
        <f>F28*F31</f>
        <v>800.26991851643697</v>
      </c>
      <c r="G32" s="8">
        <f t="shared" ref="G32:P32" si="10">G28*G31</f>
        <v>753.21572771474553</v>
      </c>
      <c r="H32" s="8">
        <f t="shared" si="10"/>
        <v>714.45813518413081</v>
      </c>
      <c r="I32" s="8">
        <f t="shared" si="10"/>
        <v>682.70445921601015</v>
      </c>
      <c r="J32" s="8">
        <f t="shared" si="10"/>
        <v>656.86517544375101</v>
      </c>
      <c r="K32" s="8">
        <f t="shared" si="10"/>
        <v>636.02200899646334</v>
      </c>
      <c r="L32" s="8">
        <f t="shared" si="10"/>
        <v>619.40103832540558</v>
      </c>
      <c r="M32" s="8">
        <f t="shared" si="10"/>
        <v>606.35002353684285</v>
      </c>
      <c r="N32" s="8">
        <f t="shared" si="10"/>
        <v>596.31929570272416</v>
      </c>
      <c r="O32" s="8">
        <f t="shared" si="10"/>
        <v>588.84564783870655</v>
      </c>
      <c r="P32" s="8">
        <f t="shared" si="10"/>
        <v>503.80290298051062</v>
      </c>
    </row>
    <row r="33" spans="1:6" x14ac:dyDescent="0.15">
      <c r="A33" s="128">
        <v>39671</v>
      </c>
      <c r="B33" s="127">
        <v>17.95</v>
      </c>
      <c r="C33" s="8">
        <v>16.420000000000002</v>
      </c>
      <c r="D33" s="8">
        <f t="shared" si="0"/>
        <v>13.136000000000003</v>
      </c>
    </row>
    <row r="34" spans="1:6" x14ac:dyDescent="0.15">
      <c r="A34" s="128">
        <v>39678</v>
      </c>
      <c r="B34" s="127">
        <v>17.37</v>
      </c>
      <c r="C34" s="8">
        <v>16.420000000000002</v>
      </c>
      <c r="D34" s="8">
        <f t="shared" si="0"/>
        <v>13.136000000000003</v>
      </c>
      <c r="E34" s="8" t="s">
        <v>574</v>
      </c>
      <c r="F34" s="8">
        <f>P28</f>
        <v>1199.5307213821682</v>
      </c>
    </row>
    <row r="35" spans="1:6" x14ac:dyDescent="0.15">
      <c r="A35" s="128">
        <v>39685</v>
      </c>
      <c r="B35" s="127">
        <v>18.350000000000001</v>
      </c>
      <c r="C35" s="8">
        <v>16.420000000000002</v>
      </c>
      <c r="D35" s="8">
        <f t="shared" si="0"/>
        <v>13.136000000000003</v>
      </c>
      <c r="E35" s="8" t="s">
        <v>576</v>
      </c>
      <c r="F35" s="8">
        <f>F34/(8%-2%)</f>
        <v>19992.178689702803</v>
      </c>
    </row>
    <row r="36" spans="1:6" x14ac:dyDescent="0.15">
      <c r="A36" s="128">
        <v>39692</v>
      </c>
      <c r="B36" s="127">
        <v>18.239999999999998</v>
      </c>
      <c r="C36" s="8">
        <v>16.420000000000002</v>
      </c>
      <c r="D36" s="8">
        <f t="shared" si="0"/>
        <v>13.136000000000003</v>
      </c>
      <c r="E36" s="8" t="s">
        <v>578</v>
      </c>
      <c r="F36" s="8">
        <f>F35*0.5</f>
        <v>9996.0893448514016</v>
      </c>
    </row>
    <row r="37" spans="1:6" x14ac:dyDescent="0.15">
      <c r="A37" s="128">
        <v>39699</v>
      </c>
      <c r="B37" s="127">
        <v>19.11</v>
      </c>
      <c r="C37" s="8">
        <v>16.420000000000002</v>
      </c>
      <c r="D37" s="8">
        <f t="shared" si="0"/>
        <v>13.136000000000003</v>
      </c>
    </row>
    <row r="38" spans="1:6" x14ac:dyDescent="0.15">
      <c r="A38" s="128">
        <v>39706</v>
      </c>
      <c r="B38" s="127">
        <v>17.88</v>
      </c>
      <c r="C38" s="8">
        <v>16.420000000000002</v>
      </c>
      <c r="D38" s="8">
        <f t="shared" si="0"/>
        <v>13.136000000000003</v>
      </c>
      <c r="E38" s="8" t="s">
        <v>580</v>
      </c>
      <c r="F38" s="8">
        <f>SUM(F32:O32)+F36</f>
        <v>16650.540775326619</v>
      </c>
    </row>
    <row r="39" spans="1:6" x14ac:dyDescent="0.15">
      <c r="A39" s="128">
        <v>39713</v>
      </c>
      <c r="B39" s="127">
        <v>17.61</v>
      </c>
      <c r="C39" s="8">
        <v>16.420000000000002</v>
      </c>
      <c r="D39" s="8">
        <f t="shared" si="0"/>
        <v>13.136000000000003</v>
      </c>
      <c r="E39" s="8" t="s">
        <v>582</v>
      </c>
      <c r="F39" s="8">
        <v>5274</v>
      </c>
    </row>
    <row r="40" spans="1:6" x14ac:dyDescent="0.15">
      <c r="A40" s="128">
        <v>39720</v>
      </c>
      <c r="B40" s="127">
        <v>16.62</v>
      </c>
      <c r="C40" s="8">
        <v>16.420000000000002</v>
      </c>
      <c r="D40" s="8">
        <f t="shared" si="0"/>
        <v>13.136000000000003</v>
      </c>
      <c r="E40" s="8" t="s">
        <v>554</v>
      </c>
      <c r="F40" s="8">
        <v>0</v>
      </c>
    </row>
    <row r="41" spans="1:6" x14ac:dyDescent="0.15">
      <c r="A41" s="128">
        <v>39727</v>
      </c>
      <c r="B41" s="127">
        <v>15.72</v>
      </c>
      <c r="C41" s="8">
        <v>16.420000000000002</v>
      </c>
      <c r="D41" s="8">
        <f t="shared" si="0"/>
        <v>13.136000000000003</v>
      </c>
      <c r="E41" s="8" t="s">
        <v>585</v>
      </c>
      <c r="F41" s="8">
        <f>F38-F39</f>
        <v>11376.540775326619</v>
      </c>
    </row>
    <row r="42" spans="1:6" x14ac:dyDescent="0.15">
      <c r="A42" s="128">
        <v>39734</v>
      </c>
      <c r="B42" s="127">
        <v>16.93</v>
      </c>
      <c r="C42" s="8">
        <v>16.420000000000002</v>
      </c>
      <c r="D42" s="8">
        <f t="shared" si="0"/>
        <v>13.136000000000003</v>
      </c>
      <c r="E42" s="8" t="s">
        <v>587</v>
      </c>
      <c r="F42" s="8">
        <v>430</v>
      </c>
    </row>
    <row r="43" spans="1:6" x14ac:dyDescent="0.15">
      <c r="A43" s="128">
        <v>39741</v>
      </c>
      <c r="B43" s="127">
        <v>16.2</v>
      </c>
      <c r="C43" s="8">
        <v>16.420000000000002</v>
      </c>
      <c r="D43" s="8">
        <f t="shared" si="0"/>
        <v>13.136000000000003</v>
      </c>
      <c r="E43" s="8" t="s">
        <v>589</v>
      </c>
      <c r="F43" s="8">
        <f>F41/F42</f>
        <v>26.45707157052702</v>
      </c>
    </row>
    <row r="44" spans="1:6" x14ac:dyDescent="0.15">
      <c r="A44" s="128">
        <v>39748</v>
      </c>
      <c r="B44" s="127">
        <v>17.02</v>
      </c>
      <c r="C44" s="8">
        <v>16.420000000000002</v>
      </c>
      <c r="D44" s="8">
        <f t="shared" si="0"/>
        <v>13.136000000000003</v>
      </c>
    </row>
    <row r="45" spans="1:6" x14ac:dyDescent="0.15">
      <c r="A45" s="128">
        <v>39755</v>
      </c>
      <c r="B45" s="127">
        <v>17.88</v>
      </c>
      <c r="C45" s="8">
        <v>16.420000000000002</v>
      </c>
      <c r="D45" s="8">
        <f t="shared" si="0"/>
        <v>13.136000000000003</v>
      </c>
    </row>
    <row r="46" spans="1:6" x14ac:dyDescent="0.15">
      <c r="A46" s="128">
        <v>39762</v>
      </c>
      <c r="B46" s="127">
        <v>18.2</v>
      </c>
      <c r="C46" s="8">
        <v>16.420000000000002</v>
      </c>
      <c r="D46" s="8">
        <f t="shared" si="0"/>
        <v>13.136000000000003</v>
      </c>
    </row>
    <row r="47" spans="1:6" x14ac:dyDescent="0.15">
      <c r="A47" s="128">
        <v>39769</v>
      </c>
      <c r="B47" s="127">
        <v>16.100000000000001</v>
      </c>
      <c r="C47" s="8">
        <v>16.420000000000002</v>
      </c>
      <c r="D47" s="8">
        <f t="shared" si="0"/>
        <v>13.136000000000003</v>
      </c>
      <c r="E47" s="8" t="s">
        <v>591</v>
      </c>
    </row>
    <row r="48" spans="1:6" x14ac:dyDescent="0.15">
      <c r="A48" s="128">
        <v>39776</v>
      </c>
      <c r="B48" s="127">
        <v>17.79</v>
      </c>
      <c r="C48" s="8">
        <v>16.420000000000002</v>
      </c>
      <c r="D48" s="8">
        <f t="shared" si="0"/>
        <v>13.136000000000003</v>
      </c>
    </row>
    <row r="49" spans="1:16" x14ac:dyDescent="0.15">
      <c r="A49" s="128">
        <v>39783</v>
      </c>
      <c r="B49" s="127">
        <v>17.5</v>
      </c>
      <c r="C49" s="8">
        <v>16.420000000000002</v>
      </c>
      <c r="D49" s="8">
        <f t="shared" si="0"/>
        <v>13.136000000000003</v>
      </c>
      <c r="E49" s="8" t="s">
        <v>555</v>
      </c>
      <c r="F49" s="8">
        <v>2008</v>
      </c>
      <c r="G49" s="8">
        <v>2009</v>
      </c>
      <c r="H49" s="8">
        <v>2010</v>
      </c>
      <c r="I49" s="8">
        <v>2011</v>
      </c>
      <c r="J49" s="8">
        <v>2012</v>
      </c>
      <c r="K49" s="8">
        <v>2013</v>
      </c>
      <c r="L49" s="8">
        <v>2014</v>
      </c>
      <c r="M49" s="8">
        <v>2015</v>
      </c>
      <c r="N49" s="8">
        <v>2016</v>
      </c>
      <c r="O49" s="8">
        <v>2017</v>
      </c>
    </row>
    <row r="50" spans="1:16" x14ac:dyDescent="0.15">
      <c r="A50" s="128">
        <v>39790</v>
      </c>
      <c r="B50" s="127">
        <v>17.329999999999998</v>
      </c>
      <c r="C50" s="8">
        <v>16.420000000000002</v>
      </c>
      <c r="D50" s="8">
        <f t="shared" si="0"/>
        <v>13.136000000000003</v>
      </c>
      <c r="E50" s="8" t="s">
        <v>551</v>
      </c>
      <c r="F50" s="8">
        <v>2996.3520000000003</v>
      </c>
      <c r="G50" s="8">
        <v>3236.0601600000005</v>
      </c>
      <c r="H50" s="8">
        <v>3494.9449728000009</v>
      </c>
      <c r="I50" s="8">
        <v>3774.5405706240012</v>
      </c>
      <c r="J50" s="8">
        <v>4076.5038162739215</v>
      </c>
      <c r="K50" s="8">
        <v>4402.6241215758355</v>
      </c>
      <c r="L50" s="8">
        <v>4754.8340513019029</v>
      </c>
      <c r="M50" s="8">
        <v>5135.2207754060555</v>
      </c>
      <c r="N50" s="8">
        <v>5546.0384374385403</v>
      </c>
      <c r="O50" s="8">
        <v>5989.7215124336235</v>
      </c>
      <c r="P50" s="8">
        <v>6468.8992334283139</v>
      </c>
    </row>
    <row r="51" spans="1:16" x14ac:dyDescent="0.15">
      <c r="A51" s="128">
        <v>39797</v>
      </c>
      <c r="B51" s="127">
        <v>17.22</v>
      </c>
      <c r="C51" s="8">
        <v>16.420000000000002</v>
      </c>
      <c r="D51" s="8">
        <f t="shared" si="0"/>
        <v>13.136000000000003</v>
      </c>
      <c r="E51" s="8" t="s">
        <v>25</v>
      </c>
      <c r="F51" s="8">
        <v>898.90560000000005</v>
      </c>
      <c r="G51" s="8">
        <v>970.81804800000009</v>
      </c>
      <c r="H51" s="8">
        <v>1048.4834918400002</v>
      </c>
      <c r="I51" s="8">
        <v>1132.3621711872004</v>
      </c>
      <c r="J51" s="8">
        <v>1222.9511448821763</v>
      </c>
      <c r="K51" s="8">
        <v>1320.7872364727507</v>
      </c>
      <c r="L51" s="8">
        <v>1426.4502153905707</v>
      </c>
      <c r="M51" s="8">
        <v>1540.5662326218167</v>
      </c>
      <c r="N51" s="8">
        <v>1663.811531231562</v>
      </c>
      <c r="O51" s="8">
        <v>1796.9164537300869</v>
      </c>
      <c r="P51" s="8">
        <v>1940.669770028494</v>
      </c>
    </row>
    <row r="52" spans="1:16" x14ac:dyDescent="0.15">
      <c r="A52" s="128">
        <v>39804</v>
      </c>
      <c r="B52" s="127">
        <v>17.23</v>
      </c>
      <c r="C52" s="8">
        <v>16.420000000000002</v>
      </c>
      <c r="D52" s="8">
        <f t="shared" si="0"/>
        <v>13.136000000000003</v>
      </c>
      <c r="E52" s="8" t="s">
        <v>557</v>
      </c>
      <c r="F52" s="8">
        <v>647.21203200000002</v>
      </c>
      <c r="G52" s="8">
        <v>698.98899456000004</v>
      </c>
      <c r="H52" s="8">
        <v>754.90811412480014</v>
      </c>
      <c r="I52" s="8">
        <v>815.30076325478421</v>
      </c>
      <c r="J52" s="8">
        <v>880.52482431516694</v>
      </c>
      <c r="K52" s="8">
        <v>950.9668102603805</v>
      </c>
      <c r="L52" s="8">
        <v>1027.0441550812109</v>
      </c>
      <c r="M52" s="8">
        <v>1109.207687487708</v>
      </c>
      <c r="N52" s="8">
        <v>1197.9443024867246</v>
      </c>
      <c r="O52" s="8">
        <v>1293.7798466856625</v>
      </c>
      <c r="P52" s="8">
        <v>1397.2822344205156</v>
      </c>
    </row>
    <row r="53" spans="1:16" x14ac:dyDescent="0.15">
      <c r="A53" s="128">
        <v>39811</v>
      </c>
      <c r="B53" s="127">
        <v>18</v>
      </c>
      <c r="C53" s="8">
        <v>16.420000000000002</v>
      </c>
      <c r="D53" s="8">
        <f t="shared" si="0"/>
        <v>13.136000000000003</v>
      </c>
      <c r="E53" s="8" t="s">
        <v>562</v>
      </c>
      <c r="F53" s="8">
        <v>485.71704000000005</v>
      </c>
      <c r="G53" s="8">
        <v>501.86653920000003</v>
      </c>
      <c r="H53" s="8">
        <v>521.5787847360001</v>
      </c>
      <c r="I53" s="8">
        <v>544.91171767488015</v>
      </c>
      <c r="J53" s="8">
        <v>571.95062223287061</v>
      </c>
      <c r="K53" s="8">
        <v>602.80804244110027</v>
      </c>
      <c r="L53" s="8">
        <v>637.62391922302834</v>
      </c>
      <c r="M53" s="8">
        <v>676.56594280884656</v>
      </c>
      <c r="N53" s="8">
        <v>719.83011727673272</v>
      </c>
      <c r="O53" s="8">
        <v>767.64153579773188</v>
      </c>
      <c r="P53" s="8">
        <v>820.25536688652494</v>
      </c>
    </row>
    <row r="54" spans="1:16" x14ac:dyDescent="0.15">
      <c r="A54" s="128">
        <v>39818</v>
      </c>
      <c r="B54" s="127">
        <v>16.850000000000001</v>
      </c>
      <c r="C54" s="8">
        <v>17.3</v>
      </c>
      <c r="D54" s="8">
        <f t="shared" si="0"/>
        <v>13.840000000000002</v>
      </c>
      <c r="E54" s="8" t="s">
        <v>549</v>
      </c>
      <c r="F54" s="8">
        <v>599.27040000000011</v>
      </c>
      <c r="G54" s="8">
        <v>647.21203200000014</v>
      </c>
      <c r="H54" s="8">
        <v>698.98899456000026</v>
      </c>
      <c r="I54" s="8">
        <v>754.90811412480025</v>
      </c>
      <c r="J54" s="8">
        <v>815.30076325478433</v>
      </c>
      <c r="K54" s="8">
        <v>880.52482431516717</v>
      </c>
      <c r="L54" s="8">
        <v>950.96681026038061</v>
      </c>
      <c r="M54" s="8">
        <v>1027.0441550812111</v>
      </c>
      <c r="N54" s="8">
        <v>1109.2076874877082</v>
      </c>
      <c r="O54" s="8">
        <v>1197.9443024867248</v>
      </c>
      <c r="P54" s="8">
        <v>1293.779846685663</v>
      </c>
    </row>
    <row r="55" spans="1:16" x14ac:dyDescent="0.15">
      <c r="A55" s="128">
        <v>39825</v>
      </c>
      <c r="B55" s="127">
        <v>17.43</v>
      </c>
      <c r="C55" s="8">
        <v>17.3</v>
      </c>
      <c r="D55" s="8">
        <f t="shared" si="0"/>
        <v>13.840000000000002</v>
      </c>
      <c r="E55" s="8" t="s">
        <v>565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</row>
    <row r="56" spans="1:16" x14ac:dyDescent="0.15">
      <c r="A56" s="128">
        <v>39832</v>
      </c>
      <c r="B56" s="127">
        <v>16.52</v>
      </c>
      <c r="C56" s="8">
        <v>17.3</v>
      </c>
      <c r="D56" s="8">
        <f t="shared" si="0"/>
        <v>13.840000000000002</v>
      </c>
      <c r="E56" s="8" t="s">
        <v>552</v>
      </c>
      <c r="F56" s="8">
        <v>533.65867200000002</v>
      </c>
      <c r="G56" s="8">
        <v>553.64350175999994</v>
      </c>
      <c r="H56" s="8">
        <v>577.49790430079997</v>
      </c>
      <c r="I56" s="8">
        <v>605.304366804864</v>
      </c>
      <c r="J56" s="8">
        <v>637.17468329325322</v>
      </c>
      <c r="K56" s="8">
        <v>673.2500283863136</v>
      </c>
      <c r="L56" s="8">
        <v>713.70126404385871</v>
      </c>
      <c r="M56" s="8">
        <v>758.72947521534343</v>
      </c>
      <c r="N56" s="8">
        <v>808.56673227574925</v>
      </c>
      <c r="O56" s="8">
        <v>863.47707999666932</v>
      </c>
      <c r="P56" s="8">
        <v>923.75775462137744</v>
      </c>
    </row>
    <row r="57" spans="1:16" x14ac:dyDescent="0.15">
      <c r="A57" s="128">
        <v>39839</v>
      </c>
      <c r="B57" s="127">
        <v>16.190000000000001</v>
      </c>
      <c r="C57" s="8">
        <v>17.3</v>
      </c>
      <c r="D57" s="8">
        <f t="shared" si="0"/>
        <v>13.840000000000002</v>
      </c>
    </row>
    <row r="58" spans="1:16" x14ac:dyDescent="0.15">
      <c r="A58" s="128">
        <v>39846</v>
      </c>
      <c r="B58" s="127">
        <v>16.690000000000001</v>
      </c>
      <c r="C58" s="8">
        <v>17.3</v>
      </c>
      <c r="D58" s="8">
        <f t="shared" si="0"/>
        <v>13.840000000000002</v>
      </c>
      <c r="E58" s="8" t="s">
        <v>569</v>
      </c>
      <c r="F58" s="8">
        <v>6.7699999999999996E-2</v>
      </c>
    </row>
    <row r="59" spans="1:16" x14ac:dyDescent="0.15">
      <c r="A59" s="128">
        <v>39853</v>
      </c>
      <c r="B59" s="127">
        <v>16.420000000000002</v>
      </c>
      <c r="C59" s="8">
        <v>17.3</v>
      </c>
      <c r="D59" s="8">
        <f t="shared" si="0"/>
        <v>13.840000000000002</v>
      </c>
      <c r="E59" s="8" t="s">
        <v>553</v>
      </c>
      <c r="F59" s="8">
        <v>0.93659267584527484</v>
      </c>
      <c r="G59" s="8">
        <v>0.877205840447012</v>
      </c>
      <c r="H59" s="8">
        <v>0.82158456537137015</v>
      </c>
      <c r="I59" s="8">
        <v>0.76949008651434869</v>
      </c>
      <c r="J59" s="8">
        <v>0.72069877916488589</v>
      </c>
      <c r="K59" s="8">
        <v>0.67500119805646319</v>
      </c>
      <c r="L59" s="8">
        <v>0.63220117828646916</v>
      </c>
      <c r="M59" s="8">
        <v>0.59211499324385986</v>
      </c>
      <c r="N59" s="8">
        <v>0.55457056593037346</v>
      </c>
      <c r="O59" s="8">
        <v>0.51940673028975692</v>
      </c>
      <c r="P59" s="8">
        <v>0.42</v>
      </c>
    </row>
    <row r="60" spans="1:16" x14ac:dyDescent="0.15">
      <c r="A60" s="128">
        <v>39861</v>
      </c>
      <c r="B60" s="127">
        <v>15</v>
      </c>
      <c r="C60" s="8">
        <v>17.3</v>
      </c>
      <c r="D60" s="8">
        <f t="shared" si="0"/>
        <v>13.840000000000002</v>
      </c>
      <c r="E60" s="8" t="s">
        <v>572</v>
      </c>
      <c r="F60" s="8">
        <v>499.82080359651587</v>
      </c>
      <c r="G60" s="8">
        <v>485.65931326940751</v>
      </c>
      <c r="H60" s="8">
        <v>474.46336470784985</v>
      </c>
      <c r="I60" s="8">
        <v>465.77570958018788</v>
      </c>
      <c r="J60" s="8">
        <v>459.21101636422043</v>
      </c>
      <c r="K60" s="8">
        <v>454.44457575230956</v>
      </c>
      <c r="L60" s="8">
        <v>451.2027800730699</v>
      </c>
      <c r="M60" s="8">
        <v>449.2550980910504</v>
      </c>
      <c r="N60" s="8">
        <v>448.40731031063501</v>
      </c>
      <c r="O60" s="8">
        <v>448.49580680121687</v>
      </c>
      <c r="P60" s="8">
        <v>387.9782569409785</v>
      </c>
    </row>
    <row r="61" spans="1:16" x14ac:dyDescent="0.15">
      <c r="A61" s="128">
        <v>39867</v>
      </c>
      <c r="B61" s="127">
        <v>15.35</v>
      </c>
      <c r="C61" s="8">
        <v>17.3</v>
      </c>
      <c r="D61" s="8">
        <f t="shared" si="0"/>
        <v>13.840000000000002</v>
      </c>
    </row>
    <row r="62" spans="1:16" x14ac:dyDescent="0.15">
      <c r="A62" s="128">
        <v>39874</v>
      </c>
      <c r="B62" s="127">
        <v>14.7</v>
      </c>
      <c r="C62" s="8">
        <v>17.3</v>
      </c>
      <c r="D62" s="8">
        <f t="shared" si="0"/>
        <v>13.840000000000002</v>
      </c>
      <c r="E62" s="8" t="s">
        <v>574</v>
      </c>
      <c r="F62" s="8">
        <v>923.75775462137744</v>
      </c>
    </row>
    <row r="63" spans="1:16" x14ac:dyDescent="0.15">
      <c r="A63" s="128">
        <v>39881</v>
      </c>
      <c r="B63" s="127">
        <v>15.28</v>
      </c>
      <c r="C63" s="8">
        <v>17.3</v>
      </c>
      <c r="D63" s="8">
        <f t="shared" si="0"/>
        <v>13.840000000000002</v>
      </c>
      <c r="E63" s="8" t="s">
        <v>576</v>
      </c>
      <c r="F63" s="8">
        <v>15395.962577022958</v>
      </c>
    </row>
    <row r="64" spans="1:16" x14ac:dyDescent="0.15">
      <c r="A64" s="128">
        <v>39888</v>
      </c>
      <c r="B64" s="127">
        <v>15.87</v>
      </c>
      <c r="C64" s="8">
        <v>17.3</v>
      </c>
      <c r="D64" s="8">
        <f t="shared" si="0"/>
        <v>13.840000000000002</v>
      </c>
      <c r="E64" s="8" t="s">
        <v>578</v>
      </c>
      <c r="F64" s="8">
        <v>7697.9812885114789</v>
      </c>
    </row>
    <row r="65" spans="1:16" x14ac:dyDescent="0.15">
      <c r="A65" s="128">
        <v>39895</v>
      </c>
      <c r="B65" s="127">
        <v>16.32</v>
      </c>
      <c r="C65" s="8">
        <v>17.3</v>
      </c>
      <c r="D65" s="8">
        <f t="shared" si="0"/>
        <v>13.840000000000002</v>
      </c>
    </row>
    <row r="66" spans="1:16" x14ac:dyDescent="0.15">
      <c r="A66" s="128">
        <v>39902</v>
      </c>
      <c r="B66" s="127">
        <v>15.93</v>
      </c>
      <c r="C66" s="8">
        <v>17.3</v>
      </c>
      <c r="D66" s="8">
        <f t="shared" si="0"/>
        <v>13.840000000000002</v>
      </c>
      <c r="E66" s="8" t="s">
        <v>580</v>
      </c>
      <c r="F66" s="8">
        <v>12334.717067057942</v>
      </c>
    </row>
    <row r="67" spans="1:16" x14ac:dyDescent="0.15">
      <c r="A67" s="128">
        <v>39909</v>
      </c>
      <c r="B67" s="127">
        <v>15.89</v>
      </c>
      <c r="C67" s="8">
        <v>17.3</v>
      </c>
      <c r="D67" s="8">
        <f t="shared" ref="D67:D130" si="11">C67*0.8</f>
        <v>13.840000000000002</v>
      </c>
      <c r="E67" s="8" t="s">
        <v>582</v>
      </c>
      <c r="F67" s="8">
        <v>5274</v>
      </c>
    </row>
    <row r="68" spans="1:16" x14ac:dyDescent="0.15">
      <c r="A68" s="128">
        <v>39916</v>
      </c>
      <c r="B68" s="127">
        <v>15.27</v>
      </c>
      <c r="C68" s="8">
        <v>17.3</v>
      </c>
      <c r="D68" s="8">
        <f t="shared" si="11"/>
        <v>13.840000000000002</v>
      </c>
      <c r="E68" s="8" t="s">
        <v>554</v>
      </c>
      <c r="F68" s="8">
        <v>0</v>
      </c>
    </row>
    <row r="69" spans="1:16" x14ac:dyDescent="0.15">
      <c r="A69" s="128">
        <v>39923</v>
      </c>
      <c r="B69" s="127">
        <v>15.01</v>
      </c>
      <c r="C69" s="8">
        <v>17.3</v>
      </c>
      <c r="D69" s="8">
        <f t="shared" si="11"/>
        <v>13.840000000000002</v>
      </c>
      <c r="E69" s="8" t="s">
        <v>585</v>
      </c>
      <c r="F69" s="8">
        <v>7060.7170670579417</v>
      </c>
    </row>
    <row r="70" spans="1:16" x14ac:dyDescent="0.15">
      <c r="A70" s="128">
        <v>39930</v>
      </c>
      <c r="B70" s="127">
        <v>15.2</v>
      </c>
      <c r="C70" s="8">
        <v>17.3</v>
      </c>
      <c r="D70" s="8">
        <f t="shared" si="11"/>
        <v>13.840000000000002</v>
      </c>
      <c r="E70" s="8" t="s">
        <v>587</v>
      </c>
      <c r="F70" s="8">
        <v>430</v>
      </c>
    </row>
    <row r="71" spans="1:16" x14ac:dyDescent="0.15">
      <c r="A71" s="128">
        <v>39937</v>
      </c>
      <c r="B71" s="127">
        <v>15.89</v>
      </c>
      <c r="C71" s="8">
        <v>17.3</v>
      </c>
      <c r="D71" s="8">
        <f t="shared" si="11"/>
        <v>13.840000000000002</v>
      </c>
      <c r="E71" s="8" t="s">
        <v>589</v>
      </c>
      <c r="F71" s="8">
        <v>16.420272248971958</v>
      </c>
    </row>
    <row r="72" spans="1:16" x14ac:dyDescent="0.15">
      <c r="A72" s="128">
        <v>39944</v>
      </c>
      <c r="B72" s="127">
        <v>15.48</v>
      </c>
      <c r="C72" s="8">
        <v>17.3</v>
      </c>
      <c r="D72" s="8">
        <f t="shared" si="11"/>
        <v>13.840000000000002</v>
      </c>
    </row>
    <row r="73" spans="1:16" x14ac:dyDescent="0.15">
      <c r="A73" s="128">
        <v>39951</v>
      </c>
      <c r="B73" s="127">
        <v>15.69</v>
      </c>
      <c r="C73" s="8">
        <v>17.3</v>
      </c>
      <c r="D73" s="8">
        <f t="shared" si="11"/>
        <v>13.840000000000002</v>
      </c>
    </row>
    <row r="74" spans="1:16" x14ac:dyDescent="0.15">
      <c r="A74" s="128">
        <v>39958</v>
      </c>
      <c r="B74" s="127">
        <v>15.61</v>
      </c>
      <c r="C74" s="8">
        <v>17.3</v>
      </c>
      <c r="D74" s="8">
        <f t="shared" si="11"/>
        <v>13.840000000000002</v>
      </c>
    </row>
    <row r="75" spans="1:16" x14ac:dyDescent="0.15">
      <c r="A75" s="128">
        <v>39965</v>
      </c>
      <c r="B75" s="127">
        <v>15.67</v>
      </c>
      <c r="C75" s="8">
        <v>17.3</v>
      </c>
      <c r="D75" s="8">
        <f t="shared" si="11"/>
        <v>13.840000000000002</v>
      </c>
      <c r="E75" s="8" t="s">
        <v>591</v>
      </c>
    </row>
    <row r="76" spans="1:16" x14ac:dyDescent="0.15">
      <c r="A76" s="128">
        <v>39972</v>
      </c>
      <c r="B76" s="127">
        <v>15.75</v>
      </c>
      <c r="C76" s="8">
        <v>17.3</v>
      </c>
      <c r="D76" s="8">
        <f t="shared" si="11"/>
        <v>13.840000000000002</v>
      </c>
    </row>
    <row r="77" spans="1:16" x14ac:dyDescent="0.15">
      <c r="A77" s="128">
        <v>39979</v>
      </c>
      <c r="B77" s="127">
        <v>16.16</v>
      </c>
      <c r="C77" s="8">
        <v>17.3</v>
      </c>
      <c r="D77" s="8">
        <f t="shared" si="11"/>
        <v>13.840000000000002</v>
      </c>
      <c r="E77" s="8" t="s">
        <v>555</v>
      </c>
      <c r="F77" s="8">
        <v>2009</v>
      </c>
      <c r="G77" s="8">
        <v>2010</v>
      </c>
      <c r="H77" s="8">
        <v>2011</v>
      </c>
      <c r="I77" s="8">
        <v>2012</v>
      </c>
      <c r="J77" s="8">
        <v>2013</v>
      </c>
      <c r="K77" s="8">
        <v>2014</v>
      </c>
      <c r="L77" s="8">
        <v>2015</v>
      </c>
      <c r="M77" s="8">
        <v>2016</v>
      </c>
      <c r="N77" s="8">
        <v>2017</v>
      </c>
      <c r="O77" s="8">
        <v>2018</v>
      </c>
    </row>
    <row r="78" spans="1:16" x14ac:dyDescent="0.15">
      <c r="A78" s="128">
        <v>39986</v>
      </c>
      <c r="B78" s="127">
        <v>16.38</v>
      </c>
      <c r="C78" s="8">
        <v>17.3</v>
      </c>
      <c r="D78" s="8">
        <f t="shared" si="11"/>
        <v>13.840000000000002</v>
      </c>
      <c r="E78" s="8" t="s">
        <v>551</v>
      </c>
      <c r="F78" s="8">
        <v>3353.2920000000004</v>
      </c>
      <c r="G78" s="8">
        <v>3621.5553600000007</v>
      </c>
      <c r="H78" s="8">
        <v>3911.2797888000009</v>
      </c>
      <c r="I78" s="8">
        <v>4224.1821719040008</v>
      </c>
      <c r="J78" s="8">
        <v>4562.1167456563207</v>
      </c>
      <c r="K78" s="8">
        <v>4927.086085308827</v>
      </c>
      <c r="L78" s="8">
        <v>5321.2529721335331</v>
      </c>
      <c r="M78" s="8">
        <v>5746.9532099042162</v>
      </c>
      <c r="N78" s="8">
        <v>6206.709466696554</v>
      </c>
      <c r="O78" s="8">
        <v>6703.2462240322784</v>
      </c>
      <c r="P78" s="8">
        <v>7239.5059219548612</v>
      </c>
    </row>
    <row r="79" spans="1:16" x14ac:dyDescent="0.15">
      <c r="A79" s="128">
        <v>39993</v>
      </c>
      <c r="B79" s="127">
        <v>15.94</v>
      </c>
      <c r="C79" s="8">
        <v>17.3</v>
      </c>
      <c r="D79" s="8">
        <f t="shared" si="11"/>
        <v>13.840000000000002</v>
      </c>
      <c r="E79" s="8" t="s">
        <v>25</v>
      </c>
      <c r="F79" s="8">
        <v>1005.9876</v>
      </c>
      <c r="G79" s="8">
        <v>1086.4666080000002</v>
      </c>
      <c r="H79" s="8">
        <v>1173.3839366400002</v>
      </c>
      <c r="I79" s="8">
        <v>1267.2546515712002</v>
      </c>
      <c r="J79" s="8">
        <v>1368.6350236968963</v>
      </c>
      <c r="K79" s="8">
        <v>1478.125825592648</v>
      </c>
      <c r="L79" s="8">
        <v>1596.37589164006</v>
      </c>
      <c r="M79" s="8">
        <v>1724.0859629712647</v>
      </c>
      <c r="N79" s="8">
        <v>1862.0128400089661</v>
      </c>
      <c r="O79" s="8">
        <v>2010.9738672096835</v>
      </c>
      <c r="P79" s="8">
        <v>2171.8517765864581</v>
      </c>
    </row>
    <row r="80" spans="1:16" x14ac:dyDescent="0.15">
      <c r="A80" s="128">
        <v>40000</v>
      </c>
      <c r="B80" s="127">
        <v>14.91</v>
      </c>
      <c r="C80" s="8">
        <v>17.3</v>
      </c>
      <c r="D80" s="8">
        <f t="shared" si="11"/>
        <v>13.840000000000002</v>
      </c>
      <c r="E80" s="8" t="s">
        <v>557</v>
      </c>
      <c r="F80" s="8">
        <v>724.31107199999997</v>
      </c>
      <c r="G80" s="8">
        <v>782.25595776000011</v>
      </c>
      <c r="H80" s="8">
        <v>844.83643438080014</v>
      </c>
      <c r="I80" s="8">
        <v>912.4233491312641</v>
      </c>
      <c r="J80" s="8">
        <v>985.41721706176531</v>
      </c>
      <c r="K80" s="8">
        <v>1064.2505944267066</v>
      </c>
      <c r="L80" s="8">
        <v>1149.3906419808432</v>
      </c>
      <c r="M80" s="8">
        <v>1241.3418933393107</v>
      </c>
      <c r="N80" s="8">
        <v>1340.6492448064555</v>
      </c>
      <c r="O80" s="8">
        <v>1447.901184390972</v>
      </c>
      <c r="P80" s="8">
        <v>1563.7332791422498</v>
      </c>
    </row>
    <row r="81" spans="1:16" x14ac:dyDescent="0.15">
      <c r="A81" s="128">
        <v>40007</v>
      </c>
      <c r="B81" s="127">
        <v>15.62</v>
      </c>
      <c r="C81" s="8">
        <v>17.3</v>
      </c>
      <c r="D81" s="8">
        <f t="shared" si="11"/>
        <v>13.840000000000002</v>
      </c>
      <c r="E81" s="8" t="s">
        <v>562</v>
      </c>
      <c r="F81" s="8">
        <v>721.72583999999995</v>
      </c>
      <c r="G81" s="8">
        <v>721.98436319999996</v>
      </c>
      <c r="H81" s="8">
        <v>728.01152265600001</v>
      </c>
      <c r="I81" s="8">
        <v>739.69401382848002</v>
      </c>
      <c r="J81" s="8">
        <v>756.96694735875849</v>
      </c>
      <c r="K81" s="8">
        <v>779.81197432905924</v>
      </c>
      <c r="L81" s="8">
        <v>808.255836338824</v>
      </c>
      <c r="M81" s="8">
        <v>842.36931690302595</v>
      </c>
      <c r="N81" s="8">
        <v>882.2665745466544</v>
      </c>
      <c r="O81" s="8">
        <v>928.10484157263454</v>
      </c>
      <c r="P81" s="8">
        <v>980.08447585446834</v>
      </c>
    </row>
    <row r="82" spans="1:16" x14ac:dyDescent="0.15">
      <c r="A82" s="128">
        <v>40014</v>
      </c>
      <c r="B82" s="127">
        <v>15.67</v>
      </c>
      <c r="C82" s="8">
        <v>17.3</v>
      </c>
      <c r="D82" s="8">
        <f t="shared" si="11"/>
        <v>13.840000000000002</v>
      </c>
      <c r="E82" s="8" t="s">
        <v>549</v>
      </c>
      <c r="F82" s="8">
        <v>670.65840000000014</v>
      </c>
      <c r="G82" s="8">
        <v>724.31107200000019</v>
      </c>
      <c r="H82" s="8">
        <v>782.25595776000023</v>
      </c>
      <c r="I82" s="8">
        <v>844.83643438080026</v>
      </c>
      <c r="J82" s="8">
        <v>912.42334913126422</v>
      </c>
      <c r="K82" s="8">
        <v>985.41721706176543</v>
      </c>
      <c r="L82" s="8">
        <v>1064.2505944267066</v>
      </c>
      <c r="M82" s="8">
        <v>1149.3906419808434</v>
      </c>
      <c r="N82" s="8">
        <v>1241.3418933393109</v>
      </c>
      <c r="O82" s="8">
        <v>1340.6492448064557</v>
      </c>
      <c r="P82" s="8">
        <v>1447.9011843909723</v>
      </c>
    </row>
    <row r="83" spans="1:16" x14ac:dyDescent="0.15">
      <c r="A83" s="128">
        <v>40021</v>
      </c>
      <c r="B83" s="127">
        <v>15.73</v>
      </c>
      <c r="C83" s="8">
        <v>17.3</v>
      </c>
      <c r="D83" s="8">
        <f t="shared" si="11"/>
        <v>13.840000000000002</v>
      </c>
      <c r="E83" s="8" t="s">
        <v>565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</row>
    <row r="84" spans="1:16" x14ac:dyDescent="0.15">
      <c r="A84" s="128">
        <v>40028</v>
      </c>
      <c r="B84" s="127">
        <v>15.75</v>
      </c>
      <c r="C84" s="8">
        <v>17.3</v>
      </c>
      <c r="D84" s="8">
        <f t="shared" si="11"/>
        <v>13.840000000000002</v>
      </c>
      <c r="E84" s="8" t="s">
        <v>552</v>
      </c>
      <c r="F84" s="8">
        <v>775.37851199999989</v>
      </c>
      <c r="G84" s="8">
        <v>779.92924896</v>
      </c>
      <c r="H84" s="8">
        <v>790.59199927679992</v>
      </c>
      <c r="I84" s="8">
        <v>807.28092857894399</v>
      </c>
      <c r="J84" s="8">
        <v>829.96081528925959</v>
      </c>
      <c r="K84" s="8">
        <v>858.6453516940004</v>
      </c>
      <c r="L84" s="8">
        <v>893.39588389296046</v>
      </c>
      <c r="M84" s="8">
        <v>934.32056826149324</v>
      </c>
      <c r="N84" s="8">
        <v>981.57392601379888</v>
      </c>
      <c r="O84" s="8">
        <v>1035.3567811571509</v>
      </c>
      <c r="P84" s="8">
        <v>1095.9165706057458</v>
      </c>
    </row>
    <row r="85" spans="1:16" x14ac:dyDescent="0.15">
      <c r="A85" s="128">
        <v>40035</v>
      </c>
      <c r="B85" s="127">
        <v>15.63</v>
      </c>
      <c r="C85" s="8">
        <v>17.3</v>
      </c>
      <c r="D85" s="8">
        <f t="shared" si="11"/>
        <v>13.840000000000002</v>
      </c>
    </row>
    <row r="86" spans="1:16" x14ac:dyDescent="0.15">
      <c r="A86" s="128">
        <v>40042</v>
      </c>
      <c r="B86" s="127">
        <v>15.57</v>
      </c>
      <c r="C86" s="8">
        <v>17.3</v>
      </c>
      <c r="D86" s="8">
        <f t="shared" si="11"/>
        <v>13.840000000000002</v>
      </c>
      <c r="E86" s="8" t="s">
        <v>569</v>
      </c>
      <c r="F86" s="8">
        <v>6.7699999999999996E-2</v>
      </c>
    </row>
    <row r="87" spans="1:16" x14ac:dyDescent="0.15">
      <c r="A87" s="128">
        <v>40049</v>
      </c>
      <c r="B87" s="127">
        <v>15.39</v>
      </c>
      <c r="C87" s="8">
        <v>17.3</v>
      </c>
      <c r="D87" s="8">
        <f t="shared" si="11"/>
        <v>13.840000000000002</v>
      </c>
      <c r="E87" s="8" t="s">
        <v>553</v>
      </c>
      <c r="F87" s="8">
        <v>0.93659267584527484</v>
      </c>
      <c r="G87" s="8">
        <v>0.877205840447012</v>
      </c>
      <c r="H87" s="8">
        <v>0.82158456537137015</v>
      </c>
      <c r="I87" s="8">
        <v>0.76949008651434869</v>
      </c>
      <c r="J87" s="8">
        <v>0.72069877916488589</v>
      </c>
      <c r="K87" s="8">
        <v>0.67500119805646319</v>
      </c>
      <c r="L87" s="8">
        <v>0.63220117828646916</v>
      </c>
      <c r="M87" s="8">
        <v>0.59211499324385986</v>
      </c>
      <c r="N87" s="8">
        <v>0.55457056593037346</v>
      </c>
      <c r="O87" s="8">
        <v>0.51940673028975692</v>
      </c>
      <c r="P87" s="8">
        <v>0.42</v>
      </c>
    </row>
    <row r="88" spans="1:16" x14ac:dyDescent="0.15">
      <c r="A88" s="128">
        <v>40056</v>
      </c>
      <c r="B88" s="127">
        <v>15.87</v>
      </c>
      <c r="C88" s="8">
        <v>17.3</v>
      </c>
      <c r="D88" s="8">
        <f t="shared" si="11"/>
        <v>13.840000000000002</v>
      </c>
      <c r="E88" s="8" t="s">
        <v>572</v>
      </c>
      <c r="F88" s="8">
        <v>726.21383534700749</v>
      </c>
      <c r="G88" s="8">
        <v>684.15849232316361</v>
      </c>
      <c r="H88" s="8">
        <v>649.5381841119123</v>
      </c>
      <c r="I88" s="8">
        <v>621.19467157359531</v>
      </c>
      <c r="J88" s="8">
        <v>598.1517463336628</v>
      </c>
      <c r="K88" s="8">
        <v>579.5866410990634</v>
      </c>
      <c r="L88" s="8">
        <v>564.80593047341119</v>
      </c>
      <c r="M88" s="8">
        <v>553.22521696375338</v>
      </c>
      <c r="N88" s="8">
        <v>544.35200765197101</v>
      </c>
      <c r="O88" s="8">
        <v>537.77128038416311</v>
      </c>
      <c r="P88" s="8">
        <v>460.28495965441323</v>
      </c>
    </row>
    <row r="89" spans="1:16" x14ac:dyDescent="0.15">
      <c r="A89" s="128">
        <v>40063</v>
      </c>
      <c r="B89" s="127">
        <v>15.88</v>
      </c>
      <c r="C89" s="8">
        <v>17.3</v>
      </c>
      <c r="D89" s="8">
        <f t="shared" si="11"/>
        <v>13.840000000000002</v>
      </c>
    </row>
    <row r="90" spans="1:16" x14ac:dyDescent="0.15">
      <c r="A90" s="128">
        <v>40070</v>
      </c>
      <c r="B90" s="127">
        <v>16.420000000000002</v>
      </c>
      <c r="C90" s="8">
        <v>17.3</v>
      </c>
      <c r="D90" s="8">
        <f t="shared" si="11"/>
        <v>13.840000000000002</v>
      </c>
      <c r="E90" s="8" t="s">
        <v>574</v>
      </c>
      <c r="F90" s="8">
        <v>1095.9165706057458</v>
      </c>
    </row>
    <row r="91" spans="1:16" x14ac:dyDescent="0.15">
      <c r="A91" s="128">
        <v>40077</v>
      </c>
      <c r="B91" s="127">
        <v>15.96</v>
      </c>
      <c r="C91" s="8">
        <v>17.3</v>
      </c>
      <c r="D91" s="8">
        <f t="shared" si="11"/>
        <v>13.840000000000002</v>
      </c>
      <c r="E91" s="8" t="s">
        <v>576</v>
      </c>
      <c r="F91" s="8">
        <v>18265.276176762432</v>
      </c>
    </row>
    <row r="92" spans="1:16" x14ac:dyDescent="0.15">
      <c r="A92" s="128">
        <v>40084</v>
      </c>
      <c r="B92" s="127">
        <v>16.04</v>
      </c>
      <c r="C92" s="8">
        <v>17.3</v>
      </c>
      <c r="D92" s="8">
        <f t="shared" si="11"/>
        <v>13.840000000000002</v>
      </c>
      <c r="E92" s="8" t="s">
        <v>578</v>
      </c>
      <c r="F92" s="8">
        <v>9132.6380883812162</v>
      </c>
    </row>
    <row r="93" spans="1:16" x14ac:dyDescent="0.15">
      <c r="A93" s="128">
        <v>40091</v>
      </c>
      <c r="B93" s="127">
        <v>16.79</v>
      </c>
      <c r="C93" s="8">
        <v>17.3</v>
      </c>
      <c r="D93" s="8">
        <f t="shared" si="11"/>
        <v>13.840000000000002</v>
      </c>
    </row>
    <row r="94" spans="1:16" x14ac:dyDescent="0.15">
      <c r="A94" s="128">
        <v>40099</v>
      </c>
      <c r="B94" s="127">
        <v>16.760000000000002</v>
      </c>
      <c r="C94" s="8">
        <v>17.3</v>
      </c>
      <c r="D94" s="8">
        <f t="shared" si="11"/>
        <v>13.840000000000002</v>
      </c>
      <c r="E94" s="8" t="s">
        <v>580</v>
      </c>
      <c r="F94" s="8">
        <v>15191.636094642919</v>
      </c>
    </row>
    <row r="95" spans="1:16" x14ac:dyDescent="0.15">
      <c r="A95" s="128">
        <v>40105</v>
      </c>
      <c r="B95" s="127">
        <v>16.78</v>
      </c>
      <c r="C95" s="8">
        <v>17.3</v>
      </c>
      <c r="D95" s="8">
        <f t="shared" si="11"/>
        <v>13.840000000000002</v>
      </c>
      <c r="E95" s="8" t="s">
        <v>582</v>
      </c>
      <c r="F95" s="8">
        <v>5274</v>
      </c>
    </row>
    <row r="96" spans="1:16" x14ac:dyDescent="0.15">
      <c r="A96" s="128">
        <v>40112</v>
      </c>
      <c r="B96" s="127">
        <v>16.190000000000001</v>
      </c>
      <c r="C96" s="8">
        <v>17.3</v>
      </c>
      <c r="D96" s="8">
        <f t="shared" si="11"/>
        <v>13.840000000000002</v>
      </c>
      <c r="E96" s="8" t="s">
        <v>554</v>
      </c>
      <c r="F96" s="8">
        <v>0</v>
      </c>
    </row>
    <row r="97" spans="1:16" x14ac:dyDescent="0.15">
      <c r="A97" s="128">
        <v>40119</v>
      </c>
      <c r="B97" s="127">
        <v>16.690000000000001</v>
      </c>
      <c r="C97" s="8">
        <v>17.3</v>
      </c>
      <c r="D97" s="8">
        <f t="shared" si="11"/>
        <v>13.840000000000002</v>
      </c>
      <c r="E97" s="8" t="s">
        <v>585</v>
      </c>
      <c r="F97" s="8">
        <v>9917.6360946429195</v>
      </c>
    </row>
    <row r="98" spans="1:16" x14ac:dyDescent="0.15">
      <c r="A98" s="128">
        <v>40126</v>
      </c>
      <c r="B98" s="127">
        <v>16.63</v>
      </c>
      <c r="C98" s="8">
        <v>17.3</v>
      </c>
      <c r="D98" s="8">
        <f t="shared" si="11"/>
        <v>13.840000000000002</v>
      </c>
      <c r="E98" s="8" t="s">
        <v>587</v>
      </c>
      <c r="F98" s="8">
        <v>430</v>
      </c>
    </row>
    <row r="99" spans="1:16" x14ac:dyDescent="0.15">
      <c r="A99" s="128">
        <v>40133</v>
      </c>
      <c r="B99" s="127">
        <v>16.82</v>
      </c>
      <c r="C99" s="8">
        <v>17.3</v>
      </c>
      <c r="D99" s="8">
        <f t="shared" si="11"/>
        <v>13.840000000000002</v>
      </c>
      <c r="E99" s="8" t="s">
        <v>589</v>
      </c>
      <c r="F99" s="8">
        <v>17.3</v>
      </c>
    </row>
    <row r="100" spans="1:16" x14ac:dyDescent="0.15">
      <c r="A100" s="128">
        <v>40140</v>
      </c>
      <c r="B100" s="127">
        <v>17.28</v>
      </c>
      <c r="C100" s="8">
        <v>17.3</v>
      </c>
      <c r="D100" s="8">
        <f t="shared" si="11"/>
        <v>13.840000000000002</v>
      </c>
    </row>
    <row r="101" spans="1:16" x14ac:dyDescent="0.15">
      <c r="A101" s="128">
        <v>40147</v>
      </c>
      <c r="B101" s="127">
        <v>17.920000000000002</v>
      </c>
      <c r="C101" s="8">
        <v>17.3</v>
      </c>
      <c r="D101" s="8">
        <f t="shared" si="11"/>
        <v>13.840000000000002</v>
      </c>
    </row>
    <row r="102" spans="1:16" x14ac:dyDescent="0.15">
      <c r="A102" s="128">
        <v>40154</v>
      </c>
      <c r="B102" s="127">
        <v>18.43</v>
      </c>
      <c r="C102" s="8">
        <v>17.3</v>
      </c>
      <c r="D102" s="8">
        <f t="shared" si="11"/>
        <v>13.840000000000002</v>
      </c>
      <c r="E102" s="8" t="s">
        <v>591</v>
      </c>
    </row>
    <row r="103" spans="1:16" x14ac:dyDescent="0.15">
      <c r="A103" s="128">
        <v>40161</v>
      </c>
      <c r="B103" s="127">
        <v>18.649999999999999</v>
      </c>
      <c r="C103" s="8">
        <v>17.3</v>
      </c>
      <c r="D103" s="8">
        <f t="shared" si="11"/>
        <v>13.840000000000002</v>
      </c>
    </row>
    <row r="104" spans="1:16" x14ac:dyDescent="0.15">
      <c r="A104" s="128">
        <v>40168</v>
      </c>
      <c r="B104" s="127">
        <v>18.260000000000002</v>
      </c>
      <c r="C104" s="8">
        <v>17.3</v>
      </c>
      <c r="D104" s="8">
        <f t="shared" si="11"/>
        <v>13.840000000000002</v>
      </c>
      <c r="E104" s="8" t="s">
        <v>555</v>
      </c>
      <c r="F104" s="8">
        <v>2009</v>
      </c>
      <c r="G104" s="8">
        <v>2010</v>
      </c>
      <c r="H104" s="8">
        <v>2011</v>
      </c>
      <c r="I104" s="8">
        <v>2012</v>
      </c>
      <c r="J104" s="8">
        <v>2013</v>
      </c>
      <c r="K104" s="8">
        <v>2014</v>
      </c>
      <c r="L104" s="8">
        <v>2015</v>
      </c>
      <c r="M104" s="8">
        <v>2016</v>
      </c>
      <c r="N104" s="8">
        <v>2017</v>
      </c>
      <c r="O104" s="8">
        <v>2018</v>
      </c>
    </row>
    <row r="105" spans="1:16" x14ac:dyDescent="0.15">
      <c r="A105" s="128">
        <v>40176</v>
      </c>
      <c r="B105" s="127">
        <v>18.350000000000001</v>
      </c>
      <c r="C105" s="8">
        <v>17.3</v>
      </c>
      <c r="D105" s="8">
        <f t="shared" si="11"/>
        <v>13.840000000000002</v>
      </c>
      <c r="E105" s="8" t="s">
        <v>551</v>
      </c>
      <c r="F105" s="8">
        <v>3662.1720000000005</v>
      </c>
      <c r="G105" s="8">
        <v>3955.1457600000008</v>
      </c>
      <c r="H105" s="8">
        <v>4271.5574208000007</v>
      </c>
      <c r="I105" s="8">
        <v>4613.2820144640009</v>
      </c>
      <c r="J105" s="8">
        <v>4982.3445756211213</v>
      </c>
      <c r="K105" s="8">
        <v>5380.9321416708117</v>
      </c>
      <c r="L105" s="8">
        <v>5811.4067130044768</v>
      </c>
      <c r="M105" s="8">
        <v>6276.3192500448358</v>
      </c>
      <c r="N105" s="8">
        <v>6778.4247900484233</v>
      </c>
      <c r="O105" s="8">
        <v>7320.6987732522975</v>
      </c>
      <c r="P105" s="8">
        <v>7906.3546751124823</v>
      </c>
    </row>
    <row r="106" spans="1:16" x14ac:dyDescent="0.15">
      <c r="A106" s="128">
        <v>40182</v>
      </c>
      <c r="B106" s="127">
        <v>17.62</v>
      </c>
      <c r="C106" s="8">
        <v>18.100000000000001</v>
      </c>
      <c r="D106" s="8">
        <f t="shared" si="11"/>
        <v>14.480000000000002</v>
      </c>
      <c r="E106" s="8" t="s">
        <v>25</v>
      </c>
      <c r="F106" s="8">
        <v>1098.6516000000001</v>
      </c>
      <c r="G106" s="8">
        <v>1186.5437280000001</v>
      </c>
      <c r="H106" s="8">
        <v>1281.4672262400002</v>
      </c>
      <c r="I106" s="8">
        <v>1383.9846043392001</v>
      </c>
      <c r="J106" s="8">
        <v>1494.7033726863363</v>
      </c>
      <c r="K106" s="8">
        <v>1614.2796425012434</v>
      </c>
      <c r="L106" s="8">
        <v>1743.422013901343</v>
      </c>
      <c r="M106" s="8">
        <v>1882.8957750134507</v>
      </c>
      <c r="N106" s="8">
        <v>2033.5274370145269</v>
      </c>
      <c r="O106" s="8">
        <v>2196.2096319756893</v>
      </c>
      <c r="P106" s="8">
        <v>2371.9064025337448</v>
      </c>
    </row>
    <row r="107" spans="1:16" x14ac:dyDescent="0.15">
      <c r="A107" s="128">
        <v>40189</v>
      </c>
      <c r="B107" s="127">
        <v>17.21</v>
      </c>
      <c r="C107" s="8">
        <v>18.100000000000001</v>
      </c>
      <c r="D107" s="8">
        <f t="shared" si="11"/>
        <v>14.480000000000002</v>
      </c>
      <c r="E107" s="8" t="s">
        <v>557</v>
      </c>
      <c r="F107" s="8">
        <v>791.02915200000007</v>
      </c>
      <c r="G107" s="8">
        <v>854.31148416000008</v>
      </c>
      <c r="H107" s="8">
        <v>922.65640289280009</v>
      </c>
      <c r="I107" s="8">
        <v>996.46891512422405</v>
      </c>
      <c r="J107" s="8">
        <v>1076.186428334162</v>
      </c>
      <c r="K107" s="8">
        <v>1162.2813426008952</v>
      </c>
      <c r="L107" s="8">
        <v>1255.263850008967</v>
      </c>
      <c r="M107" s="8">
        <v>1355.6849580096844</v>
      </c>
      <c r="N107" s="8">
        <v>1464.1397546504593</v>
      </c>
      <c r="O107" s="8">
        <v>1581.2709350224961</v>
      </c>
      <c r="P107" s="8">
        <v>1707.7726098242961</v>
      </c>
    </row>
    <row r="108" spans="1:16" x14ac:dyDescent="0.15">
      <c r="A108" s="128">
        <v>40196</v>
      </c>
      <c r="B108" s="127">
        <v>17.25</v>
      </c>
      <c r="C108" s="8">
        <v>18.100000000000001</v>
      </c>
      <c r="D108" s="8">
        <f t="shared" si="11"/>
        <v>14.480000000000002</v>
      </c>
      <c r="E108" s="8" t="s">
        <v>562</v>
      </c>
      <c r="F108" s="8">
        <v>795.85343999999998</v>
      </c>
      <c r="G108" s="8">
        <v>795.3710112</v>
      </c>
      <c r="H108" s="8">
        <v>801.26505849600005</v>
      </c>
      <c r="I108" s="8">
        <v>813.40419293568004</v>
      </c>
      <c r="J108" s="8">
        <v>831.71066515453447</v>
      </c>
      <c r="K108" s="8">
        <v>856.15824147249725</v>
      </c>
      <c r="L108" s="8">
        <v>886.7705515853371</v>
      </c>
      <c r="M108" s="8">
        <v>923.61988142770008</v>
      </c>
      <c r="N108" s="8">
        <v>966.82638908589854</v>
      </c>
      <c r="O108" s="8">
        <v>1016.5577256423546</v>
      </c>
      <c r="P108" s="8">
        <v>1073.0290465803689</v>
      </c>
    </row>
    <row r="109" spans="1:16" x14ac:dyDescent="0.15">
      <c r="A109" s="128">
        <v>40203</v>
      </c>
      <c r="B109" s="127">
        <v>16.91</v>
      </c>
      <c r="C109" s="8">
        <v>18.100000000000001</v>
      </c>
      <c r="D109" s="8">
        <f t="shared" si="11"/>
        <v>14.480000000000002</v>
      </c>
      <c r="E109" s="8" t="s">
        <v>549</v>
      </c>
      <c r="F109" s="8">
        <v>732.4344000000001</v>
      </c>
      <c r="G109" s="8">
        <v>791.02915200000018</v>
      </c>
      <c r="H109" s="8">
        <v>854.31148416000019</v>
      </c>
      <c r="I109" s="8">
        <v>922.6564028928002</v>
      </c>
      <c r="J109" s="8">
        <v>996.46891512422428</v>
      </c>
      <c r="K109" s="8">
        <v>1076.1864283341624</v>
      </c>
      <c r="L109" s="8">
        <v>1162.2813426008954</v>
      </c>
      <c r="M109" s="8">
        <v>1255.2638500089672</v>
      </c>
      <c r="N109" s="8">
        <v>1355.6849580096848</v>
      </c>
      <c r="O109" s="8">
        <v>1464.1397546504595</v>
      </c>
      <c r="P109" s="8">
        <v>1581.2709350224966</v>
      </c>
    </row>
    <row r="110" spans="1:16" x14ac:dyDescent="0.15">
      <c r="A110" s="128">
        <v>40210</v>
      </c>
      <c r="B110" s="127">
        <v>16.77</v>
      </c>
      <c r="C110" s="8">
        <v>18.100000000000001</v>
      </c>
      <c r="D110" s="8">
        <f t="shared" si="11"/>
        <v>14.480000000000002</v>
      </c>
      <c r="E110" s="8" t="s">
        <v>565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</row>
    <row r="111" spans="1:16" x14ac:dyDescent="0.15">
      <c r="A111" s="128">
        <v>40217</v>
      </c>
      <c r="B111" s="127">
        <v>16.46</v>
      </c>
      <c r="C111" s="8">
        <v>18.100000000000001</v>
      </c>
      <c r="D111" s="8">
        <f t="shared" si="11"/>
        <v>14.480000000000002</v>
      </c>
      <c r="E111" s="8" t="s">
        <v>552</v>
      </c>
      <c r="F111" s="8">
        <v>854.44819199999984</v>
      </c>
      <c r="G111" s="8">
        <v>858.65334335999989</v>
      </c>
      <c r="H111" s="8">
        <v>869.60997722880006</v>
      </c>
      <c r="I111" s="8">
        <v>887.2167051671039</v>
      </c>
      <c r="J111" s="8">
        <v>911.42817836447227</v>
      </c>
      <c r="K111" s="8">
        <v>942.2531557392299</v>
      </c>
      <c r="L111" s="8">
        <v>979.75305899340879</v>
      </c>
      <c r="M111" s="8">
        <v>1024.0409894284173</v>
      </c>
      <c r="N111" s="8">
        <v>1075.2811857266731</v>
      </c>
      <c r="O111" s="8">
        <v>1133.6889060143913</v>
      </c>
      <c r="P111" s="8">
        <v>1199.5307213821682</v>
      </c>
    </row>
    <row r="112" spans="1:16" x14ac:dyDescent="0.15">
      <c r="A112" s="128">
        <v>40225</v>
      </c>
      <c r="B112" s="127">
        <v>17.14</v>
      </c>
      <c r="C112" s="8">
        <v>18.100000000000001</v>
      </c>
      <c r="D112" s="8">
        <f t="shared" si="11"/>
        <v>14.480000000000002</v>
      </c>
    </row>
    <row r="113" spans="1:16" x14ac:dyDescent="0.15">
      <c r="A113" s="128">
        <v>40231</v>
      </c>
      <c r="B113" s="127">
        <v>17.03</v>
      </c>
      <c r="C113" s="8">
        <v>18.100000000000001</v>
      </c>
      <c r="D113" s="8">
        <f t="shared" si="11"/>
        <v>14.480000000000002</v>
      </c>
      <c r="E113" s="8" t="s">
        <v>569</v>
      </c>
      <c r="F113" s="8">
        <v>6.7699999999999996E-2</v>
      </c>
    </row>
    <row r="114" spans="1:16" x14ac:dyDescent="0.15">
      <c r="A114" s="128">
        <v>40238</v>
      </c>
      <c r="B114" s="127">
        <v>17.649999999999999</v>
      </c>
      <c r="C114" s="8">
        <v>18.100000000000001</v>
      </c>
      <c r="D114" s="8">
        <f t="shared" si="11"/>
        <v>14.480000000000002</v>
      </c>
      <c r="E114" s="8" t="s">
        <v>553</v>
      </c>
      <c r="F114" s="8">
        <v>0.93659267584527484</v>
      </c>
      <c r="G114" s="8">
        <v>0.877205840447012</v>
      </c>
      <c r="H114" s="8">
        <v>0.82158456537137015</v>
      </c>
      <c r="I114" s="8">
        <v>0.76949008651434869</v>
      </c>
      <c r="J114" s="8">
        <v>0.72069877916488589</v>
      </c>
      <c r="K114" s="8">
        <v>0.67500119805646319</v>
      </c>
      <c r="L114" s="8">
        <v>0.63220117828646916</v>
      </c>
      <c r="M114" s="8">
        <v>0.59211499324385986</v>
      </c>
      <c r="N114" s="8">
        <v>0.55457056593037346</v>
      </c>
      <c r="O114" s="8">
        <v>0.51940673028975692</v>
      </c>
      <c r="P114" s="8">
        <v>0.42</v>
      </c>
    </row>
    <row r="115" spans="1:16" x14ac:dyDescent="0.15">
      <c r="A115" s="128">
        <v>40245</v>
      </c>
      <c r="B115" s="127">
        <v>17.649999999999999</v>
      </c>
      <c r="C115" s="8">
        <v>18.100000000000001</v>
      </c>
      <c r="D115" s="8">
        <f t="shared" si="11"/>
        <v>14.480000000000002</v>
      </c>
      <c r="E115" s="8" t="s">
        <v>572</v>
      </c>
      <c r="F115" s="8">
        <v>800.26991851643697</v>
      </c>
      <c r="G115" s="8">
        <v>753.21572771474553</v>
      </c>
      <c r="H115" s="8">
        <v>714.45813518413081</v>
      </c>
      <c r="I115" s="8">
        <v>682.70445921601015</v>
      </c>
      <c r="J115" s="8">
        <v>656.86517544375101</v>
      </c>
      <c r="K115" s="8">
        <v>636.02200899646334</v>
      </c>
      <c r="L115" s="8">
        <v>619.40103832540558</v>
      </c>
      <c r="M115" s="8">
        <v>606.35002353684285</v>
      </c>
      <c r="N115" s="8">
        <v>596.31929570272416</v>
      </c>
      <c r="O115" s="8">
        <v>588.84564783870655</v>
      </c>
      <c r="P115" s="8">
        <v>503.80290298051062</v>
      </c>
    </row>
    <row r="116" spans="1:16" x14ac:dyDescent="0.15">
      <c r="A116" s="128">
        <v>40252</v>
      </c>
      <c r="B116" s="127">
        <v>17.21</v>
      </c>
      <c r="C116" s="8">
        <v>18.100000000000001</v>
      </c>
      <c r="D116" s="8">
        <f t="shared" si="11"/>
        <v>14.480000000000002</v>
      </c>
    </row>
    <row r="117" spans="1:16" x14ac:dyDescent="0.15">
      <c r="A117" s="128">
        <v>40259</v>
      </c>
      <c r="B117" s="127">
        <v>17.239999999999998</v>
      </c>
      <c r="C117" s="8">
        <v>18.100000000000001</v>
      </c>
      <c r="D117" s="8">
        <f t="shared" si="11"/>
        <v>14.480000000000002</v>
      </c>
      <c r="E117" s="8" t="s">
        <v>574</v>
      </c>
      <c r="F117" s="8">
        <v>1199.5307213821682</v>
      </c>
    </row>
    <row r="118" spans="1:16" x14ac:dyDescent="0.15">
      <c r="A118" s="128">
        <v>40266</v>
      </c>
      <c r="B118" s="127">
        <v>17.239999999999998</v>
      </c>
      <c r="C118" s="8">
        <v>18.100000000000001</v>
      </c>
      <c r="D118" s="8">
        <f t="shared" si="11"/>
        <v>14.480000000000002</v>
      </c>
      <c r="E118" s="8" t="s">
        <v>576</v>
      </c>
      <c r="F118" s="8">
        <v>19992.178689702803</v>
      </c>
    </row>
    <row r="119" spans="1:16" x14ac:dyDescent="0.15">
      <c r="A119" s="128">
        <v>40273</v>
      </c>
      <c r="B119" s="127">
        <v>16.989999999999998</v>
      </c>
      <c r="C119" s="8">
        <v>18.100000000000001</v>
      </c>
      <c r="D119" s="8">
        <f t="shared" si="11"/>
        <v>14.480000000000002</v>
      </c>
      <c r="E119" s="8" t="s">
        <v>578</v>
      </c>
      <c r="F119" s="8">
        <v>9996.0893448514016</v>
      </c>
    </row>
    <row r="120" spans="1:16" x14ac:dyDescent="0.15">
      <c r="A120" s="128">
        <v>40280</v>
      </c>
      <c r="B120" s="127">
        <v>16.75</v>
      </c>
      <c r="C120" s="8">
        <v>18.100000000000001</v>
      </c>
      <c r="D120" s="8">
        <f t="shared" si="11"/>
        <v>14.480000000000002</v>
      </c>
    </row>
    <row r="121" spans="1:16" x14ac:dyDescent="0.15">
      <c r="A121" s="128">
        <v>40287</v>
      </c>
      <c r="B121" s="127">
        <v>16.68</v>
      </c>
      <c r="C121" s="8">
        <v>18.100000000000001</v>
      </c>
      <c r="D121" s="8">
        <f t="shared" si="11"/>
        <v>14.480000000000002</v>
      </c>
      <c r="E121" s="8" t="s">
        <v>580</v>
      </c>
      <c r="F121" s="8">
        <v>16650.540775326619</v>
      </c>
    </row>
    <row r="122" spans="1:16" x14ac:dyDescent="0.15">
      <c r="A122" s="128">
        <v>40294</v>
      </c>
      <c r="B122" s="127">
        <v>16.399999999999999</v>
      </c>
      <c r="C122" s="8">
        <v>18.100000000000001</v>
      </c>
      <c r="D122" s="8">
        <f t="shared" si="11"/>
        <v>14.480000000000002</v>
      </c>
      <c r="E122" s="8" t="s">
        <v>582</v>
      </c>
      <c r="F122" s="8">
        <v>5274</v>
      </c>
    </row>
    <row r="123" spans="1:16" x14ac:dyDescent="0.15">
      <c r="A123" s="128">
        <v>40301</v>
      </c>
      <c r="B123" s="127">
        <v>16.260000000000002</v>
      </c>
      <c r="C123" s="8">
        <v>18.100000000000001</v>
      </c>
      <c r="D123" s="8">
        <f t="shared" si="11"/>
        <v>14.480000000000002</v>
      </c>
      <c r="E123" s="8" t="s">
        <v>554</v>
      </c>
      <c r="F123" s="8">
        <v>0</v>
      </c>
    </row>
    <row r="124" spans="1:16" x14ac:dyDescent="0.15">
      <c r="A124" s="128">
        <v>40308</v>
      </c>
      <c r="B124" s="127">
        <v>16.55</v>
      </c>
      <c r="C124" s="8">
        <v>18.100000000000001</v>
      </c>
      <c r="D124" s="8">
        <f t="shared" si="11"/>
        <v>14.480000000000002</v>
      </c>
      <c r="E124" s="8" t="s">
        <v>585</v>
      </c>
      <c r="F124" s="8">
        <v>11376.540775326619</v>
      </c>
    </row>
    <row r="125" spans="1:16" x14ac:dyDescent="0.15">
      <c r="A125" s="128">
        <v>40315</v>
      </c>
      <c r="B125" s="127">
        <v>16.43</v>
      </c>
      <c r="C125" s="8">
        <v>18.100000000000001</v>
      </c>
      <c r="D125" s="8">
        <f t="shared" si="11"/>
        <v>14.480000000000002</v>
      </c>
      <c r="E125" s="8" t="s">
        <v>587</v>
      </c>
      <c r="F125" s="8">
        <v>430</v>
      </c>
    </row>
    <row r="126" spans="1:16" x14ac:dyDescent="0.15">
      <c r="A126" s="128">
        <v>40323</v>
      </c>
      <c r="B126" s="127">
        <v>16.59</v>
      </c>
      <c r="C126" s="8">
        <v>18.100000000000001</v>
      </c>
      <c r="D126" s="8">
        <f t="shared" si="11"/>
        <v>14.480000000000002</v>
      </c>
      <c r="E126" s="8" t="s">
        <v>589</v>
      </c>
      <c r="F126" s="8">
        <v>17.899999999999999</v>
      </c>
    </row>
    <row r="127" spans="1:16" x14ac:dyDescent="0.15">
      <c r="A127" s="128">
        <v>40329</v>
      </c>
      <c r="B127" s="127">
        <v>16.559999999999999</v>
      </c>
      <c r="C127" s="8">
        <v>18.100000000000001</v>
      </c>
      <c r="D127" s="8">
        <f t="shared" si="11"/>
        <v>14.480000000000002</v>
      </c>
    </row>
    <row r="128" spans="1:16" x14ac:dyDescent="0.15">
      <c r="A128" s="128">
        <v>40336</v>
      </c>
      <c r="B128" s="127">
        <v>17.149999999999999</v>
      </c>
      <c r="C128" s="8">
        <v>18.100000000000001</v>
      </c>
      <c r="D128" s="8">
        <f t="shared" si="11"/>
        <v>14.480000000000002</v>
      </c>
    </row>
    <row r="129" spans="1:16" x14ac:dyDescent="0.15">
      <c r="A129" s="128">
        <v>40343</v>
      </c>
      <c r="B129" s="127">
        <v>17.190000000000001</v>
      </c>
      <c r="C129" s="8">
        <v>18.100000000000001</v>
      </c>
      <c r="D129" s="8">
        <f t="shared" si="11"/>
        <v>14.480000000000002</v>
      </c>
    </row>
    <row r="130" spans="1:16" x14ac:dyDescent="0.15">
      <c r="A130" s="128">
        <v>40350</v>
      </c>
      <c r="B130" s="127">
        <v>16.7</v>
      </c>
      <c r="C130" s="8">
        <v>18.100000000000001</v>
      </c>
      <c r="D130" s="8">
        <f t="shared" si="11"/>
        <v>14.480000000000002</v>
      </c>
      <c r="E130" s="8" t="s">
        <v>591</v>
      </c>
    </row>
    <row r="131" spans="1:16" x14ac:dyDescent="0.15">
      <c r="A131" s="128">
        <v>40357</v>
      </c>
      <c r="B131" s="127">
        <v>16.940000000000001</v>
      </c>
      <c r="C131" s="8">
        <v>18.100000000000001</v>
      </c>
      <c r="D131" s="8">
        <f t="shared" ref="D131:D194" si="12">C131*0.8</f>
        <v>14.480000000000002</v>
      </c>
    </row>
    <row r="132" spans="1:16" x14ac:dyDescent="0.15">
      <c r="A132" s="128">
        <v>40364</v>
      </c>
      <c r="B132" s="127">
        <v>17.52</v>
      </c>
      <c r="C132" s="8">
        <v>18.100000000000001</v>
      </c>
      <c r="D132" s="8">
        <f t="shared" si="12"/>
        <v>14.480000000000002</v>
      </c>
      <c r="E132" s="8" t="s">
        <v>555</v>
      </c>
      <c r="F132" s="8">
        <v>2008</v>
      </c>
      <c r="G132" s="8">
        <v>2009</v>
      </c>
      <c r="H132" s="8">
        <v>2010</v>
      </c>
      <c r="I132" s="8">
        <v>2011</v>
      </c>
      <c r="J132" s="8">
        <v>2012</v>
      </c>
      <c r="K132" s="8">
        <v>2013</v>
      </c>
      <c r="L132" s="8">
        <v>2014</v>
      </c>
      <c r="M132" s="8">
        <v>2015</v>
      </c>
      <c r="N132" s="8">
        <v>2016</v>
      </c>
      <c r="O132" s="8">
        <v>2017</v>
      </c>
    </row>
    <row r="133" spans="1:16" x14ac:dyDescent="0.15">
      <c r="A133" s="128">
        <v>40371</v>
      </c>
      <c r="B133" s="127">
        <v>17.579999999999998</v>
      </c>
      <c r="C133" s="8">
        <v>18.100000000000001</v>
      </c>
      <c r="D133" s="8">
        <f t="shared" si="12"/>
        <v>14.480000000000002</v>
      </c>
      <c r="E133" s="8" t="s">
        <v>551</v>
      </c>
      <c r="F133" s="8">
        <v>2996.3520000000003</v>
      </c>
      <c r="G133" s="8">
        <v>3236.0601600000005</v>
      </c>
      <c r="H133" s="8">
        <v>3494.9449728000009</v>
      </c>
      <c r="I133" s="8">
        <v>3774.5405706240012</v>
      </c>
      <c r="J133" s="8">
        <v>4076.5038162739215</v>
      </c>
      <c r="K133" s="8">
        <v>4402.6241215758355</v>
      </c>
      <c r="L133" s="8">
        <v>4754.8340513019029</v>
      </c>
      <c r="M133" s="8">
        <v>5135.2207754060555</v>
      </c>
      <c r="N133" s="8">
        <v>5546.0384374385403</v>
      </c>
      <c r="O133" s="8">
        <v>5989.7215124336235</v>
      </c>
      <c r="P133" s="8">
        <v>6468.8992334283139</v>
      </c>
    </row>
    <row r="134" spans="1:16" x14ac:dyDescent="0.15">
      <c r="A134" s="128">
        <v>40378</v>
      </c>
      <c r="B134" s="127">
        <v>17.850000000000001</v>
      </c>
      <c r="C134" s="8">
        <v>18.100000000000001</v>
      </c>
      <c r="D134" s="8">
        <f t="shared" si="12"/>
        <v>14.480000000000002</v>
      </c>
      <c r="E134" s="8" t="s">
        <v>25</v>
      </c>
      <c r="F134" s="8">
        <v>898.90560000000005</v>
      </c>
      <c r="G134" s="8">
        <v>970.81804800000009</v>
      </c>
      <c r="H134" s="8">
        <v>1048.4834918400002</v>
      </c>
      <c r="I134" s="8">
        <v>1132.3621711872004</v>
      </c>
      <c r="J134" s="8">
        <v>1222.9511448821763</v>
      </c>
      <c r="K134" s="8">
        <v>1320.7872364727507</v>
      </c>
      <c r="L134" s="8">
        <v>1426.4502153905707</v>
      </c>
      <c r="M134" s="8">
        <v>1540.5662326218167</v>
      </c>
      <c r="N134" s="8">
        <v>1663.811531231562</v>
      </c>
      <c r="O134" s="8">
        <v>1796.9164537300869</v>
      </c>
      <c r="P134" s="8">
        <v>1940.669770028494</v>
      </c>
    </row>
    <row r="135" spans="1:16" x14ac:dyDescent="0.15">
      <c r="A135" s="128">
        <v>40385</v>
      </c>
      <c r="B135" s="127">
        <v>17.53</v>
      </c>
      <c r="C135" s="8">
        <v>18.100000000000001</v>
      </c>
      <c r="D135" s="8">
        <f t="shared" si="12"/>
        <v>14.480000000000002</v>
      </c>
      <c r="E135" s="8" t="s">
        <v>557</v>
      </c>
      <c r="F135" s="8">
        <v>647.21203200000002</v>
      </c>
      <c r="G135" s="8">
        <v>698.98899456000004</v>
      </c>
      <c r="H135" s="8">
        <v>754.90811412480014</v>
      </c>
      <c r="I135" s="8">
        <v>815.30076325478421</v>
      </c>
      <c r="J135" s="8">
        <v>880.52482431516694</v>
      </c>
      <c r="K135" s="8">
        <v>950.9668102603805</v>
      </c>
      <c r="L135" s="8">
        <v>1027.0441550812109</v>
      </c>
      <c r="M135" s="8">
        <v>1109.207687487708</v>
      </c>
      <c r="N135" s="8">
        <v>1197.9443024867246</v>
      </c>
      <c r="O135" s="8">
        <v>1293.7798466856625</v>
      </c>
      <c r="P135" s="8">
        <v>1397.2822344205156</v>
      </c>
    </row>
    <row r="136" spans="1:16" x14ac:dyDescent="0.15">
      <c r="A136" s="128">
        <v>40393</v>
      </c>
      <c r="B136" s="127">
        <v>18.21</v>
      </c>
      <c r="C136" s="8">
        <v>18.100000000000001</v>
      </c>
      <c r="D136" s="8">
        <f t="shared" si="12"/>
        <v>14.480000000000002</v>
      </c>
      <c r="E136" s="8" t="s">
        <v>562</v>
      </c>
      <c r="F136" s="8">
        <v>485.71704000000005</v>
      </c>
      <c r="G136" s="8">
        <v>501.86653920000003</v>
      </c>
      <c r="H136" s="8">
        <v>521.5787847360001</v>
      </c>
      <c r="I136" s="8">
        <v>544.91171767488015</v>
      </c>
      <c r="J136" s="8">
        <v>571.95062223287061</v>
      </c>
      <c r="K136" s="8">
        <v>602.80804244110027</v>
      </c>
      <c r="L136" s="8">
        <v>637.62391922302834</v>
      </c>
      <c r="M136" s="8">
        <v>676.56594280884656</v>
      </c>
      <c r="N136" s="8">
        <v>719.83011727673272</v>
      </c>
      <c r="O136" s="8">
        <v>767.64153579773188</v>
      </c>
      <c r="P136" s="8">
        <v>820.25536688652494</v>
      </c>
    </row>
    <row r="137" spans="1:16" x14ac:dyDescent="0.15">
      <c r="A137" s="128">
        <v>40399</v>
      </c>
      <c r="B137" s="127">
        <v>18.07</v>
      </c>
      <c r="C137" s="8">
        <v>18.100000000000001</v>
      </c>
      <c r="D137" s="8">
        <f t="shared" si="12"/>
        <v>14.480000000000002</v>
      </c>
      <c r="E137" s="8" t="s">
        <v>549</v>
      </c>
      <c r="F137" s="8">
        <v>599.27040000000011</v>
      </c>
      <c r="G137" s="8">
        <v>647.21203200000014</v>
      </c>
      <c r="H137" s="8">
        <v>698.98899456000026</v>
      </c>
      <c r="I137" s="8">
        <v>754.90811412480025</v>
      </c>
      <c r="J137" s="8">
        <v>815.30076325478433</v>
      </c>
      <c r="K137" s="8">
        <v>880.52482431516717</v>
      </c>
      <c r="L137" s="8">
        <v>950.96681026038061</v>
      </c>
      <c r="M137" s="8">
        <v>1027.0441550812111</v>
      </c>
      <c r="N137" s="8">
        <v>1109.2076874877082</v>
      </c>
      <c r="O137" s="8">
        <v>1197.9443024867248</v>
      </c>
      <c r="P137" s="8">
        <v>1293.779846685663</v>
      </c>
    </row>
    <row r="138" spans="1:16" x14ac:dyDescent="0.15">
      <c r="A138" s="128">
        <v>40406</v>
      </c>
      <c r="B138" s="127">
        <v>18.600000000000001</v>
      </c>
      <c r="C138" s="8">
        <v>18.100000000000001</v>
      </c>
      <c r="D138" s="8">
        <f t="shared" si="12"/>
        <v>14.480000000000002</v>
      </c>
      <c r="E138" s="8" t="s">
        <v>565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</row>
    <row r="139" spans="1:16" x14ac:dyDescent="0.15">
      <c r="A139" s="128">
        <v>40413</v>
      </c>
      <c r="B139" s="127">
        <v>19.239999999999998</v>
      </c>
      <c r="C139" s="8">
        <v>18.100000000000001</v>
      </c>
      <c r="D139" s="8">
        <f t="shared" si="12"/>
        <v>14.480000000000002</v>
      </c>
      <c r="E139" s="8" t="s">
        <v>552</v>
      </c>
      <c r="F139" s="8">
        <v>533.65867200000002</v>
      </c>
      <c r="G139" s="8">
        <v>553.64350175999994</v>
      </c>
      <c r="H139" s="8">
        <v>577.49790430079997</v>
      </c>
      <c r="I139" s="8">
        <v>605.304366804864</v>
      </c>
      <c r="J139" s="8">
        <v>637.17468329325322</v>
      </c>
      <c r="K139" s="8">
        <v>673.2500283863136</v>
      </c>
      <c r="L139" s="8">
        <v>713.70126404385871</v>
      </c>
      <c r="M139" s="8">
        <v>758.72947521534343</v>
      </c>
      <c r="N139" s="8">
        <v>808.56673227574925</v>
      </c>
      <c r="O139" s="8">
        <v>863.47707999666932</v>
      </c>
      <c r="P139" s="8">
        <v>923.75775462137744</v>
      </c>
    </row>
    <row r="140" spans="1:16" x14ac:dyDescent="0.15">
      <c r="A140" s="128">
        <v>40441</v>
      </c>
      <c r="B140" s="127">
        <v>19.63</v>
      </c>
      <c r="C140" s="8">
        <v>18.100000000000001</v>
      </c>
      <c r="D140" s="8">
        <f t="shared" si="12"/>
        <v>14.480000000000002</v>
      </c>
    </row>
    <row r="141" spans="1:16" x14ac:dyDescent="0.15">
      <c r="A141" s="128">
        <v>40448</v>
      </c>
      <c r="B141" s="127">
        <v>19.489999999999998</v>
      </c>
      <c r="C141" s="8">
        <v>18.100000000000001</v>
      </c>
      <c r="D141" s="8">
        <f t="shared" si="12"/>
        <v>14.480000000000002</v>
      </c>
      <c r="E141" s="8" t="s">
        <v>569</v>
      </c>
      <c r="F141" s="8">
        <v>6.7699999999999996E-2</v>
      </c>
    </row>
    <row r="142" spans="1:16" x14ac:dyDescent="0.15">
      <c r="A142" s="128">
        <v>40455</v>
      </c>
      <c r="B142" s="127">
        <v>19.690000000000001</v>
      </c>
      <c r="C142" s="8">
        <v>18.100000000000001</v>
      </c>
      <c r="D142" s="8">
        <f t="shared" si="12"/>
        <v>14.480000000000002</v>
      </c>
      <c r="E142" s="8" t="s">
        <v>553</v>
      </c>
      <c r="F142" s="8">
        <v>0.93659267584527484</v>
      </c>
      <c r="G142" s="8">
        <v>0.877205840447012</v>
      </c>
      <c r="H142" s="8">
        <v>0.82158456537137015</v>
      </c>
      <c r="I142" s="8">
        <v>0.76949008651434869</v>
      </c>
      <c r="J142" s="8">
        <v>0.72069877916488589</v>
      </c>
      <c r="K142" s="8">
        <v>0.67500119805646319</v>
      </c>
      <c r="L142" s="8">
        <v>0.63220117828646916</v>
      </c>
      <c r="M142" s="8">
        <v>0.59211499324385986</v>
      </c>
      <c r="N142" s="8">
        <v>0.55457056593037346</v>
      </c>
      <c r="O142" s="8">
        <v>0.51940673028975692</v>
      </c>
      <c r="P142" s="8">
        <v>0.42</v>
      </c>
    </row>
    <row r="143" spans="1:16" x14ac:dyDescent="0.15">
      <c r="A143" s="128">
        <v>40463</v>
      </c>
      <c r="B143" s="127">
        <v>19.739999999999998</v>
      </c>
      <c r="C143" s="8">
        <v>18.100000000000001</v>
      </c>
      <c r="D143" s="8">
        <f t="shared" si="12"/>
        <v>14.480000000000002</v>
      </c>
      <c r="E143" s="8" t="s">
        <v>572</v>
      </c>
      <c r="F143" s="8">
        <v>499.82080359651587</v>
      </c>
      <c r="G143" s="8">
        <v>485.65931326940751</v>
      </c>
      <c r="H143" s="8">
        <v>474.46336470784985</v>
      </c>
      <c r="I143" s="8">
        <v>465.77570958018788</v>
      </c>
      <c r="J143" s="8">
        <v>459.21101636422043</v>
      </c>
      <c r="K143" s="8">
        <v>454.44457575230956</v>
      </c>
      <c r="L143" s="8">
        <v>451.2027800730699</v>
      </c>
      <c r="M143" s="8">
        <v>449.2550980910504</v>
      </c>
      <c r="N143" s="8">
        <v>448.40731031063501</v>
      </c>
      <c r="O143" s="8">
        <v>448.49580680121687</v>
      </c>
      <c r="P143" s="8">
        <v>387.9782569409785</v>
      </c>
    </row>
    <row r="144" spans="1:16" x14ac:dyDescent="0.15">
      <c r="A144" s="128">
        <v>40469</v>
      </c>
      <c r="B144" s="127">
        <v>19.41</v>
      </c>
      <c r="C144" s="8">
        <v>18.100000000000001</v>
      </c>
      <c r="D144" s="8">
        <f t="shared" si="12"/>
        <v>14.480000000000002</v>
      </c>
    </row>
    <row r="145" spans="1:6" x14ac:dyDescent="0.15">
      <c r="A145" s="128">
        <v>40476</v>
      </c>
      <c r="B145" s="127">
        <v>19.190000000000001</v>
      </c>
      <c r="C145" s="8">
        <v>18.100000000000001</v>
      </c>
      <c r="D145" s="8">
        <f t="shared" si="12"/>
        <v>14.480000000000002</v>
      </c>
      <c r="E145" s="8" t="s">
        <v>574</v>
      </c>
      <c r="F145" s="8">
        <v>923.75775462137744</v>
      </c>
    </row>
    <row r="146" spans="1:6" x14ac:dyDescent="0.15">
      <c r="A146" s="128">
        <v>40483</v>
      </c>
      <c r="B146" s="127">
        <v>18.98</v>
      </c>
      <c r="C146" s="8">
        <v>18.100000000000001</v>
      </c>
      <c r="D146" s="8">
        <f t="shared" si="12"/>
        <v>14.480000000000002</v>
      </c>
      <c r="E146" s="8" t="s">
        <v>576</v>
      </c>
      <c r="F146" s="8">
        <v>15395.962577022958</v>
      </c>
    </row>
    <row r="147" spans="1:6" x14ac:dyDescent="0.15">
      <c r="A147" s="128">
        <v>40490</v>
      </c>
      <c r="B147" s="127">
        <v>18.3</v>
      </c>
      <c r="C147" s="8">
        <v>18.100000000000001</v>
      </c>
      <c r="D147" s="8">
        <f t="shared" si="12"/>
        <v>14.480000000000002</v>
      </c>
      <c r="E147" s="8" t="s">
        <v>578</v>
      </c>
      <c r="F147" s="8">
        <v>7697.9812885114789</v>
      </c>
    </row>
    <row r="148" spans="1:6" x14ac:dyDescent="0.15">
      <c r="A148" s="128">
        <v>40497</v>
      </c>
      <c r="B148" s="127">
        <v>18.489999999999998</v>
      </c>
      <c r="C148" s="8">
        <v>18.100000000000001</v>
      </c>
      <c r="D148" s="8">
        <f t="shared" si="12"/>
        <v>14.480000000000002</v>
      </c>
    </row>
    <row r="149" spans="1:6" x14ac:dyDescent="0.15">
      <c r="A149" s="128">
        <v>40504</v>
      </c>
      <c r="B149" s="127">
        <v>18.170000000000002</v>
      </c>
      <c r="C149" s="8">
        <v>18.100000000000001</v>
      </c>
      <c r="D149" s="8">
        <f t="shared" si="12"/>
        <v>14.480000000000002</v>
      </c>
      <c r="E149" s="8" t="s">
        <v>580</v>
      </c>
      <c r="F149" s="8">
        <v>12334.717067057942</v>
      </c>
    </row>
    <row r="150" spans="1:6" x14ac:dyDescent="0.15">
      <c r="A150" s="128">
        <v>40511</v>
      </c>
      <c r="B150" s="127">
        <v>18.13</v>
      </c>
      <c r="C150" s="8">
        <v>18.100000000000001</v>
      </c>
      <c r="D150" s="8">
        <f t="shared" si="12"/>
        <v>14.480000000000002</v>
      </c>
      <c r="E150" s="8" t="s">
        <v>582</v>
      </c>
      <c r="F150" s="8">
        <v>5274</v>
      </c>
    </row>
    <row r="151" spans="1:6" x14ac:dyDescent="0.15">
      <c r="A151" s="128">
        <v>40518</v>
      </c>
      <c r="B151" s="127">
        <v>18.13</v>
      </c>
      <c r="C151" s="8">
        <v>18.100000000000001</v>
      </c>
      <c r="D151" s="8">
        <f t="shared" si="12"/>
        <v>14.480000000000002</v>
      </c>
      <c r="E151" s="8" t="s">
        <v>554</v>
      </c>
      <c r="F151" s="8">
        <v>0</v>
      </c>
    </row>
    <row r="152" spans="1:6" x14ac:dyDescent="0.15">
      <c r="A152" s="128">
        <v>40525</v>
      </c>
      <c r="B152" s="127">
        <v>18.52</v>
      </c>
      <c r="C152" s="8">
        <v>18.100000000000001</v>
      </c>
      <c r="D152" s="8">
        <f t="shared" si="12"/>
        <v>14.480000000000002</v>
      </c>
      <c r="E152" s="8" t="s">
        <v>585</v>
      </c>
      <c r="F152" s="8">
        <v>7060.7170670579417</v>
      </c>
    </row>
    <row r="153" spans="1:6" x14ac:dyDescent="0.15">
      <c r="A153" s="128">
        <v>40532</v>
      </c>
      <c r="B153" s="127">
        <v>18.78</v>
      </c>
      <c r="C153" s="8">
        <v>18.100000000000001</v>
      </c>
      <c r="D153" s="8">
        <f t="shared" si="12"/>
        <v>14.480000000000002</v>
      </c>
      <c r="E153" s="8" t="s">
        <v>587</v>
      </c>
      <c r="F153" s="8">
        <v>430</v>
      </c>
    </row>
    <row r="154" spans="1:6" x14ac:dyDescent="0.15">
      <c r="A154" s="128">
        <v>40541</v>
      </c>
      <c r="B154" s="127">
        <v>18.86</v>
      </c>
      <c r="C154" s="8">
        <v>18.100000000000001</v>
      </c>
      <c r="D154" s="8">
        <f t="shared" si="12"/>
        <v>14.480000000000002</v>
      </c>
      <c r="E154" s="8" t="s">
        <v>589</v>
      </c>
      <c r="F154" s="8">
        <v>19.3</v>
      </c>
    </row>
    <row r="155" spans="1:6" x14ac:dyDescent="0.15">
      <c r="A155" s="128">
        <v>40547</v>
      </c>
      <c r="B155" s="127">
        <v>18.11</v>
      </c>
      <c r="C155" s="8">
        <v>19.7</v>
      </c>
      <c r="D155" s="8">
        <f t="shared" si="12"/>
        <v>15.76</v>
      </c>
    </row>
    <row r="156" spans="1:6" x14ac:dyDescent="0.15">
      <c r="A156" s="128">
        <v>40553</v>
      </c>
      <c r="B156" s="127">
        <v>18.489999999999998</v>
      </c>
      <c r="C156" s="8">
        <v>19.7</v>
      </c>
      <c r="D156" s="8">
        <f t="shared" si="12"/>
        <v>15.76</v>
      </c>
    </row>
    <row r="157" spans="1:6" x14ac:dyDescent="0.15">
      <c r="A157" s="128">
        <v>40560</v>
      </c>
      <c r="B157" s="127">
        <v>18.71</v>
      </c>
      <c r="C157" s="8">
        <v>19.7</v>
      </c>
      <c r="D157" s="8">
        <f t="shared" si="12"/>
        <v>15.76</v>
      </c>
    </row>
    <row r="158" spans="1:6" x14ac:dyDescent="0.15">
      <c r="A158" s="128">
        <v>40567</v>
      </c>
      <c r="B158" s="127">
        <v>18.62</v>
      </c>
      <c r="C158" s="8">
        <v>19.7</v>
      </c>
      <c r="D158" s="8">
        <f t="shared" si="12"/>
        <v>15.76</v>
      </c>
    </row>
    <row r="159" spans="1:6" x14ac:dyDescent="0.15">
      <c r="A159" s="128">
        <v>40574</v>
      </c>
      <c r="B159" s="127">
        <v>19.170000000000002</v>
      </c>
      <c r="C159" s="8">
        <v>19.7</v>
      </c>
      <c r="D159" s="8">
        <f t="shared" si="12"/>
        <v>15.76</v>
      </c>
    </row>
    <row r="160" spans="1:6" x14ac:dyDescent="0.15">
      <c r="A160" s="128">
        <v>40581</v>
      </c>
      <c r="B160" s="127">
        <v>19.21</v>
      </c>
      <c r="C160" s="8">
        <v>19.7</v>
      </c>
      <c r="D160" s="8">
        <f t="shared" si="12"/>
        <v>15.76</v>
      </c>
    </row>
    <row r="161" spans="1:4" x14ac:dyDescent="0.15">
      <c r="A161" s="128">
        <v>40588</v>
      </c>
      <c r="B161" s="127">
        <v>18.72</v>
      </c>
      <c r="C161" s="8">
        <v>19.7</v>
      </c>
      <c r="D161" s="8">
        <f t="shared" si="12"/>
        <v>15.76</v>
      </c>
    </row>
    <row r="162" spans="1:4" x14ac:dyDescent="0.15">
      <c r="A162" s="128">
        <v>40596</v>
      </c>
      <c r="B162" s="127">
        <v>18.420000000000002</v>
      </c>
      <c r="C162" s="8">
        <v>19.7</v>
      </c>
      <c r="D162" s="8">
        <f t="shared" si="12"/>
        <v>15.76</v>
      </c>
    </row>
    <row r="163" spans="1:4" x14ac:dyDescent="0.15">
      <c r="A163" s="128">
        <v>40602</v>
      </c>
      <c r="B163" s="127">
        <v>18.25</v>
      </c>
      <c r="C163" s="8">
        <v>19.7</v>
      </c>
      <c r="D163" s="8">
        <f t="shared" si="12"/>
        <v>15.76</v>
      </c>
    </row>
    <row r="164" spans="1:4" x14ac:dyDescent="0.15">
      <c r="A164" s="128">
        <v>40609</v>
      </c>
      <c r="B164" s="127">
        <v>18.09</v>
      </c>
      <c r="C164" s="8">
        <v>19.7</v>
      </c>
      <c r="D164" s="8">
        <f t="shared" si="12"/>
        <v>15.76</v>
      </c>
    </row>
    <row r="165" spans="1:4" x14ac:dyDescent="0.15">
      <c r="A165" s="128">
        <v>40616</v>
      </c>
      <c r="B165" s="127">
        <v>18.3</v>
      </c>
      <c r="C165" s="8">
        <v>19.7</v>
      </c>
      <c r="D165" s="8">
        <f t="shared" si="12"/>
        <v>15.76</v>
      </c>
    </row>
    <row r="166" spans="1:4" x14ac:dyDescent="0.15">
      <c r="A166" s="128">
        <v>40623</v>
      </c>
      <c r="B166" s="127">
        <v>17.97</v>
      </c>
      <c r="C166" s="8">
        <v>19.7</v>
      </c>
      <c r="D166" s="8">
        <f t="shared" si="12"/>
        <v>15.76</v>
      </c>
    </row>
    <row r="167" spans="1:4" x14ac:dyDescent="0.15">
      <c r="A167" s="128">
        <v>40630</v>
      </c>
      <c r="B167" s="127">
        <v>18.18</v>
      </c>
      <c r="C167" s="8">
        <v>19.7</v>
      </c>
      <c r="D167" s="8">
        <f t="shared" si="12"/>
        <v>15.76</v>
      </c>
    </row>
    <row r="168" spans="1:4" x14ac:dyDescent="0.15">
      <c r="A168" s="128">
        <v>40637</v>
      </c>
      <c r="B168" s="127">
        <v>18.440000000000001</v>
      </c>
      <c r="C168" s="8">
        <v>19.7</v>
      </c>
      <c r="D168" s="8">
        <f t="shared" si="12"/>
        <v>15.76</v>
      </c>
    </row>
    <row r="169" spans="1:4" x14ac:dyDescent="0.15">
      <c r="A169" s="128">
        <v>40644</v>
      </c>
      <c r="B169" s="127">
        <v>17.170000000000002</v>
      </c>
      <c r="C169" s="8">
        <v>19.7</v>
      </c>
      <c r="D169" s="8">
        <f t="shared" si="12"/>
        <v>15.76</v>
      </c>
    </row>
    <row r="170" spans="1:4" x14ac:dyDescent="0.15">
      <c r="A170" s="128">
        <v>40651</v>
      </c>
      <c r="B170" s="127">
        <v>17.57</v>
      </c>
      <c r="C170" s="8">
        <v>19.7</v>
      </c>
      <c r="D170" s="8">
        <f t="shared" si="12"/>
        <v>15.76</v>
      </c>
    </row>
    <row r="171" spans="1:4" x14ac:dyDescent="0.15">
      <c r="A171" s="128">
        <v>40658</v>
      </c>
      <c r="B171" s="127">
        <v>17.91</v>
      </c>
      <c r="C171" s="8">
        <v>19.7</v>
      </c>
      <c r="D171" s="8">
        <f t="shared" si="12"/>
        <v>15.76</v>
      </c>
    </row>
    <row r="172" spans="1:4" x14ac:dyDescent="0.15">
      <c r="A172" s="128">
        <v>40665</v>
      </c>
      <c r="B172" s="127">
        <v>18.03</v>
      </c>
      <c r="C172" s="8">
        <v>19.7</v>
      </c>
      <c r="D172" s="8">
        <f t="shared" si="12"/>
        <v>15.76</v>
      </c>
    </row>
    <row r="173" spans="1:4" x14ac:dyDescent="0.15">
      <c r="A173" s="128">
        <v>40672</v>
      </c>
      <c r="B173" s="127">
        <v>18</v>
      </c>
      <c r="C173" s="8">
        <v>19.7</v>
      </c>
      <c r="D173" s="8">
        <f t="shared" si="12"/>
        <v>15.76</v>
      </c>
    </row>
    <row r="174" spans="1:4" x14ac:dyDescent="0.15">
      <c r="A174" s="128">
        <v>40679</v>
      </c>
      <c r="B174" s="127">
        <v>18.54</v>
      </c>
      <c r="C174" s="8">
        <v>19.7</v>
      </c>
      <c r="D174" s="8">
        <f t="shared" si="12"/>
        <v>15.76</v>
      </c>
    </row>
    <row r="175" spans="1:4" x14ac:dyDescent="0.15">
      <c r="A175" s="128">
        <v>40687</v>
      </c>
      <c r="B175" s="127">
        <v>18.48</v>
      </c>
      <c r="C175" s="8">
        <v>19.7</v>
      </c>
      <c r="D175" s="8">
        <f t="shared" si="12"/>
        <v>15.76</v>
      </c>
    </row>
    <row r="176" spans="1:4" x14ac:dyDescent="0.15">
      <c r="A176" s="128">
        <v>40693</v>
      </c>
      <c r="B176" s="127">
        <v>18.46</v>
      </c>
      <c r="C176" s="8">
        <v>19.7</v>
      </c>
      <c r="D176" s="8">
        <f t="shared" si="12"/>
        <v>15.76</v>
      </c>
    </row>
    <row r="177" spans="1:4" x14ac:dyDescent="0.15">
      <c r="A177" s="128">
        <v>40700</v>
      </c>
      <c r="B177" s="127">
        <v>18.399999999999999</v>
      </c>
      <c r="C177" s="8">
        <v>19.7</v>
      </c>
      <c r="D177" s="8">
        <f t="shared" si="12"/>
        <v>15.76</v>
      </c>
    </row>
    <row r="178" spans="1:4" x14ac:dyDescent="0.15">
      <c r="A178" s="128">
        <v>40707</v>
      </c>
      <c r="B178" s="127">
        <v>18.38</v>
      </c>
      <c r="C178" s="8">
        <v>19.7</v>
      </c>
      <c r="D178" s="8">
        <f t="shared" si="12"/>
        <v>15.76</v>
      </c>
    </row>
    <row r="179" spans="1:4" x14ac:dyDescent="0.15">
      <c r="A179" s="128">
        <v>40714</v>
      </c>
      <c r="B179" s="127">
        <v>18.579999999999998</v>
      </c>
      <c r="C179" s="8">
        <v>19.7</v>
      </c>
      <c r="D179" s="8">
        <f t="shared" si="12"/>
        <v>15.76</v>
      </c>
    </row>
    <row r="180" spans="1:4" x14ac:dyDescent="0.15">
      <c r="A180" s="128">
        <v>40721</v>
      </c>
      <c r="B180" s="127">
        <v>19.86</v>
      </c>
      <c r="C180" s="8">
        <v>19.7</v>
      </c>
      <c r="D180" s="8">
        <f t="shared" si="12"/>
        <v>15.76</v>
      </c>
    </row>
    <row r="181" spans="1:4" x14ac:dyDescent="0.15">
      <c r="A181" s="128">
        <v>40728</v>
      </c>
      <c r="B181" s="127">
        <v>19.690000000000001</v>
      </c>
      <c r="C181" s="8">
        <v>19.7</v>
      </c>
      <c r="D181" s="8">
        <f t="shared" si="12"/>
        <v>15.76</v>
      </c>
    </row>
    <row r="182" spans="1:4" x14ac:dyDescent="0.15">
      <c r="A182" s="128">
        <v>40735</v>
      </c>
      <c r="B182" s="127">
        <v>19.75</v>
      </c>
      <c r="C182" s="8">
        <v>19.7</v>
      </c>
      <c r="D182" s="8">
        <f t="shared" si="12"/>
        <v>15.76</v>
      </c>
    </row>
    <row r="183" spans="1:4" x14ac:dyDescent="0.15">
      <c r="A183" s="128">
        <v>40742</v>
      </c>
      <c r="B183" s="127">
        <v>19.760000000000002</v>
      </c>
      <c r="C183" s="8">
        <v>19.7</v>
      </c>
      <c r="D183" s="8">
        <f t="shared" si="12"/>
        <v>15.76</v>
      </c>
    </row>
    <row r="184" spans="1:4" x14ac:dyDescent="0.15">
      <c r="A184" s="128">
        <v>40749</v>
      </c>
      <c r="B184" s="127">
        <v>19.559999999999999</v>
      </c>
      <c r="C184" s="8">
        <v>19.7</v>
      </c>
      <c r="D184" s="8">
        <f t="shared" si="12"/>
        <v>15.76</v>
      </c>
    </row>
    <row r="185" spans="1:4" x14ac:dyDescent="0.15">
      <c r="A185" s="128">
        <v>40757</v>
      </c>
      <c r="B185" s="127">
        <v>18.89</v>
      </c>
      <c r="C185" s="8">
        <v>19.7</v>
      </c>
      <c r="D185" s="8">
        <f t="shared" si="12"/>
        <v>15.76</v>
      </c>
    </row>
    <row r="186" spans="1:4" x14ac:dyDescent="0.15">
      <c r="A186" s="128">
        <v>40763</v>
      </c>
      <c r="B186" s="127">
        <v>19.38</v>
      </c>
      <c r="C186" s="8">
        <v>19.7</v>
      </c>
      <c r="D186" s="8">
        <f t="shared" si="12"/>
        <v>15.76</v>
      </c>
    </row>
    <row r="187" spans="1:4" x14ac:dyDescent="0.15">
      <c r="A187" s="128">
        <v>40770</v>
      </c>
      <c r="B187" s="127">
        <v>19.309999999999999</v>
      </c>
      <c r="C187" s="8">
        <v>19.7</v>
      </c>
      <c r="D187" s="8">
        <f t="shared" si="12"/>
        <v>15.76</v>
      </c>
    </row>
    <row r="188" spans="1:4" x14ac:dyDescent="0.15">
      <c r="A188" s="128">
        <v>40777</v>
      </c>
      <c r="B188" s="127">
        <v>19.61</v>
      </c>
      <c r="C188" s="8">
        <v>19.7</v>
      </c>
      <c r="D188" s="8">
        <f t="shared" si="12"/>
        <v>15.76</v>
      </c>
    </row>
    <row r="189" spans="1:4" x14ac:dyDescent="0.15">
      <c r="A189" s="128">
        <v>40784</v>
      </c>
      <c r="B189" s="127">
        <v>19.47</v>
      </c>
      <c r="C189" s="8">
        <v>19.7</v>
      </c>
      <c r="D189" s="8">
        <f t="shared" si="12"/>
        <v>15.76</v>
      </c>
    </row>
    <row r="190" spans="1:4" x14ac:dyDescent="0.15">
      <c r="A190" s="128">
        <v>40792</v>
      </c>
      <c r="B190" s="127">
        <v>19.559999999999999</v>
      </c>
      <c r="C190" s="8">
        <v>19.7</v>
      </c>
      <c r="D190" s="8">
        <f t="shared" si="12"/>
        <v>15.76</v>
      </c>
    </row>
    <row r="191" spans="1:4" x14ac:dyDescent="0.15">
      <c r="A191" s="128">
        <v>40798</v>
      </c>
      <c r="B191" s="127">
        <v>19.45</v>
      </c>
      <c r="C191" s="8">
        <v>19.7</v>
      </c>
      <c r="D191" s="8">
        <f t="shared" si="12"/>
        <v>15.76</v>
      </c>
    </row>
    <row r="192" spans="1:4" x14ac:dyDescent="0.15">
      <c r="A192" s="128">
        <v>40805</v>
      </c>
      <c r="B192" s="127">
        <v>19.27</v>
      </c>
      <c r="C192" s="8">
        <v>19.7</v>
      </c>
      <c r="D192" s="8">
        <f t="shared" si="12"/>
        <v>15.76</v>
      </c>
    </row>
    <row r="193" spans="1:4" x14ac:dyDescent="0.15">
      <c r="A193" s="128">
        <v>40812</v>
      </c>
      <c r="B193" s="127">
        <v>19.41</v>
      </c>
      <c r="C193" s="8">
        <v>19.7</v>
      </c>
      <c r="D193" s="8">
        <f t="shared" si="12"/>
        <v>15.76</v>
      </c>
    </row>
    <row r="194" spans="1:4" x14ac:dyDescent="0.15">
      <c r="A194" s="128">
        <v>40819</v>
      </c>
      <c r="B194" s="127">
        <v>19.059999999999999</v>
      </c>
      <c r="C194" s="8">
        <v>19.7</v>
      </c>
      <c r="D194" s="8">
        <f t="shared" si="12"/>
        <v>15.76</v>
      </c>
    </row>
    <row r="195" spans="1:4" x14ac:dyDescent="0.15">
      <c r="A195" s="128">
        <v>40827</v>
      </c>
      <c r="B195" s="127">
        <v>19.48</v>
      </c>
      <c r="C195" s="8">
        <v>19.7</v>
      </c>
      <c r="D195" s="8">
        <f t="shared" ref="D195:D258" si="13">C195*0.8</f>
        <v>15.76</v>
      </c>
    </row>
    <row r="196" spans="1:4" x14ac:dyDescent="0.15">
      <c r="A196" s="128">
        <v>40833</v>
      </c>
      <c r="B196" s="127">
        <v>18.690000000000001</v>
      </c>
      <c r="C196" s="8">
        <v>19.7</v>
      </c>
      <c r="D196" s="8">
        <f t="shared" si="13"/>
        <v>15.76</v>
      </c>
    </row>
    <row r="197" spans="1:4" x14ac:dyDescent="0.15">
      <c r="A197" s="128">
        <v>40840</v>
      </c>
      <c r="B197" s="127">
        <v>18.32</v>
      </c>
      <c r="C197" s="8">
        <v>19.7</v>
      </c>
      <c r="D197" s="8">
        <f t="shared" si="13"/>
        <v>15.76</v>
      </c>
    </row>
    <row r="198" spans="1:4" x14ac:dyDescent="0.15">
      <c r="A198" s="128">
        <v>40847</v>
      </c>
      <c r="B198" s="127">
        <v>18.71</v>
      </c>
      <c r="C198" s="8">
        <v>19.7</v>
      </c>
      <c r="D198" s="8">
        <f t="shared" si="13"/>
        <v>15.76</v>
      </c>
    </row>
    <row r="199" spans="1:4" x14ac:dyDescent="0.15">
      <c r="A199" s="128">
        <v>40854</v>
      </c>
      <c r="B199" s="127">
        <v>19.079999999999998</v>
      </c>
      <c r="C199" s="8">
        <v>19.7</v>
      </c>
      <c r="D199" s="8">
        <f t="shared" si="13"/>
        <v>15.76</v>
      </c>
    </row>
    <row r="200" spans="1:4" x14ac:dyDescent="0.15">
      <c r="A200" s="128">
        <v>40861</v>
      </c>
      <c r="B200" s="127">
        <v>19.579999999999998</v>
      </c>
      <c r="C200" s="8">
        <v>19.7</v>
      </c>
      <c r="D200" s="8">
        <f t="shared" si="13"/>
        <v>15.76</v>
      </c>
    </row>
    <row r="201" spans="1:4" x14ac:dyDescent="0.15">
      <c r="A201" s="128">
        <v>40868</v>
      </c>
      <c r="B201" s="127">
        <v>18.850000000000001</v>
      </c>
      <c r="C201" s="8">
        <v>19.7</v>
      </c>
      <c r="D201" s="8">
        <f t="shared" si="13"/>
        <v>15.76</v>
      </c>
    </row>
    <row r="202" spans="1:4" x14ac:dyDescent="0.15">
      <c r="A202" s="128">
        <v>40875</v>
      </c>
      <c r="B202" s="127">
        <v>18.77</v>
      </c>
      <c r="C202" s="8">
        <v>19.7</v>
      </c>
      <c r="D202" s="8">
        <f t="shared" si="13"/>
        <v>15.76</v>
      </c>
    </row>
    <row r="203" spans="1:4" x14ac:dyDescent="0.15">
      <c r="A203" s="128">
        <v>40882</v>
      </c>
      <c r="B203" s="127">
        <v>18.71</v>
      </c>
      <c r="C203" s="8">
        <v>19.7</v>
      </c>
      <c r="D203" s="8">
        <f t="shared" si="13"/>
        <v>15.76</v>
      </c>
    </row>
    <row r="204" spans="1:4" x14ac:dyDescent="0.15">
      <c r="A204" s="128">
        <v>40889</v>
      </c>
      <c r="B204" s="127">
        <v>18.2</v>
      </c>
      <c r="C204" s="8">
        <v>19.7</v>
      </c>
      <c r="D204" s="8">
        <f t="shared" si="13"/>
        <v>15.76</v>
      </c>
    </row>
    <row r="205" spans="1:4" x14ac:dyDescent="0.15">
      <c r="A205" s="128">
        <v>40896</v>
      </c>
      <c r="B205" s="127">
        <v>18.48</v>
      </c>
      <c r="C205" s="8">
        <v>19.7</v>
      </c>
      <c r="D205" s="8">
        <f t="shared" si="13"/>
        <v>15.76</v>
      </c>
    </row>
    <row r="206" spans="1:4" x14ac:dyDescent="0.15">
      <c r="A206" s="128">
        <v>40903</v>
      </c>
      <c r="B206" s="127">
        <v>18.7</v>
      </c>
      <c r="C206" s="8">
        <v>19.7</v>
      </c>
      <c r="D206" s="8">
        <f t="shared" si="13"/>
        <v>15.76</v>
      </c>
    </row>
    <row r="207" spans="1:4" x14ac:dyDescent="0.15">
      <c r="A207" s="128">
        <v>40910</v>
      </c>
      <c r="B207" s="127">
        <v>18.84</v>
      </c>
      <c r="C207" s="8">
        <v>21.9</v>
      </c>
      <c r="D207" s="8">
        <f t="shared" si="13"/>
        <v>17.52</v>
      </c>
    </row>
    <row r="208" spans="1:4" x14ac:dyDescent="0.15">
      <c r="A208" s="128">
        <v>40917</v>
      </c>
      <c r="B208" s="127">
        <v>18.45</v>
      </c>
      <c r="C208" s="8">
        <v>21.9</v>
      </c>
      <c r="D208" s="8">
        <f t="shared" si="13"/>
        <v>17.52</v>
      </c>
    </row>
    <row r="209" spans="1:4" x14ac:dyDescent="0.15">
      <c r="A209" s="128">
        <v>40924</v>
      </c>
      <c r="B209" s="127">
        <v>18.559999999999999</v>
      </c>
      <c r="C209" s="8">
        <v>21.9</v>
      </c>
      <c r="D209" s="8">
        <f t="shared" si="13"/>
        <v>17.52</v>
      </c>
    </row>
    <row r="210" spans="1:4" x14ac:dyDescent="0.15">
      <c r="A210" s="128">
        <v>40931</v>
      </c>
      <c r="B210" s="127">
        <v>18.3</v>
      </c>
      <c r="C210" s="8">
        <v>21.9</v>
      </c>
      <c r="D210" s="8">
        <f t="shared" si="13"/>
        <v>17.52</v>
      </c>
    </row>
    <row r="211" spans="1:4" x14ac:dyDescent="0.15">
      <c r="A211" s="128">
        <v>40938</v>
      </c>
      <c r="B211" s="127">
        <v>18.239999999999998</v>
      </c>
      <c r="C211" s="8">
        <v>21.9</v>
      </c>
      <c r="D211" s="8">
        <f t="shared" si="13"/>
        <v>17.52</v>
      </c>
    </row>
    <row r="212" spans="1:4" x14ac:dyDescent="0.15">
      <c r="A212" s="128">
        <v>40945</v>
      </c>
      <c r="B212" s="127">
        <v>18.190000000000001</v>
      </c>
      <c r="C212" s="8">
        <v>21.9</v>
      </c>
      <c r="D212" s="8">
        <f t="shared" si="13"/>
        <v>17.52</v>
      </c>
    </row>
    <row r="213" spans="1:4" x14ac:dyDescent="0.15">
      <c r="A213" s="128">
        <v>40952</v>
      </c>
      <c r="B213" s="127">
        <v>18.68</v>
      </c>
      <c r="C213" s="8">
        <v>21.9</v>
      </c>
      <c r="D213" s="8">
        <f t="shared" si="13"/>
        <v>17.52</v>
      </c>
    </row>
    <row r="214" spans="1:4" x14ac:dyDescent="0.15">
      <c r="A214" s="128">
        <v>40959</v>
      </c>
      <c r="B214" s="127">
        <v>18.899999999999999</v>
      </c>
      <c r="C214" s="8">
        <v>21.9</v>
      </c>
      <c r="D214" s="8">
        <f t="shared" si="13"/>
        <v>17.52</v>
      </c>
    </row>
    <row r="215" spans="1:4" x14ac:dyDescent="0.15">
      <c r="A215" s="128">
        <v>40966</v>
      </c>
      <c r="B215" s="127">
        <v>19.059999999999999</v>
      </c>
      <c r="C215" s="8">
        <v>21.9</v>
      </c>
      <c r="D215" s="8">
        <f t="shared" si="13"/>
        <v>17.52</v>
      </c>
    </row>
    <row r="216" spans="1:4" x14ac:dyDescent="0.15">
      <c r="A216" s="128">
        <v>40973</v>
      </c>
      <c r="B216" s="127">
        <v>18.86</v>
      </c>
      <c r="C216" s="8">
        <v>21.9</v>
      </c>
      <c r="D216" s="8">
        <f t="shared" si="13"/>
        <v>17.52</v>
      </c>
    </row>
    <row r="217" spans="1:4" x14ac:dyDescent="0.15">
      <c r="A217" s="128">
        <v>40980</v>
      </c>
      <c r="B217" s="127">
        <v>19.25</v>
      </c>
      <c r="C217" s="8">
        <v>21.9</v>
      </c>
      <c r="D217" s="8">
        <f t="shared" si="13"/>
        <v>17.52</v>
      </c>
    </row>
    <row r="218" spans="1:4" x14ac:dyDescent="0.15">
      <c r="A218" s="128">
        <v>40987</v>
      </c>
      <c r="B218" s="127">
        <v>19.829999999999998</v>
      </c>
      <c r="C218" s="8">
        <v>21.9</v>
      </c>
      <c r="D218" s="8">
        <f t="shared" si="13"/>
        <v>17.52</v>
      </c>
    </row>
    <row r="219" spans="1:4" x14ac:dyDescent="0.15">
      <c r="A219" s="128">
        <v>40994</v>
      </c>
      <c r="B219" s="127">
        <v>19.79</v>
      </c>
      <c r="C219" s="8">
        <v>21.9</v>
      </c>
      <c r="D219" s="8">
        <f t="shared" si="13"/>
        <v>17.52</v>
      </c>
    </row>
    <row r="220" spans="1:4" x14ac:dyDescent="0.15">
      <c r="A220" s="128">
        <v>41001</v>
      </c>
      <c r="B220" s="127">
        <v>19.59</v>
      </c>
      <c r="C220" s="8">
        <v>21.9</v>
      </c>
      <c r="D220" s="8">
        <f t="shared" si="13"/>
        <v>17.52</v>
      </c>
    </row>
    <row r="221" spans="1:4" x14ac:dyDescent="0.15">
      <c r="A221" s="128">
        <v>41008</v>
      </c>
      <c r="B221" s="127">
        <v>18.53</v>
      </c>
      <c r="C221" s="8">
        <v>21.9</v>
      </c>
      <c r="D221" s="8">
        <f t="shared" si="13"/>
        <v>17.52</v>
      </c>
    </row>
    <row r="222" spans="1:4" x14ac:dyDescent="0.15">
      <c r="A222" s="128">
        <v>41015</v>
      </c>
      <c r="B222" s="127">
        <v>18.79</v>
      </c>
      <c r="C222" s="8">
        <v>21.9</v>
      </c>
      <c r="D222" s="8">
        <f t="shared" si="13"/>
        <v>17.52</v>
      </c>
    </row>
    <row r="223" spans="1:4" x14ac:dyDescent="0.15">
      <c r="A223" s="128">
        <v>41022</v>
      </c>
      <c r="B223" s="127">
        <v>18.84</v>
      </c>
      <c r="C223" s="8">
        <v>21.9</v>
      </c>
      <c r="D223" s="8">
        <f t="shared" si="13"/>
        <v>17.52</v>
      </c>
    </row>
    <row r="224" spans="1:4" x14ac:dyDescent="0.15">
      <c r="A224" s="128">
        <v>41029</v>
      </c>
      <c r="B224" s="127">
        <v>18.350000000000001</v>
      </c>
      <c r="C224" s="8">
        <v>21.9</v>
      </c>
      <c r="D224" s="8">
        <f t="shared" si="13"/>
        <v>17.52</v>
      </c>
    </row>
    <row r="225" spans="1:4" x14ac:dyDescent="0.15">
      <c r="A225" s="128">
        <v>41036</v>
      </c>
      <c r="B225" s="127">
        <v>18.149999999999999</v>
      </c>
      <c r="C225" s="8">
        <v>21.9</v>
      </c>
      <c r="D225" s="8">
        <f t="shared" si="13"/>
        <v>17.52</v>
      </c>
    </row>
    <row r="226" spans="1:4" x14ac:dyDescent="0.15">
      <c r="A226" s="128">
        <v>41043</v>
      </c>
      <c r="B226" s="127">
        <v>18.14</v>
      </c>
      <c r="C226" s="8">
        <v>21.9</v>
      </c>
      <c r="D226" s="8">
        <f t="shared" si="13"/>
        <v>17.52</v>
      </c>
    </row>
    <row r="227" spans="1:4" x14ac:dyDescent="0.15">
      <c r="A227" s="128">
        <v>41050</v>
      </c>
      <c r="B227" s="127">
        <v>18.45</v>
      </c>
      <c r="C227" s="8">
        <v>21.9</v>
      </c>
      <c r="D227" s="8">
        <f t="shared" si="13"/>
        <v>17.52</v>
      </c>
    </row>
    <row r="228" spans="1:4" x14ac:dyDescent="0.15">
      <c r="A228" s="128">
        <v>41057</v>
      </c>
      <c r="B228" s="127">
        <v>18.03</v>
      </c>
      <c r="C228" s="8">
        <v>21.9</v>
      </c>
      <c r="D228" s="8">
        <f t="shared" si="13"/>
        <v>17.52</v>
      </c>
    </row>
    <row r="229" spans="1:4" x14ac:dyDescent="0.15">
      <c r="A229" s="128">
        <v>41064</v>
      </c>
      <c r="B229" s="127">
        <v>18.34</v>
      </c>
      <c r="C229" s="8">
        <v>21.9</v>
      </c>
      <c r="D229" s="8">
        <f t="shared" si="13"/>
        <v>17.52</v>
      </c>
    </row>
    <row r="230" spans="1:4" x14ac:dyDescent="0.15">
      <c r="A230" s="128">
        <v>41071</v>
      </c>
      <c r="B230" s="127">
        <v>18.149999999999999</v>
      </c>
      <c r="C230" s="8">
        <v>21.9</v>
      </c>
      <c r="D230" s="8">
        <f t="shared" si="13"/>
        <v>17.52</v>
      </c>
    </row>
    <row r="231" spans="1:4" x14ac:dyDescent="0.15">
      <c r="A231" s="128">
        <v>41078</v>
      </c>
      <c r="B231" s="127">
        <v>18.37</v>
      </c>
      <c r="C231" s="8">
        <v>21.9</v>
      </c>
      <c r="D231" s="8">
        <f t="shared" si="13"/>
        <v>17.52</v>
      </c>
    </row>
    <row r="232" spans="1:4" x14ac:dyDescent="0.15">
      <c r="A232" s="128">
        <v>41085</v>
      </c>
      <c r="B232" s="127">
        <v>18.260000000000002</v>
      </c>
      <c r="C232" s="8">
        <v>21.9</v>
      </c>
      <c r="D232" s="8">
        <f t="shared" si="13"/>
        <v>17.52</v>
      </c>
    </row>
    <row r="233" spans="1:4" x14ac:dyDescent="0.15">
      <c r="A233" s="128">
        <v>41092</v>
      </c>
      <c r="B233" s="127">
        <v>18.579999999999998</v>
      </c>
      <c r="C233" s="8">
        <v>21.9</v>
      </c>
      <c r="D233" s="8">
        <f t="shared" si="13"/>
        <v>17.52</v>
      </c>
    </row>
    <row r="234" spans="1:4" x14ac:dyDescent="0.15">
      <c r="A234" s="128">
        <v>41099</v>
      </c>
      <c r="B234" s="127">
        <v>19.010000000000002</v>
      </c>
      <c r="C234" s="8">
        <v>21.9</v>
      </c>
      <c r="D234" s="8">
        <f t="shared" si="13"/>
        <v>17.52</v>
      </c>
    </row>
    <row r="235" spans="1:4" x14ac:dyDescent="0.15">
      <c r="A235" s="128">
        <v>41106</v>
      </c>
      <c r="B235" s="127">
        <v>18.55</v>
      </c>
      <c r="C235" s="8">
        <v>21.9</v>
      </c>
      <c r="D235" s="8">
        <f t="shared" si="13"/>
        <v>17.52</v>
      </c>
    </row>
    <row r="236" spans="1:4" x14ac:dyDescent="0.15">
      <c r="A236" s="128">
        <v>41113</v>
      </c>
      <c r="B236" s="127">
        <v>18.96</v>
      </c>
      <c r="C236" s="8">
        <v>21.9</v>
      </c>
      <c r="D236" s="8">
        <f t="shared" si="13"/>
        <v>17.52</v>
      </c>
    </row>
    <row r="237" spans="1:4" x14ac:dyDescent="0.15">
      <c r="A237" s="128">
        <v>41120</v>
      </c>
      <c r="B237" s="127">
        <v>18.8</v>
      </c>
      <c r="C237" s="8">
        <v>21.9</v>
      </c>
      <c r="D237" s="8">
        <f t="shared" si="13"/>
        <v>17.52</v>
      </c>
    </row>
    <row r="238" spans="1:4" x14ac:dyDescent="0.15">
      <c r="A238" s="128">
        <v>41127</v>
      </c>
      <c r="B238" s="127">
        <v>18.91</v>
      </c>
      <c r="C238" s="8">
        <v>21.9</v>
      </c>
      <c r="D238" s="8">
        <f t="shared" si="13"/>
        <v>17.52</v>
      </c>
    </row>
    <row r="239" spans="1:4" x14ac:dyDescent="0.15">
      <c r="A239" s="128">
        <v>41134</v>
      </c>
      <c r="B239" s="127">
        <v>19.149999999999999</v>
      </c>
      <c r="C239" s="8">
        <v>21.9</v>
      </c>
      <c r="D239" s="8">
        <f t="shared" si="13"/>
        <v>17.52</v>
      </c>
    </row>
    <row r="240" spans="1:4" x14ac:dyDescent="0.15">
      <c r="A240" s="128">
        <v>41141</v>
      </c>
      <c r="B240" s="127">
        <v>19.13</v>
      </c>
      <c r="C240" s="8">
        <v>21.9</v>
      </c>
      <c r="D240" s="8">
        <f t="shared" si="13"/>
        <v>17.52</v>
      </c>
    </row>
    <row r="241" spans="1:4" x14ac:dyDescent="0.15">
      <c r="A241" s="128">
        <v>41148</v>
      </c>
      <c r="B241" s="127">
        <v>19.29</v>
      </c>
      <c r="C241" s="8">
        <v>21.9</v>
      </c>
      <c r="D241" s="8">
        <f t="shared" si="13"/>
        <v>17.52</v>
      </c>
    </row>
    <row r="242" spans="1:4" x14ac:dyDescent="0.15">
      <c r="A242" s="128">
        <v>41155</v>
      </c>
      <c r="B242" s="127">
        <v>19.52</v>
      </c>
      <c r="C242" s="8">
        <v>21.9</v>
      </c>
      <c r="D242" s="8">
        <f t="shared" si="13"/>
        <v>17.52</v>
      </c>
    </row>
    <row r="243" spans="1:4" x14ac:dyDescent="0.15">
      <c r="A243" s="128">
        <v>41162</v>
      </c>
      <c r="B243" s="127">
        <v>19.27</v>
      </c>
      <c r="C243" s="8">
        <v>21.9</v>
      </c>
      <c r="D243" s="8">
        <f t="shared" si="13"/>
        <v>17.52</v>
      </c>
    </row>
    <row r="244" spans="1:4" x14ac:dyDescent="0.15">
      <c r="A244" s="128">
        <v>41169</v>
      </c>
      <c r="B244" s="127">
        <v>19.309999999999999</v>
      </c>
      <c r="C244" s="8">
        <v>21.9</v>
      </c>
      <c r="D244" s="8">
        <f t="shared" si="13"/>
        <v>17.52</v>
      </c>
    </row>
    <row r="245" spans="1:4" x14ac:dyDescent="0.15">
      <c r="A245" s="128">
        <v>41176</v>
      </c>
      <c r="B245" s="127">
        <v>19.329999999999998</v>
      </c>
      <c r="C245" s="8">
        <v>21.9</v>
      </c>
      <c r="D245" s="8">
        <f t="shared" si="13"/>
        <v>17.52</v>
      </c>
    </row>
    <row r="246" spans="1:4" x14ac:dyDescent="0.15">
      <c r="A246" s="128">
        <v>41183</v>
      </c>
      <c r="B246" s="127">
        <v>19.510000000000002</v>
      </c>
      <c r="C246" s="8">
        <v>21.9</v>
      </c>
      <c r="D246" s="8">
        <f t="shared" si="13"/>
        <v>17.52</v>
      </c>
    </row>
    <row r="247" spans="1:4" x14ac:dyDescent="0.15">
      <c r="A247" s="128">
        <v>41190</v>
      </c>
      <c r="B247" s="127">
        <v>19.52</v>
      </c>
      <c r="C247" s="8">
        <v>21.9</v>
      </c>
      <c r="D247" s="8">
        <f t="shared" si="13"/>
        <v>17.52</v>
      </c>
    </row>
    <row r="248" spans="1:4" x14ac:dyDescent="0.15">
      <c r="A248" s="128">
        <v>41197</v>
      </c>
      <c r="B248" s="127">
        <v>19.86</v>
      </c>
      <c r="C248" s="8">
        <v>21.9</v>
      </c>
      <c r="D248" s="8">
        <f t="shared" si="13"/>
        <v>17.52</v>
      </c>
    </row>
    <row r="249" spans="1:4" x14ac:dyDescent="0.15">
      <c r="A249" s="128">
        <v>41204</v>
      </c>
      <c r="B249" s="127">
        <v>20.32</v>
      </c>
      <c r="C249" s="8">
        <v>21.9</v>
      </c>
      <c r="D249" s="8">
        <f t="shared" si="13"/>
        <v>17.52</v>
      </c>
    </row>
    <row r="250" spans="1:4" x14ac:dyDescent="0.15">
      <c r="A250" s="128">
        <v>41211</v>
      </c>
      <c r="B250" s="127">
        <v>20.67</v>
      </c>
      <c r="C250" s="8">
        <v>21.9</v>
      </c>
      <c r="D250" s="8">
        <f t="shared" si="13"/>
        <v>17.52</v>
      </c>
    </row>
    <row r="251" spans="1:4" x14ac:dyDescent="0.15">
      <c r="A251" s="128">
        <v>41218</v>
      </c>
      <c r="B251" s="127">
        <v>20.77</v>
      </c>
      <c r="C251" s="8">
        <v>21.9</v>
      </c>
      <c r="D251" s="8">
        <f t="shared" si="13"/>
        <v>17.52</v>
      </c>
    </row>
    <row r="252" spans="1:4" x14ac:dyDescent="0.15">
      <c r="A252" s="128">
        <v>41225</v>
      </c>
      <c r="B252" s="127">
        <v>20.7</v>
      </c>
      <c r="C252" s="8">
        <v>21.9</v>
      </c>
      <c r="D252" s="8">
        <f t="shared" si="13"/>
        <v>17.52</v>
      </c>
    </row>
    <row r="253" spans="1:4" x14ac:dyDescent="0.15">
      <c r="A253" s="128">
        <v>41232</v>
      </c>
      <c r="B253" s="127">
        <v>20.96</v>
      </c>
      <c r="C253" s="8">
        <v>21.9</v>
      </c>
      <c r="D253" s="8">
        <f t="shared" si="13"/>
        <v>17.52</v>
      </c>
    </row>
    <row r="254" spans="1:4" x14ac:dyDescent="0.15">
      <c r="A254" s="128">
        <v>41239</v>
      </c>
      <c r="B254" s="127">
        <v>21.21</v>
      </c>
      <c r="C254" s="8">
        <v>21.9</v>
      </c>
      <c r="D254" s="8">
        <f t="shared" si="13"/>
        <v>17.52</v>
      </c>
    </row>
    <row r="255" spans="1:4" x14ac:dyDescent="0.15">
      <c r="A255" s="128">
        <v>41246</v>
      </c>
      <c r="B255" s="127">
        <v>21.17</v>
      </c>
      <c r="C255" s="8">
        <v>21.9</v>
      </c>
      <c r="D255" s="8">
        <f t="shared" si="13"/>
        <v>17.52</v>
      </c>
    </row>
    <row r="256" spans="1:4" x14ac:dyDescent="0.15">
      <c r="A256" s="128">
        <v>41253</v>
      </c>
      <c r="B256" s="127">
        <v>21.51</v>
      </c>
      <c r="C256" s="8">
        <v>21.9</v>
      </c>
      <c r="D256" s="8">
        <f t="shared" si="13"/>
        <v>17.52</v>
      </c>
    </row>
    <row r="257" spans="1:4" x14ac:dyDescent="0.15">
      <c r="A257" s="128">
        <v>41260</v>
      </c>
      <c r="B257" s="127">
        <v>21.89</v>
      </c>
      <c r="C257" s="8">
        <v>21.9</v>
      </c>
      <c r="D257" s="8">
        <f t="shared" si="13"/>
        <v>17.52</v>
      </c>
    </row>
    <row r="258" spans="1:4" x14ac:dyDescent="0.15">
      <c r="A258" s="128">
        <v>41267</v>
      </c>
      <c r="B258" s="127">
        <v>21.98</v>
      </c>
      <c r="C258" s="8">
        <v>21.9</v>
      </c>
      <c r="D258" s="8">
        <f t="shared" si="13"/>
        <v>17.52</v>
      </c>
    </row>
    <row r="259" spans="1:4" x14ac:dyDescent="0.15">
      <c r="A259" s="128">
        <v>41274</v>
      </c>
      <c r="B259" s="127">
        <v>22.22</v>
      </c>
      <c r="C259" s="8">
        <v>21.9</v>
      </c>
      <c r="D259" s="8">
        <f t="shared" ref="D259:D274" si="14">C259*0.8</f>
        <v>17.52</v>
      </c>
    </row>
    <row r="260" spans="1:4" x14ac:dyDescent="0.15">
      <c r="A260" s="128">
        <v>41281</v>
      </c>
      <c r="B260" s="127">
        <v>22.34</v>
      </c>
      <c r="C260" s="8">
        <v>23.2</v>
      </c>
      <c r="D260" s="8">
        <f t="shared" si="14"/>
        <v>18.559999999999999</v>
      </c>
    </row>
    <row r="261" spans="1:4" x14ac:dyDescent="0.15">
      <c r="A261" s="128">
        <v>41288</v>
      </c>
      <c r="B261" s="127">
        <v>22.92</v>
      </c>
      <c r="C261" s="8">
        <v>23.2</v>
      </c>
      <c r="D261" s="8">
        <f t="shared" si="14"/>
        <v>18.559999999999999</v>
      </c>
    </row>
    <row r="262" spans="1:4" x14ac:dyDescent="0.15">
      <c r="A262" s="128">
        <v>41295</v>
      </c>
      <c r="B262" s="127">
        <v>22.99</v>
      </c>
      <c r="C262" s="8">
        <v>23.2</v>
      </c>
      <c r="D262" s="8">
        <f t="shared" si="14"/>
        <v>18.559999999999999</v>
      </c>
    </row>
    <row r="263" spans="1:4" x14ac:dyDescent="0.15">
      <c r="A263" s="128">
        <v>41302</v>
      </c>
      <c r="B263" s="127">
        <v>22.92</v>
      </c>
      <c r="C263" s="8">
        <v>23.2</v>
      </c>
      <c r="D263" s="8">
        <f t="shared" si="14"/>
        <v>18.559999999999999</v>
      </c>
    </row>
    <row r="264" spans="1:4" x14ac:dyDescent="0.15">
      <c r="A264" s="128">
        <v>41309</v>
      </c>
      <c r="B264" s="127">
        <v>23.08</v>
      </c>
      <c r="C264" s="8">
        <v>23.2</v>
      </c>
      <c r="D264" s="8">
        <f t="shared" si="14"/>
        <v>18.559999999999999</v>
      </c>
    </row>
    <row r="265" spans="1:4" x14ac:dyDescent="0.15">
      <c r="A265" s="128">
        <v>41316</v>
      </c>
      <c r="B265" s="127">
        <v>23.29</v>
      </c>
      <c r="C265" s="8">
        <v>23.2</v>
      </c>
      <c r="D265" s="8">
        <f t="shared" si="14"/>
        <v>18.559999999999999</v>
      </c>
    </row>
    <row r="266" spans="1:4" x14ac:dyDescent="0.15">
      <c r="A266" s="128">
        <v>41323</v>
      </c>
      <c r="B266" s="127">
        <v>23.87</v>
      </c>
      <c r="C266" s="8">
        <v>23.2</v>
      </c>
      <c r="D266" s="8">
        <f t="shared" si="14"/>
        <v>18.559999999999999</v>
      </c>
    </row>
    <row r="267" spans="1:4" x14ac:dyDescent="0.15">
      <c r="A267" s="128">
        <v>41330</v>
      </c>
      <c r="B267" s="127">
        <v>23.96</v>
      </c>
      <c r="C267" s="8">
        <v>23.2</v>
      </c>
      <c r="D267" s="8">
        <f t="shared" si="14"/>
        <v>18.559999999999999</v>
      </c>
    </row>
    <row r="268" spans="1:4" x14ac:dyDescent="0.15">
      <c r="A268" s="128">
        <v>41337</v>
      </c>
      <c r="B268" s="127">
        <v>24.02</v>
      </c>
      <c r="C268" s="8">
        <v>23.2</v>
      </c>
      <c r="D268" s="8">
        <f t="shared" si="14"/>
        <v>18.559999999999999</v>
      </c>
    </row>
    <row r="269" spans="1:4" x14ac:dyDescent="0.15">
      <c r="A269" s="128">
        <v>41344</v>
      </c>
      <c r="B269" s="127">
        <v>24.37</v>
      </c>
      <c r="C269" s="8">
        <v>23.2</v>
      </c>
      <c r="D269" s="8">
        <f t="shared" si="14"/>
        <v>18.559999999999999</v>
      </c>
    </row>
    <row r="270" spans="1:4" x14ac:dyDescent="0.15">
      <c r="A270" s="128">
        <v>41351</v>
      </c>
      <c r="B270" s="127">
        <v>24.4</v>
      </c>
      <c r="C270" s="8">
        <v>23.2</v>
      </c>
      <c r="D270" s="8">
        <f t="shared" si="14"/>
        <v>18.559999999999999</v>
      </c>
    </row>
    <row r="271" spans="1:4" x14ac:dyDescent="0.15">
      <c r="A271" s="128">
        <v>41358</v>
      </c>
      <c r="B271" s="127">
        <v>24.71</v>
      </c>
      <c r="C271" s="8">
        <v>23.2</v>
      </c>
      <c r="D271" s="8">
        <f t="shared" si="14"/>
        <v>18.559999999999999</v>
      </c>
    </row>
    <row r="272" spans="1:4" x14ac:dyDescent="0.15">
      <c r="A272" s="128">
        <v>41365</v>
      </c>
      <c r="B272" s="127">
        <v>24.04</v>
      </c>
      <c r="C272" s="8">
        <v>23.2</v>
      </c>
      <c r="D272" s="8">
        <f t="shared" si="14"/>
        <v>18.559999999999999</v>
      </c>
    </row>
    <row r="273" spans="1:4" x14ac:dyDescent="0.15">
      <c r="A273" s="128">
        <v>41372</v>
      </c>
      <c r="B273" s="127">
        <v>23.85</v>
      </c>
      <c r="C273" s="8">
        <v>23.2</v>
      </c>
      <c r="D273" s="8">
        <f t="shared" si="14"/>
        <v>18.559999999999999</v>
      </c>
    </row>
    <row r="274" spans="1:4" x14ac:dyDescent="0.15">
      <c r="A274" s="128">
        <v>41379</v>
      </c>
      <c r="B274" s="127">
        <v>22.77</v>
      </c>
      <c r="C274" s="8">
        <v>23.2</v>
      </c>
      <c r="D274" s="8">
        <f t="shared" si="14"/>
        <v>18.559999999999999</v>
      </c>
    </row>
  </sheetData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31" workbookViewId="0">
      <selection activeCell="O57" sqref="O57"/>
    </sheetView>
  </sheetViews>
  <sheetFormatPr defaultRowHeight="15" x14ac:dyDescent="0.15"/>
  <cols>
    <col min="1" max="1" width="23.25" style="8" bestFit="1" customWidth="1"/>
    <col min="2" max="2" width="7" style="8" bestFit="1" customWidth="1"/>
    <col min="3" max="4" width="8" style="8" bestFit="1" customWidth="1"/>
    <col min="5" max="5" width="7.25" style="8" bestFit="1" customWidth="1"/>
    <col min="6" max="6" width="13" style="8" bestFit="1" customWidth="1"/>
    <col min="7" max="8" width="5" style="8" bestFit="1" customWidth="1"/>
    <col min="9" max="9" width="11.625" style="8" bestFit="1" customWidth="1"/>
    <col min="10" max="10" width="10.25" style="8" bestFit="1" customWidth="1"/>
    <col min="11" max="11" width="13.125" style="8" bestFit="1" customWidth="1"/>
    <col min="12" max="12" width="11.625" style="8" bestFit="1" customWidth="1"/>
    <col min="13" max="14" width="9" style="8"/>
    <col min="15" max="15" width="12.875" style="8" bestFit="1" customWidth="1"/>
    <col min="16" max="16384" width="9" style="8"/>
  </cols>
  <sheetData>
    <row r="1" spans="1:16" x14ac:dyDescent="0.15">
      <c r="A1" s="8" t="s">
        <v>706</v>
      </c>
      <c r="B1" s="115" t="s">
        <v>707</v>
      </c>
      <c r="C1" s="115" t="s">
        <v>708</v>
      </c>
      <c r="D1" s="115" t="s">
        <v>710</v>
      </c>
      <c r="E1" s="115" t="s">
        <v>720</v>
      </c>
      <c r="F1" s="115" t="s">
        <v>730</v>
      </c>
      <c r="G1" s="115" t="s">
        <v>731</v>
      </c>
      <c r="H1" s="115" t="s">
        <v>732</v>
      </c>
      <c r="I1" s="115" t="s">
        <v>733</v>
      </c>
      <c r="J1" s="115" t="s">
        <v>734</v>
      </c>
      <c r="K1" s="115" t="s">
        <v>735</v>
      </c>
      <c r="L1" s="115" t="s">
        <v>631</v>
      </c>
      <c r="M1" s="115" t="s">
        <v>736</v>
      </c>
      <c r="N1" s="115" t="s">
        <v>737</v>
      </c>
      <c r="O1" s="8" t="s">
        <v>738</v>
      </c>
      <c r="P1" s="8" t="s">
        <v>739</v>
      </c>
    </row>
    <row r="2" spans="1:16" x14ac:dyDescent="0.15">
      <c r="A2" s="8" t="s">
        <v>688</v>
      </c>
      <c r="B2" s="115" t="s">
        <v>689</v>
      </c>
      <c r="C2" s="115">
        <v>23.11</v>
      </c>
      <c r="D2" s="115" t="s">
        <v>711</v>
      </c>
      <c r="E2" s="115" t="s">
        <v>721</v>
      </c>
      <c r="F2" s="179">
        <v>0.1174</v>
      </c>
      <c r="G2" s="115">
        <v>1.61</v>
      </c>
      <c r="H2" s="115">
        <v>1.02</v>
      </c>
      <c r="I2" s="115">
        <v>0.7</v>
      </c>
      <c r="J2" s="115">
        <v>0.5</v>
      </c>
      <c r="K2" s="115">
        <v>3.4</v>
      </c>
      <c r="L2" s="179">
        <v>0.51200000000000001</v>
      </c>
      <c r="M2" s="8">
        <v>20.3</v>
      </c>
      <c r="N2" s="178">
        <v>6</v>
      </c>
      <c r="O2" s="8">
        <v>6</v>
      </c>
      <c r="P2" s="8">
        <v>1.86</v>
      </c>
    </row>
    <row r="3" spans="1:16" x14ac:dyDescent="0.15">
      <c r="A3" s="8" t="s">
        <v>690</v>
      </c>
      <c r="B3" s="115" t="s">
        <v>691</v>
      </c>
      <c r="C3" s="115">
        <v>47.16</v>
      </c>
      <c r="D3" s="115" t="s">
        <v>712</v>
      </c>
      <c r="E3" s="115" t="s">
        <v>722</v>
      </c>
      <c r="F3" s="179">
        <v>2.5100000000000001E-2</v>
      </c>
      <c r="G3" s="115">
        <v>3.39</v>
      </c>
      <c r="H3" s="115">
        <v>2.2200000000000002</v>
      </c>
      <c r="I3" s="115">
        <v>0.6</v>
      </c>
      <c r="J3" s="115">
        <v>0.5</v>
      </c>
      <c r="K3" s="115">
        <v>3.9</v>
      </c>
      <c r="L3" s="179">
        <v>0.39500000000000002</v>
      </c>
      <c r="M3" s="8">
        <v>29.1</v>
      </c>
      <c r="N3" s="8">
        <v>7.5</v>
      </c>
      <c r="O3" s="8">
        <v>5</v>
      </c>
      <c r="P3" s="8">
        <v>1.86</v>
      </c>
    </row>
    <row r="4" spans="1:16" x14ac:dyDescent="0.15">
      <c r="A4" s="8" t="s">
        <v>694</v>
      </c>
      <c r="B4" s="115" t="s">
        <v>692</v>
      </c>
      <c r="C4" s="115">
        <v>51.76</v>
      </c>
      <c r="D4" s="115" t="s">
        <v>713</v>
      </c>
      <c r="E4" s="115" t="s">
        <v>723</v>
      </c>
      <c r="F4" s="179">
        <v>3.9699999999999999E-2</v>
      </c>
      <c r="G4" s="115">
        <v>3.26</v>
      </c>
      <c r="H4" s="115">
        <v>1.58</v>
      </c>
      <c r="I4" s="115">
        <v>0.7</v>
      </c>
      <c r="J4" s="115">
        <v>0.6</v>
      </c>
      <c r="K4" s="115">
        <v>5.2</v>
      </c>
      <c r="L4" s="179">
        <v>0.70299999999999996</v>
      </c>
      <c r="M4" s="8">
        <v>45.1</v>
      </c>
      <c r="N4" s="8">
        <v>8.6999999999999993</v>
      </c>
      <c r="O4" s="8">
        <v>6</v>
      </c>
      <c r="P4" s="8">
        <v>1.91</v>
      </c>
    </row>
    <row r="5" spans="1:16" x14ac:dyDescent="0.15">
      <c r="A5" s="8" t="s">
        <v>695</v>
      </c>
      <c r="B5" s="115" t="s">
        <v>696</v>
      </c>
      <c r="C5" s="115">
        <v>36.25</v>
      </c>
      <c r="D5" s="115" t="s">
        <v>714</v>
      </c>
      <c r="E5" s="115" t="s">
        <v>724</v>
      </c>
      <c r="F5" s="179">
        <v>3.0599999999999999E-2</v>
      </c>
      <c r="G5" s="115">
        <v>2.02</v>
      </c>
      <c r="H5" s="115">
        <v>1.22</v>
      </c>
      <c r="I5" s="115">
        <v>0.5</v>
      </c>
      <c r="J5" s="115">
        <v>0.4</v>
      </c>
      <c r="K5" s="115">
        <v>2.7</v>
      </c>
      <c r="L5" s="179">
        <v>0.55300000000000005</v>
      </c>
      <c r="M5" s="8">
        <v>16.2</v>
      </c>
      <c r="N5" s="8">
        <v>6.1</v>
      </c>
      <c r="O5" s="8">
        <v>5</v>
      </c>
      <c r="P5" s="8">
        <v>1.42</v>
      </c>
    </row>
    <row r="6" spans="1:16" x14ac:dyDescent="0.15">
      <c r="A6" s="8" t="s">
        <v>697</v>
      </c>
      <c r="B6" s="115" t="s">
        <v>698</v>
      </c>
      <c r="C6" s="115">
        <v>44.35</v>
      </c>
      <c r="D6" s="115" t="s">
        <v>715</v>
      </c>
      <c r="E6" s="115" t="s">
        <v>726</v>
      </c>
      <c r="F6" s="179">
        <v>5.1700000000000003E-2</v>
      </c>
      <c r="G6" s="115">
        <v>4.59</v>
      </c>
      <c r="H6" s="180">
        <v>1</v>
      </c>
      <c r="I6" s="115">
        <v>0.9</v>
      </c>
      <c r="J6" s="115">
        <v>0.9</v>
      </c>
      <c r="K6" s="115">
        <v>2.4</v>
      </c>
      <c r="L6" s="179">
        <v>0.497</v>
      </c>
      <c r="M6" s="8">
        <v>18.899999999999999</v>
      </c>
      <c r="N6" s="8">
        <v>7.7</v>
      </c>
      <c r="O6" s="8">
        <v>4</v>
      </c>
      <c r="P6" s="8">
        <v>1.37</v>
      </c>
    </row>
    <row r="7" spans="1:16" x14ac:dyDescent="0.15">
      <c r="A7" s="8" t="s">
        <v>699</v>
      </c>
      <c r="B7" s="115" t="s">
        <v>700</v>
      </c>
      <c r="C7" s="115">
        <v>45.95</v>
      </c>
      <c r="D7" s="115" t="s">
        <v>716</v>
      </c>
      <c r="E7" s="115" t="s">
        <v>727</v>
      </c>
      <c r="F7" s="179">
        <v>-9.3200000000000005E-2</v>
      </c>
      <c r="G7" s="115">
        <v>2.56</v>
      </c>
      <c r="H7" s="180">
        <v>0.2</v>
      </c>
      <c r="I7" s="115">
        <v>0.9</v>
      </c>
      <c r="J7" s="115">
        <v>0.7</v>
      </c>
      <c r="K7" s="115">
        <v>6.9</v>
      </c>
      <c r="L7" s="179">
        <v>0.56999999999999995</v>
      </c>
      <c r="M7" s="8">
        <v>20.399999999999999</v>
      </c>
      <c r="N7" s="178">
        <v>3</v>
      </c>
      <c r="O7" s="8">
        <v>7</v>
      </c>
      <c r="P7" s="8">
        <v>0.95</v>
      </c>
    </row>
    <row r="8" spans="1:16" x14ac:dyDescent="0.15">
      <c r="A8" s="8" t="s">
        <v>705</v>
      </c>
      <c r="B8" s="115" t="s">
        <v>701</v>
      </c>
      <c r="C8" s="115">
        <v>24.46</v>
      </c>
      <c r="D8" s="115" t="s">
        <v>717</v>
      </c>
      <c r="E8" s="115" t="s">
        <v>725</v>
      </c>
      <c r="F8" s="179">
        <v>1.89E-2</v>
      </c>
      <c r="G8" s="115">
        <v>1.78</v>
      </c>
      <c r="H8" s="115">
        <v>0.92</v>
      </c>
      <c r="I8" s="115">
        <v>1.2</v>
      </c>
      <c r="J8" s="115">
        <v>1.1000000000000001</v>
      </c>
      <c r="K8" s="115">
        <v>1.9</v>
      </c>
      <c r="L8" s="179">
        <v>0.63700000000000001</v>
      </c>
      <c r="M8" s="178">
        <v>14</v>
      </c>
      <c r="N8" s="8">
        <v>7.5</v>
      </c>
      <c r="O8" s="8">
        <v>5</v>
      </c>
      <c r="P8" s="8">
        <v>2.21</v>
      </c>
    </row>
    <row r="9" spans="1:16" x14ac:dyDescent="0.15">
      <c r="A9" s="8" t="s">
        <v>702</v>
      </c>
      <c r="B9" s="115" t="s">
        <v>703</v>
      </c>
      <c r="C9" s="115">
        <v>48.78</v>
      </c>
      <c r="D9" s="115" t="s">
        <v>718</v>
      </c>
      <c r="E9" s="115" t="s">
        <v>728</v>
      </c>
      <c r="F9" s="179">
        <v>5.1200000000000002E-2</v>
      </c>
      <c r="G9" s="115">
        <v>3.08</v>
      </c>
      <c r="H9" s="180">
        <v>0.5</v>
      </c>
      <c r="I9" s="115">
        <v>1.5</v>
      </c>
      <c r="J9" s="115">
        <v>0.9</v>
      </c>
      <c r="K9" s="181">
        <v>3</v>
      </c>
      <c r="L9" s="179">
        <v>0.377</v>
      </c>
      <c r="M9" s="8">
        <v>21.1</v>
      </c>
      <c r="N9" s="178">
        <v>7</v>
      </c>
      <c r="O9" s="8">
        <v>4</v>
      </c>
      <c r="P9" s="8">
        <v>1.86</v>
      </c>
    </row>
    <row r="10" spans="1:16" x14ac:dyDescent="0.15">
      <c r="A10" s="8" t="s">
        <v>704</v>
      </c>
      <c r="B10" s="115" t="s">
        <v>709</v>
      </c>
      <c r="C10" s="115">
        <v>32.11</v>
      </c>
      <c r="D10" s="115" t="s">
        <v>719</v>
      </c>
      <c r="E10" s="115" t="s">
        <v>729</v>
      </c>
      <c r="F10" s="179">
        <v>-2.3400000000000001E-2</v>
      </c>
      <c r="G10" s="115">
        <v>2.63</v>
      </c>
      <c r="H10" s="180">
        <v>1.7</v>
      </c>
      <c r="I10" s="115">
        <v>0.5</v>
      </c>
      <c r="J10" s="115">
        <v>0.4</v>
      </c>
      <c r="K10" s="115">
        <v>3.4</v>
      </c>
      <c r="L10" s="179">
        <v>0.35799999999999998</v>
      </c>
      <c r="M10" s="8">
        <v>21.7</v>
      </c>
      <c r="N10" s="8">
        <v>6.4</v>
      </c>
      <c r="O10" s="8">
        <v>5</v>
      </c>
      <c r="P10" s="8">
        <v>1.66</v>
      </c>
    </row>
    <row r="53" spans="11:14" x14ac:dyDescent="0.15">
      <c r="K53" s="8" t="s">
        <v>741</v>
      </c>
      <c r="M53" s="8" t="s">
        <v>693</v>
      </c>
    </row>
    <row r="54" spans="11:14" x14ac:dyDescent="0.15">
      <c r="M54" s="8" t="s">
        <v>742</v>
      </c>
      <c r="N54" s="8">
        <v>15.9</v>
      </c>
    </row>
    <row r="55" spans="11:14" x14ac:dyDescent="0.15">
      <c r="M55" s="8" t="s">
        <v>743</v>
      </c>
      <c r="N55" s="8">
        <v>7.36</v>
      </c>
    </row>
    <row r="56" spans="11:14" x14ac:dyDescent="0.15">
      <c r="M56" s="8" t="s">
        <v>744</v>
      </c>
      <c r="N56" s="8">
        <v>1.83</v>
      </c>
    </row>
    <row r="58" spans="11:14" x14ac:dyDescent="0.15">
      <c r="L58" s="8" t="s">
        <v>745</v>
      </c>
      <c r="M58" s="8" t="s">
        <v>746</v>
      </c>
      <c r="N58" s="8" t="s">
        <v>747</v>
      </c>
    </row>
    <row r="59" spans="11:14" x14ac:dyDescent="0.15">
      <c r="L59" s="8">
        <v>1.61</v>
      </c>
      <c r="M59" s="8">
        <v>8.9600000000000009</v>
      </c>
      <c r="N59" s="8">
        <v>11.16</v>
      </c>
    </row>
    <row r="60" spans="11:14" x14ac:dyDescent="0.15">
      <c r="L60" s="8">
        <f>N54*L59</f>
        <v>25.599000000000004</v>
      </c>
      <c r="M60" s="8">
        <f>N55*M59</f>
        <v>65.945600000000013</v>
      </c>
      <c r="N60" s="8">
        <f>N59*N56</f>
        <v>20.422800000000002</v>
      </c>
    </row>
  </sheetData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5"/>
  <sheetViews>
    <sheetView showGridLines="0" zoomScale="140" zoomScaleNormal="140" workbookViewId="0">
      <selection activeCell="Q25" sqref="Q25"/>
    </sheetView>
  </sheetViews>
  <sheetFormatPr defaultRowHeight="15" x14ac:dyDescent="0.15"/>
  <cols>
    <col min="1" max="1" width="9" style="8"/>
    <col min="2" max="2" width="18.625" style="8" bestFit="1" customWidth="1"/>
    <col min="3" max="3" width="11.125" style="8" bestFit="1" customWidth="1"/>
    <col min="4" max="4" width="9" style="8" customWidth="1"/>
    <col min="5" max="16384" width="9" style="8"/>
  </cols>
  <sheetData>
    <row r="2" spans="2:4" ht="18.75" x14ac:dyDescent="0.15">
      <c r="B2" s="188" t="s">
        <v>748</v>
      </c>
      <c r="C2" s="62"/>
      <c r="D2" s="60"/>
    </row>
    <row r="3" spans="2:4" x14ac:dyDescent="0.15">
      <c r="B3" s="11" t="s">
        <v>749</v>
      </c>
      <c r="C3" s="12" t="s">
        <v>760</v>
      </c>
      <c r="D3" s="13"/>
    </row>
    <row r="4" spans="2:4" x14ac:dyDescent="0.15">
      <c r="B4" s="14" t="s">
        <v>750</v>
      </c>
      <c r="C4" s="189">
        <v>897732</v>
      </c>
      <c r="D4" s="15"/>
    </row>
    <row r="5" spans="2:4" x14ac:dyDescent="0.15">
      <c r="B5" s="14" t="s">
        <v>751</v>
      </c>
      <c r="C5" s="9">
        <v>0.68</v>
      </c>
      <c r="D5" s="15"/>
    </row>
    <row r="6" spans="2:4" x14ac:dyDescent="0.15">
      <c r="B6" s="14" t="s">
        <v>752</v>
      </c>
      <c r="C6" s="9">
        <v>4.42</v>
      </c>
      <c r="D6" s="15"/>
    </row>
    <row r="7" spans="2:4" x14ac:dyDescent="0.15">
      <c r="B7" s="14" t="s">
        <v>753</v>
      </c>
      <c r="C7" s="190" t="s">
        <v>761</v>
      </c>
      <c r="D7" s="15"/>
    </row>
    <row r="8" spans="2:4" x14ac:dyDescent="0.15">
      <c r="B8" s="14" t="s">
        <v>754</v>
      </c>
      <c r="C8" s="190" t="s">
        <v>762</v>
      </c>
      <c r="D8" s="15"/>
    </row>
    <row r="9" spans="2:4" ht="3" customHeight="1" x14ac:dyDescent="0.15">
      <c r="B9" s="14"/>
      <c r="C9" s="9"/>
      <c r="D9" s="15"/>
    </row>
    <row r="10" spans="2:4" x14ac:dyDescent="0.15">
      <c r="B10" s="14" t="s">
        <v>755</v>
      </c>
      <c r="C10" s="41">
        <v>0.54</v>
      </c>
      <c r="D10" s="15"/>
    </row>
    <row r="11" spans="2:4" x14ac:dyDescent="0.15">
      <c r="B11" s="14" t="s">
        <v>756</v>
      </c>
      <c r="C11" s="191">
        <v>0.20499999999999999</v>
      </c>
      <c r="D11" s="15"/>
    </row>
    <row r="12" spans="2:4" ht="3" customHeight="1" x14ac:dyDescent="0.15">
      <c r="B12" s="14"/>
      <c r="C12" s="9"/>
      <c r="D12" s="15"/>
    </row>
    <row r="13" spans="2:4" x14ac:dyDescent="0.15">
      <c r="B13" s="14" t="s">
        <v>757</v>
      </c>
      <c r="C13" s="9">
        <v>8.4600000000000009</v>
      </c>
      <c r="D13" s="15"/>
    </row>
    <row r="14" spans="2:4" x14ac:dyDescent="0.15">
      <c r="B14" s="14" t="s">
        <v>758</v>
      </c>
      <c r="C14" s="9">
        <v>0.66</v>
      </c>
      <c r="D14" s="15"/>
    </row>
    <row r="15" spans="2:4" x14ac:dyDescent="0.15">
      <c r="B15" s="27" t="s">
        <v>759</v>
      </c>
      <c r="C15" s="10">
        <v>20.3</v>
      </c>
      <c r="D15" s="28"/>
    </row>
    <row r="19" spans="2:22" x14ac:dyDescent="0.15">
      <c r="P19" s="8">
        <v>5583.2</v>
      </c>
      <c r="Q19" s="8">
        <v>6314.5599999999995</v>
      </c>
      <c r="R19" s="8">
        <v>6994.4</v>
      </c>
      <c r="S19" s="8">
        <v>7757.4</v>
      </c>
      <c r="T19" s="8">
        <v>9007.32</v>
      </c>
      <c r="U19" s="8">
        <v>10511.199999999999</v>
      </c>
    </row>
    <row r="23" spans="2:22" x14ac:dyDescent="0.15">
      <c r="G23" s="8">
        <v>0.71</v>
      </c>
      <c r="H23" s="8">
        <v>0.82</v>
      </c>
      <c r="I23" s="8">
        <v>0.86</v>
      </c>
      <c r="J23" s="8">
        <v>0.9</v>
      </c>
      <c r="K23" s="8">
        <v>1.02</v>
      </c>
    </row>
    <row r="24" spans="2:22" x14ac:dyDescent="0.15">
      <c r="E24" s="8">
        <f>0.24*G25</f>
        <v>1.0399999999999998</v>
      </c>
      <c r="F24" s="8">
        <f>0.08*G25</f>
        <v>0.34666666666666662</v>
      </c>
      <c r="G24" s="8">
        <f>G23*$G$25</f>
        <v>3.0766666666666662</v>
      </c>
      <c r="H24" s="8">
        <f t="shared" ref="H24:J24" si="0">H23*$G$25</f>
        <v>3.5533333333333328</v>
      </c>
      <c r="I24" s="8">
        <v>3.52</v>
      </c>
      <c r="J24" s="8">
        <f t="shared" si="0"/>
        <v>3.9</v>
      </c>
      <c r="K24" s="8">
        <v>4.42</v>
      </c>
    </row>
    <row r="25" spans="2:22" x14ac:dyDescent="0.15">
      <c r="B25">
        <v>22.77</v>
      </c>
      <c r="G25" s="8">
        <f>K24/K23</f>
        <v>4.333333333333333</v>
      </c>
    </row>
    <row r="26" spans="2:22" x14ac:dyDescent="0.15">
      <c r="B26">
        <v>24.71</v>
      </c>
    </row>
    <row r="27" spans="2:22" x14ac:dyDescent="0.15">
      <c r="B27">
        <v>24.14</v>
      </c>
    </row>
    <row r="28" spans="2:22" x14ac:dyDescent="0.15">
      <c r="B28">
        <v>22.77</v>
      </c>
    </row>
    <row r="29" spans="2:22" x14ac:dyDescent="0.15">
      <c r="B29">
        <v>22.2</v>
      </c>
    </row>
    <row r="30" spans="2:22" x14ac:dyDescent="0.15">
      <c r="B30">
        <v>21.21</v>
      </c>
    </row>
    <row r="31" spans="2:22" x14ac:dyDescent="0.15">
      <c r="B31">
        <v>20.99</v>
      </c>
      <c r="G31" s="5">
        <v>244.7</v>
      </c>
      <c r="H31" s="5">
        <v>307.2</v>
      </c>
      <c r="I31" s="5">
        <v>336.3</v>
      </c>
      <c r="J31" s="5">
        <v>388.4</v>
      </c>
      <c r="K31" s="5">
        <v>440.7</v>
      </c>
      <c r="L31" s="5">
        <v>440.9</v>
      </c>
      <c r="M31" s="5">
        <v>441</v>
      </c>
      <c r="N31" s="5">
        <v>440.9</v>
      </c>
      <c r="O31" s="5">
        <v>417.3</v>
      </c>
      <c r="P31" s="5">
        <v>429.9</v>
      </c>
      <c r="Q31" s="5">
        <v>408.8</v>
      </c>
      <c r="R31" s="5">
        <v>428.4</v>
      </c>
      <c r="S31" s="5">
        <v>430.2</v>
      </c>
      <c r="T31" s="5">
        <v>433.1</v>
      </c>
      <c r="U31" s="5">
        <v>437.7</v>
      </c>
      <c r="V31" s="5">
        <v>448</v>
      </c>
    </row>
    <row r="32" spans="2:22" x14ac:dyDescent="0.15">
      <c r="B32">
        <v>19.329999999999998</v>
      </c>
    </row>
    <row r="33" spans="2:18" x14ac:dyDescent="0.15">
      <c r="B33">
        <v>19.29</v>
      </c>
    </row>
    <row r="34" spans="2:18" x14ac:dyDescent="0.15">
      <c r="B34">
        <v>18.649999999999999</v>
      </c>
    </row>
    <row r="35" spans="2:18" x14ac:dyDescent="0.15">
      <c r="B35">
        <v>18.260000000000002</v>
      </c>
    </row>
    <row r="36" spans="2:18" x14ac:dyDescent="0.15">
      <c r="B36">
        <v>18.670000000000002</v>
      </c>
    </row>
    <row r="37" spans="2:18" x14ac:dyDescent="0.15">
      <c r="B37">
        <v>19.170000000000002</v>
      </c>
    </row>
    <row r="39" spans="2:18" x14ac:dyDescent="0.15">
      <c r="H39" s="8">
        <v>4.0599999999999996</v>
      </c>
      <c r="I39" s="8">
        <v>3.82</v>
      </c>
      <c r="J39" s="8">
        <v>3.82</v>
      </c>
      <c r="K39" s="8">
        <v>4.67</v>
      </c>
      <c r="L39" s="8">
        <v>4.21</v>
      </c>
      <c r="M39" s="8">
        <v>4.62</v>
      </c>
      <c r="N39" s="8">
        <v>5.26</v>
      </c>
      <c r="O39" s="8">
        <v>5.81</v>
      </c>
      <c r="P39" s="8">
        <v>6.4</v>
      </c>
      <c r="Q39" s="8">
        <v>6.68</v>
      </c>
      <c r="R39" s="8">
        <v>8.4600000000000009</v>
      </c>
    </row>
    <row r="42" spans="2:18" x14ac:dyDescent="0.15">
      <c r="H42" s="8">
        <v>5.0999999999999996</v>
      </c>
      <c r="I42" s="8">
        <v>7.8</v>
      </c>
      <c r="J42" s="8">
        <v>25.3</v>
      </c>
      <c r="K42" s="8">
        <v>19.5</v>
      </c>
      <c r="L42" s="8">
        <v>29.8</v>
      </c>
      <c r="M42" s="8">
        <v>21.4</v>
      </c>
      <c r="N42" s="8">
        <v>19.2</v>
      </c>
      <c r="O42" s="8">
        <v>16.2</v>
      </c>
      <c r="P42" s="8">
        <v>20.3</v>
      </c>
    </row>
    <row r="47" spans="2:18" x14ac:dyDescent="0.15">
      <c r="E47" s="8" t="s">
        <v>763</v>
      </c>
    </row>
    <row r="49" spans="5:15" x14ac:dyDescent="0.15">
      <c r="F49" s="8">
        <v>2003</v>
      </c>
      <c r="G49" s="8">
        <v>2004</v>
      </c>
      <c r="H49" s="8">
        <v>2005</v>
      </c>
      <c r="I49" s="8">
        <v>2006</v>
      </c>
      <c r="J49" s="8">
        <v>2007</v>
      </c>
      <c r="K49" s="8">
        <v>2008</v>
      </c>
      <c r="L49" s="8">
        <v>2009</v>
      </c>
      <c r="M49" s="8">
        <v>2010</v>
      </c>
      <c r="N49" s="8">
        <v>2011</v>
      </c>
      <c r="O49" s="8">
        <v>2012</v>
      </c>
    </row>
    <row r="50" spans="5:15" x14ac:dyDescent="0.15">
      <c r="E50" s="8" t="s">
        <v>764</v>
      </c>
      <c r="F50" s="8">
        <v>4309.2</v>
      </c>
      <c r="G50" s="8">
        <v>4205.8</v>
      </c>
      <c r="H50" s="8">
        <v>4799.7</v>
      </c>
      <c r="I50" s="8">
        <v>5119.5</v>
      </c>
      <c r="J50" s="8">
        <v>5307.8</v>
      </c>
      <c r="K50" s="8">
        <v>5274</v>
      </c>
      <c r="L50" s="8">
        <v>5063.1000000000004</v>
      </c>
      <c r="M50" s="8">
        <v>6364</v>
      </c>
      <c r="N50" s="8">
        <v>8177.7</v>
      </c>
      <c r="O50" s="8">
        <v>7373</v>
      </c>
    </row>
    <row r="51" spans="5:15" x14ac:dyDescent="0.15">
      <c r="E51" s="8" t="s">
        <v>128</v>
      </c>
      <c r="F51" s="8">
        <v>2495.1</v>
      </c>
      <c r="G51" s="8">
        <v>2492</v>
      </c>
      <c r="H51" s="8">
        <v>2053.1</v>
      </c>
      <c r="I51" s="8">
        <v>1809.7</v>
      </c>
      <c r="J51" s="8">
        <v>1994</v>
      </c>
      <c r="K51" s="8">
        <v>2255.1999999999998</v>
      </c>
      <c r="L51" s="8">
        <v>2498</v>
      </c>
      <c r="M51" s="8">
        <v>2770.5</v>
      </c>
      <c r="N51" s="8">
        <v>3216.9</v>
      </c>
      <c r="O51" s="8">
        <v>3754</v>
      </c>
    </row>
    <row r="52" spans="5:15" x14ac:dyDescent="0.15">
      <c r="E52" s="8" t="s">
        <v>765</v>
      </c>
      <c r="F52" s="8">
        <v>1.7270650474930864</v>
      </c>
      <c r="G52" s="8">
        <v>1.6877207062600321</v>
      </c>
      <c r="H52" s="8">
        <v>2.3377818907992793</v>
      </c>
      <c r="I52" s="8">
        <v>2.8289219207603469</v>
      </c>
      <c r="J52" s="8">
        <v>2.6618856569709126</v>
      </c>
      <c r="K52" s="8">
        <v>2.3385952465413271</v>
      </c>
      <c r="L52" s="8">
        <v>2.0268614891913534</v>
      </c>
      <c r="M52" s="8">
        <v>2.2970582927269447</v>
      </c>
      <c r="N52" s="8">
        <v>2.5421057539867573</v>
      </c>
      <c r="O52" s="8">
        <v>1.9640383590836441</v>
      </c>
    </row>
    <row r="53" spans="5:15" x14ac:dyDescent="0.15">
      <c r="F53" s="8">
        <f>F50/(F50+F51)</f>
        <v>0.6333054098143821</v>
      </c>
      <c r="G53" s="8">
        <f t="shared" ref="G53:O53" si="1">G50/(G50+G51)</f>
        <v>0.62793753172683564</v>
      </c>
      <c r="H53" s="8">
        <f t="shared" si="1"/>
        <v>0.70039983656315674</v>
      </c>
      <c r="I53" s="8">
        <f t="shared" si="1"/>
        <v>0.73882987935115163</v>
      </c>
      <c r="J53" s="8">
        <f t="shared" si="1"/>
        <v>0.72691665068887124</v>
      </c>
      <c r="K53" s="8">
        <f t="shared" si="1"/>
        <v>0.70047282579822556</v>
      </c>
      <c r="L53" s="8">
        <f t="shared" si="1"/>
        <v>0.66962479004377673</v>
      </c>
      <c r="M53" s="8">
        <f t="shared" si="1"/>
        <v>0.69669932672833768</v>
      </c>
      <c r="N53" s="8">
        <f t="shared" si="1"/>
        <v>0.7176820599231214</v>
      </c>
      <c r="O53" s="8">
        <f t="shared" si="1"/>
        <v>0.66262244989664776</v>
      </c>
    </row>
    <row r="54" spans="5:15" x14ac:dyDescent="0.15">
      <c r="E54" s="8" t="s">
        <v>766</v>
      </c>
      <c r="F54" s="8">
        <v>2</v>
      </c>
    </row>
    <row r="55" spans="5:15" x14ac:dyDescent="0.15">
      <c r="E55" s="8" t="s">
        <v>767</v>
      </c>
      <c r="F55" s="8">
        <v>0.38417378095110538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Sheet1!H42:P42</xm:f>
              <xm:sqref>D15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Sheet1!I53:O53</xm:f>
              <xm:sqref>D14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Sheet1!J39:R39</xm:f>
              <xm:sqref>D13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Sheet1!P19:U19</xm:f>
              <xm:sqref>D8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Sheet1!Q31:V31</xm:f>
              <xm:sqref>D7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Sheet1!F24:K24</xm:f>
              <xm:sqref>D6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Sheet1!B25:B37</xm:f>
              <xm:sqref>D3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pane xSplit="1" ySplit="1" topLeftCell="C56" activePane="bottomRight" state="frozen"/>
      <selection pane="topRight" activeCell="B1" sqref="B1"/>
      <selection pane="bottomLeft" activeCell="A2" sqref="A2"/>
      <selection pane="bottomRight" activeCell="C72" sqref="C72:R72"/>
    </sheetView>
  </sheetViews>
  <sheetFormatPr defaultRowHeight="13.5" x14ac:dyDescent="0.15"/>
  <cols>
    <col min="1" max="1" width="33" customWidth="1"/>
  </cols>
  <sheetData>
    <row r="1" spans="1:18" x14ac:dyDescent="0.15">
      <c r="A1" s="4" t="s">
        <v>279</v>
      </c>
      <c r="B1" s="7">
        <v>1996</v>
      </c>
      <c r="C1" s="7">
        <v>1997</v>
      </c>
      <c r="D1" s="7">
        <v>1998</v>
      </c>
      <c r="E1" s="7">
        <v>1999</v>
      </c>
      <c r="F1" s="7">
        <v>2000</v>
      </c>
      <c r="G1" s="7">
        <v>2001</v>
      </c>
      <c r="H1" s="7">
        <v>2002</v>
      </c>
      <c r="I1" s="7">
        <v>2003</v>
      </c>
      <c r="J1" s="7">
        <v>2004</v>
      </c>
      <c r="K1" s="7">
        <v>2005</v>
      </c>
      <c r="L1" s="7">
        <v>2006</v>
      </c>
      <c r="M1" s="7">
        <v>2007</v>
      </c>
      <c r="N1" s="7">
        <v>2008</v>
      </c>
      <c r="O1" s="7">
        <v>2009</v>
      </c>
      <c r="P1" s="7">
        <v>2010</v>
      </c>
      <c r="Q1" s="7">
        <v>2011</v>
      </c>
      <c r="R1" s="7">
        <v>2012</v>
      </c>
    </row>
    <row r="2" spans="1:18" x14ac:dyDescent="0.15">
      <c r="A2" s="67" t="s">
        <v>63</v>
      </c>
      <c r="B2" s="67"/>
      <c r="C2" s="67"/>
      <c r="D2" s="67"/>
      <c r="E2" s="67"/>
      <c r="F2" s="67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</row>
    <row r="3" spans="1:18" x14ac:dyDescent="0.15">
      <c r="A3" s="184" t="s">
        <v>64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</row>
    <row r="4" spans="1:18" x14ac:dyDescent="0.15">
      <c r="A4" s="4" t="s">
        <v>65</v>
      </c>
      <c r="B4" s="5">
        <v>0</v>
      </c>
      <c r="C4" s="5">
        <v>0</v>
      </c>
      <c r="D4" s="5">
        <v>22</v>
      </c>
      <c r="E4" s="5">
        <v>0</v>
      </c>
      <c r="F4" s="5">
        <v>0</v>
      </c>
      <c r="G4" s="5">
        <v>0</v>
      </c>
      <c r="H4" s="5">
        <v>0</v>
      </c>
      <c r="I4" s="5">
        <v>20.8</v>
      </c>
      <c r="J4" s="5">
        <v>0</v>
      </c>
      <c r="K4" s="5">
        <v>1.7</v>
      </c>
      <c r="L4" s="5">
        <v>0</v>
      </c>
      <c r="M4" s="5">
        <v>165.3</v>
      </c>
      <c r="N4" s="5">
        <v>0</v>
      </c>
      <c r="O4" s="5">
        <v>253.9</v>
      </c>
      <c r="P4" s="5">
        <v>216.7</v>
      </c>
      <c r="Q4" s="5">
        <v>443.4</v>
      </c>
      <c r="R4" s="5">
        <v>427</v>
      </c>
    </row>
    <row r="5" spans="1:18" x14ac:dyDescent="0.15">
      <c r="A5" s="4" t="s">
        <v>66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</row>
    <row r="6" spans="1:18" x14ac:dyDescent="0.15">
      <c r="A6" s="4" t="s">
        <v>67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199.4</v>
      </c>
      <c r="P6" s="5">
        <v>0</v>
      </c>
      <c r="Q6" s="5">
        <v>0</v>
      </c>
      <c r="R6" s="5">
        <v>0</v>
      </c>
    </row>
    <row r="7" spans="1:18" x14ac:dyDescent="0.15">
      <c r="A7" s="4" t="s">
        <v>68</v>
      </c>
      <c r="B7" s="5">
        <v>40.700000000000003</v>
      </c>
      <c r="C7" s="5">
        <v>45.6</v>
      </c>
      <c r="D7" s="5">
        <v>59.6</v>
      </c>
      <c r="E7" s="5">
        <v>67.400000000000006</v>
      </c>
      <c r="F7" s="5">
        <v>89.5</v>
      </c>
      <c r="G7" s="5">
        <v>182.6</v>
      </c>
      <c r="H7" s="5">
        <v>187.5</v>
      </c>
      <c r="I7" s="5">
        <v>141</v>
      </c>
      <c r="J7" s="5">
        <v>119.5</v>
      </c>
      <c r="K7" s="5">
        <v>114.7</v>
      </c>
      <c r="L7" s="5">
        <v>138.1</v>
      </c>
      <c r="M7" s="5">
        <v>155.5</v>
      </c>
      <c r="N7" s="5">
        <v>188.1</v>
      </c>
      <c r="O7" s="5">
        <v>194.5</v>
      </c>
      <c r="P7" s="5">
        <v>196.4</v>
      </c>
      <c r="Q7" s="5">
        <v>442.8</v>
      </c>
      <c r="R7" s="5">
        <v>433</v>
      </c>
    </row>
    <row r="8" spans="1:18" x14ac:dyDescent="0.15">
      <c r="A8" s="4" t="s">
        <v>69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</row>
    <row r="9" spans="1:18" x14ac:dyDescent="0.15">
      <c r="A9" s="4" t="s">
        <v>70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15">
      <c r="A10" s="4" t="s">
        <v>71</v>
      </c>
      <c r="B10" s="5">
        <v>40.700000000000003</v>
      </c>
      <c r="C10" s="5">
        <v>45.6</v>
      </c>
      <c r="D10" s="5">
        <v>59.6</v>
      </c>
      <c r="E10" s="5">
        <v>67.400000000000006</v>
      </c>
      <c r="F10" s="5">
        <v>89.5</v>
      </c>
      <c r="G10" s="5">
        <v>182.6</v>
      </c>
      <c r="H10" s="5">
        <v>187.5</v>
      </c>
      <c r="I10" s="5">
        <v>141</v>
      </c>
      <c r="J10" s="5">
        <v>119.5</v>
      </c>
      <c r="K10" s="5">
        <v>114.7</v>
      </c>
      <c r="L10" s="5">
        <v>138.1</v>
      </c>
      <c r="M10" s="5">
        <v>155.5</v>
      </c>
      <c r="N10" s="5">
        <v>188.1</v>
      </c>
      <c r="O10" s="5">
        <v>194.5</v>
      </c>
      <c r="P10" s="5">
        <v>196.4</v>
      </c>
      <c r="Q10" s="5">
        <v>442.8</v>
      </c>
      <c r="R10" s="5">
        <v>433</v>
      </c>
    </row>
    <row r="11" spans="1:18" x14ac:dyDescent="0.15">
      <c r="A11" s="4" t="s">
        <v>72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15">
      <c r="A12" s="4" t="s">
        <v>73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15">
      <c r="A13" s="4" t="s">
        <v>74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15">
      <c r="A14" s="4" t="s">
        <v>75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15">
      <c r="A15" s="4" t="s">
        <v>76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95.4</v>
      </c>
      <c r="H15" s="5">
        <v>128.80000000000001</v>
      </c>
      <c r="I15" s="5">
        <v>81.8</v>
      </c>
      <c r="J15" s="5">
        <v>43</v>
      </c>
      <c r="K15" s="5">
        <v>45.2</v>
      </c>
      <c r="L15" s="5">
        <v>54</v>
      </c>
      <c r="M15" s="5">
        <v>60.6</v>
      </c>
      <c r="N15" s="5">
        <v>51.8</v>
      </c>
      <c r="O15" s="5">
        <v>52.3</v>
      </c>
      <c r="P15" s="5">
        <v>53.8</v>
      </c>
      <c r="Q15" s="5">
        <v>96.9</v>
      </c>
      <c r="R15" s="5">
        <v>102</v>
      </c>
    </row>
    <row r="16" spans="1:18" x14ac:dyDescent="0.15">
      <c r="A16" s="4" t="s">
        <v>77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15">
      <c r="A17" s="4" t="s">
        <v>78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95.4</v>
      </c>
      <c r="H17" s="5">
        <v>128.80000000000001</v>
      </c>
      <c r="I17" s="5">
        <v>81.8</v>
      </c>
      <c r="J17" s="5">
        <v>43</v>
      </c>
      <c r="K17" s="5">
        <v>45.2</v>
      </c>
      <c r="L17" s="5">
        <v>54</v>
      </c>
      <c r="M17" s="5">
        <v>60.6</v>
      </c>
      <c r="N17" s="5">
        <v>51.8</v>
      </c>
      <c r="O17" s="5">
        <v>52.3</v>
      </c>
      <c r="P17" s="5">
        <v>53.8</v>
      </c>
      <c r="Q17" s="5">
        <v>96.9</v>
      </c>
      <c r="R17" s="5">
        <v>102</v>
      </c>
    </row>
    <row r="18" spans="1:18" x14ac:dyDescent="0.15">
      <c r="A18" s="4" t="s">
        <v>79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24.7</v>
      </c>
      <c r="H18" s="5">
        <v>28.2</v>
      </c>
      <c r="I18" s="5">
        <v>16.8</v>
      </c>
      <c r="J18" s="5">
        <v>17</v>
      </c>
      <c r="K18" s="5">
        <v>19.100000000000001</v>
      </c>
      <c r="L18" s="5">
        <v>20.9</v>
      </c>
      <c r="M18" s="5">
        <v>23.8</v>
      </c>
      <c r="N18" s="5">
        <v>27.3</v>
      </c>
      <c r="O18" s="5">
        <v>35.700000000000003</v>
      </c>
      <c r="P18" s="5">
        <v>33.799999999999997</v>
      </c>
      <c r="Q18" s="5">
        <v>46.9</v>
      </c>
      <c r="R18" s="5">
        <v>0</v>
      </c>
    </row>
    <row r="19" spans="1:18" x14ac:dyDescent="0.15">
      <c r="A19" s="4" t="s">
        <v>80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185</v>
      </c>
      <c r="N19" s="5">
        <v>137.19999999999999</v>
      </c>
      <c r="O19" s="5">
        <v>22</v>
      </c>
      <c r="P19" s="5">
        <v>28</v>
      </c>
      <c r="Q19" s="5">
        <v>25.8</v>
      </c>
      <c r="R19" s="5">
        <v>0</v>
      </c>
    </row>
    <row r="20" spans="1:18" x14ac:dyDescent="0.15">
      <c r="A20" s="4" t="s">
        <v>81</v>
      </c>
      <c r="B20" s="5">
        <v>27.7</v>
      </c>
      <c r="C20" s="5">
        <v>17</v>
      </c>
      <c r="D20" s="5">
        <v>35.200000000000003</v>
      </c>
      <c r="E20" s="5">
        <v>29.6</v>
      </c>
      <c r="F20" s="5">
        <v>9.3000000000000007</v>
      </c>
      <c r="G20" s="5">
        <v>95.8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66.7</v>
      </c>
      <c r="Q20" s="5">
        <v>206.4</v>
      </c>
      <c r="R20" s="5">
        <v>89</v>
      </c>
    </row>
    <row r="21" spans="1:18" x14ac:dyDescent="0.15">
      <c r="A21" s="1" t="s">
        <v>82</v>
      </c>
      <c r="B21" s="2">
        <v>68.400000000000006</v>
      </c>
      <c r="C21" s="2">
        <v>62.6</v>
      </c>
      <c r="D21" s="2">
        <v>116.8</v>
      </c>
      <c r="E21" s="2">
        <v>97</v>
      </c>
      <c r="F21" s="2">
        <v>98.8</v>
      </c>
      <c r="G21" s="2">
        <v>398.4</v>
      </c>
      <c r="H21" s="2">
        <v>344.5</v>
      </c>
      <c r="I21" s="2">
        <v>260.3</v>
      </c>
      <c r="J21" s="2">
        <v>179.5</v>
      </c>
      <c r="K21" s="2">
        <v>180.7</v>
      </c>
      <c r="L21" s="2">
        <v>213</v>
      </c>
      <c r="M21" s="2">
        <v>590.20000000000005</v>
      </c>
      <c r="N21" s="2">
        <v>404.5</v>
      </c>
      <c r="O21" s="2">
        <v>757.7</v>
      </c>
      <c r="P21" s="2">
        <v>595.5</v>
      </c>
      <c r="Q21" s="3">
        <v>1262.3</v>
      </c>
      <c r="R21" s="3">
        <v>1051</v>
      </c>
    </row>
    <row r="22" spans="1:18" x14ac:dyDescent="0.15">
      <c r="A22" s="4" t="s">
        <v>83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37.1</v>
      </c>
      <c r="H22" s="5">
        <v>37.299999999999997</v>
      </c>
      <c r="I22" s="5">
        <v>53</v>
      </c>
      <c r="J22" s="5">
        <v>45.2</v>
      </c>
      <c r="K22" s="5">
        <v>32.1</v>
      </c>
      <c r="L22" s="5">
        <v>33.1</v>
      </c>
      <c r="M22" s="5">
        <v>0</v>
      </c>
      <c r="N22" s="5">
        <v>0</v>
      </c>
      <c r="O22" s="5">
        <v>44.9</v>
      </c>
      <c r="P22" s="5">
        <v>45.4</v>
      </c>
      <c r="Q22" s="5">
        <v>61.1</v>
      </c>
      <c r="R22" s="5">
        <v>0</v>
      </c>
    </row>
    <row r="23" spans="1:18" x14ac:dyDescent="0.15">
      <c r="A23" s="4" t="s">
        <v>84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173.1</v>
      </c>
      <c r="H23" s="5">
        <v>228</v>
      </c>
      <c r="I23" s="5">
        <v>237.6</v>
      </c>
      <c r="J23" s="5">
        <v>250.5</v>
      </c>
      <c r="K23" s="5">
        <v>244.2</v>
      </c>
      <c r="L23" s="5">
        <v>254</v>
      </c>
      <c r="M23" s="5">
        <v>0</v>
      </c>
      <c r="N23" s="5">
        <v>327.60000000000002</v>
      </c>
      <c r="O23" s="5">
        <v>343.6</v>
      </c>
      <c r="P23" s="5">
        <v>360.8</v>
      </c>
      <c r="Q23" s="5">
        <v>402.8</v>
      </c>
      <c r="R23" s="5">
        <v>448</v>
      </c>
    </row>
    <row r="24" spans="1:18" x14ac:dyDescent="0.15">
      <c r="A24" s="4" t="s">
        <v>85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3022.4</v>
      </c>
      <c r="H24" s="6">
        <v>3571.5</v>
      </c>
      <c r="I24" s="6">
        <v>3407.1</v>
      </c>
      <c r="J24" s="6">
        <v>3462.6</v>
      </c>
      <c r="K24" s="6">
        <v>3714</v>
      </c>
      <c r="L24" s="5">
        <v>348.1</v>
      </c>
      <c r="M24" s="5">
        <v>0</v>
      </c>
      <c r="N24" s="5">
        <v>0</v>
      </c>
      <c r="O24" s="5">
        <v>532.6</v>
      </c>
      <c r="P24" s="6">
        <v>4903.7</v>
      </c>
      <c r="Q24" s="6">
        <v>5233.8999999999996</v>
      </c>
      <c r="R24" s="5">
        <v>892</v>
      </c>
    </row>
    <row r="25" spans="1:18" x14ac:dyDescent="0.15">
      <c r="A25" s="4" t="s">
        <v>86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43.2</v>
      </c>
      <c r="J25" s="5">
        <v>43.2</v>
      </c>
      <c r="K25" s="5">
        <v>7.2</v>
      </c>
      <c r="L25" s="5">
        <v>22.4</v>
      </c>
      <c r="M25" s="5">
        <v>0</v>
      </c>
      <c r="N25" s="5">
        <v>0</v>
      </c>
      <c r="O25" s="5">
        <v>53</v>
      </c>
      <c r="P25" s="5">
        <v>124.1</v>
      </c>
      <c r="Q25" s="5">
        <v>111.2</v>
      </c>
      <c r="R25" s="5">
        <v>107</v>
      </c>
    </row>
    <row r="26" spans="1:18" x14ac:dyDescent="0.15">
      <c r="A26" s="4" t="s">
        <v>87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206.4</v>
      </c>
      <c r="H26" s="5">
        <v>243.3</v>
      </c>
      <c r="I26" s="5">
        <v>222.2</v>
      </c>
      <c r="J26" s="5">
        <v>248.2</v>
      </c>
      <c r="K26" s="5">
        <v>273.8</v>
      </c>
      <c r="L26" s="6">
        <v>3749.2</v>
      </c>
      <c r="M26" s="6">
        <v>4579.8</v>
      </c>
      <c r="N26" s="6">
        <v>4570.1000000000004</v>
      </c>
      <c r="O26" s="6">
        <v>4310.6000000000004</v>
      </c>
      <c r="P26" s="5">
        <v>310.7</v>
      </c>
      <c r="Q26" s="5">
        <v>354</v>
      </c>
      <c r="R26" s="6">
        <v>4762</v>
      </c>
    </row>
    <row r="27" spans="1:18" x14ac:dyDescent="0.15">
      <c r="A27" s="1" t="s">
        <v>88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3">
        <v>3439</v>
      </c>
      <c r="H27" s="3">
        <v>4080.1</v>
      </c>
      <c r="I27" s="3">
        <v>3963.1</v>
      </c>
      <c r="J27" s="3">
        <v>4049.6</v>
      </c>
      <c r="K27" s="3">
        <v>4271.2</v>
      </c>
      <c r="L27" s="3">
        <v>4407</v>
      </c>
      <c r="M27" s="3">
        <v>4579.8</v>
      </c>
      <c r="N27" s="3">
        <v>4897.7</v>
      </c>
      <c r="O27" s="3">
        <v>5284.6</v>
      </c>
      <c r="P27" s="3">
        <v>5744.7</v>
      </c>
      <c r="Q27" s="3">
        <v>6163</v>
      </c>
      <c r="R27" s="3">
        <v>6209</v>
      </c>
    </row>
    <row r="28" spans="1:18" x14ac:dyDescent="0.15">
      <c r="A28" s="4" t="s">
        <v>89</v>
      </c>
      <c r="B28" s="5">
        <v>966.5</v>
      </c>
      <c r="C28" s="6">
        <v>1151.5999999999999</v>
      </c>
      <c r="D28" s="6">
        <v>1339.4</v>
      </c>
      <c r="E28" s="6">
        <v>1621.3</v>
      </c>
      <c r="F28" s="6">
        <v>2338.9</v>
      </c>
      <c r="G28" s="6">
        <v>3439</v>
      </c>
      <c r="H28" s="6">
        <v>4080.1</v>
      </c>
      <c r="I28" s="6">
        <v>3962.9</v>
      </c>
      <c r="J28" s="6">
        <v>4049.6</v>
      </c>
      <c r="K28" s="6">
        <v>4271.2</v>
      </c>
      <c r="L28" s="6">
        <v>4407</v>
      </c>
      <c r="M28" s="6">
        <v>4579.8</v>
      </c>
      <c r="N28" s="6">
        <v>4897.7</v>
      </c>
      <c r="O28" s="6">
        <v>5284.6</v>
      </c>
      <c r="P28" s="6">
        <v>5744.7</v>
      </c>
      <c r="Q28" s="6">
        <v>6163</v>
      </c>
      <c r="R28" s="6">
        <v>6209</v>
      </c>
    </row>
    <row r="29" spans="1:18" x14ac:dyDescent="0.15">
      <c r="A29" s="4" t="s">
        <v>90</v>
      </c>
      <c r="B29" s="5">
        <v>216</v>
      </c>
      <c r="C29" s="5">
        <v>272.2</v>
      </c>
      <c r="D29" s="5">
        <v>342.1</v>
      </c>
      <c r="E29" s="5">
        <v>429.4</v>
      </c>
      <c r="F29" s="5">
        <v>655.5</v>
      </c>
      <c r="G29" s="5">
        <v>916.1</v>
      </c>
      <c r="H29" s="6">
        <v>1302.4000000000001</v>
      </c>
      <c r="I29" s="6">
        <v>1547.2</v>
      </c>
      <c r="J29" s="6">
        <v>1757.2</v>
      </c>
      <c r="K29" s="6">
        <v>2082</v>
      </c>
      <c r="L29" s="6">
        <v>2156.9</v>
      </c>
      <c r="M29" s="6">
        <v>2156.9</v>
      </c>
      <c r="N29" s="6">
        <v>2281.1999999999998</v>
      </c>
      <c r="O29" s="6">
        <v>2463.1</v>
      </c>
      <c r="P29" s="6">
        <v>2740.1</v>
      </c>
      <c r="Q29" s="6">
        <v>2962.8</v>
      </c>
      <c r="R29" s="6">
        <v>2967</v>
      </c>
    </row>
    <row r="30" spans="1:18" x14ac:dyDescent="0.15">
      <c r="A30" s="4" t="s">
        <v>91</v>
      </c>
      <c r="B30" s="5">
        <v>750.5</v>
      </c>
      <c r="C30" s="5">
        <v>879.4</v>
      </c>
      <c r="D30" s="5">
        <v>997.3</v>
      </c>
      <c r="E30" s="6">
        <v>1191.9000000000001</v>
      </c>
      <c r="F30" s="6">
        <v>1683.4</v>
      </c>
      <c r="G30" s="6">
        <v>2522.9</v>
      </c>
      <c r="H30" s="6">
        <v>2777.7</v>
      </c>
      <c r="I30" s="6">
        <v>2415.6999999999998</v>
      </c>
      <c r="J30" s="6">
        <v>2292.3000000000002</v>
      </c>
      <c r="K30" s="6">
        <v>2189.1999999999998</v>
      </c>
      <c r="L30" s="6">
        <v>2250.1</v>
      </c>
      <c r="M30" s="6">
        <v>2422.9</v>
      </c>
      <c r="N30" s="6">
        <v>2616.5</v>
      </c>
      <c r="O30" s="6">
        <v>2821.5</v>
      </c>
      <c r="P30" s="6">
        <v>3004.6</v>
      </c>
      <c r="Q30" s="6">
        <v>3200.2</v>
      </c>
      <c r="R30" s="6">
        <v>3242</v>
      </c>
    </row>
    <row r="31" spans="1:18" x14ac:dyDescent="0.15">
      <c r="A31" s="4" t="s">
        <v>92</v>
      </c>
      <c r="B31" s="6">
        <v>1268.8</v>
      </c>
      <c r="C31" s="6">
        <v>1294.5999999999999</v>
      </c>
      <c r="D31" s="6">
        <v>1304.9000000000001</v>
      </c>
      <c r="E31" s="6">
        <v>1313.9</v>
      </c>
      <c r="F31" s="6">
        <v>2318.4</v>
      </c>
      <c r="G31" s="6">
        <v>5038.1000000000004</v>
      </c>
      <c r="H31" s="6">
        <v>5023.1000000000004</v>
      </c>
      <c r="I31" s="6">
        <v>4706.7</v>
      </c>
      <c r="J31" s="6">
        <v>4773.7</v>
      </c>
      <c r="K31" s="6">
        <v>4772.8</v>
      </c>
      <c r="L31" s="6">
        <v>4691.5</v>
      </c>
      <c r="M31" s="6">
        <v>4776.1000000000004</v>
      </c>
      <c r="N31" s="6">
        <v>4776.1000000000004</v>
      </c>
      <c r="O31" s="6">
        <v>4816.2</v>
      </c>
      <c r="P31" s="6">
        <v>5408.5</v>
      </c>
      <c r="Q31" s="6">
        <v>6954.7</v>
      </c>
      <c r="R31" s="6">
        <v>7355</v>
      </c>
    </row>
    <row r="32" spans="1:18" x14ac:dyDescent="0.15">
      <c r="A32" s="4" t="s">
        <v>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88.1</v>
      </c>
      <c r="M32" s="5">
        <v>88.1</v>
      </c>
      <c r="N32" s="5">
        <v>88.1</v>
      </c>
      <c r="O32" s="5">
        <v>88.1</v>
      </c>
      <c r="P32" s="5">
        <v>169.1</v>
      </c>
      <c r="Q32" s="5">
        <v>814.8</v>
      </c>
      <c r="R32" s="5">
        <v>715</v>
      </c>
    </row>
    <row r="33" spans="1:18" x14ac:dyDescent="0.15">
      <c r="A33" s="4" t="s">
        <v>94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21.8</v>
      </c>
      <c r="R33" s="5">
        <v>14</v>
      </c>
    </row>
    <row r="34" spans="1:18" x14ac:dyDescent="0.15">
      <c r="A34" s="4" t="s">
        <v>95</v>
      </c>
      <c r="B34" s="5">
        <v>100.1</v>
      </c>
      <c r="C34" s="5">
        <v>213.6</v>
      </c>
      <c r="D34" s="5">
        <v>782.2</v>
      </c>
      <c r="E34" s="6">
        <v>1131.5999999999999</v>
      </c>
      <c r="F34" s="6">
        <v>1221.3</v>
      </c>
      <c r="G34" s="5">
        <v>828.5</v>
      </c>
      <c r="H34" s="5">
        <v>367.7</v>
      </c>
      <c r="I34" s="5">
        <v>218.5</v>
      </c>
      <c r="J34" s="5">
        <v>311.39999999999998</v>
      </c>
      <c r="K34" s="5">
        <v>274.2</v>
      </c>
      <c r="L34" s="5">
        <v>279.89999999999998</v>
      </c>
      <c r="M34" s="5">
        <v>286.39999999999998</v>
      </c>
      <c r="N34" s="5">
        <v>472.6</v>
      </c>
      <c r="O34" s="5">
        <v>454.6</v>
      </c>
      <c r="P34" s="5">
        <v>976.1</v>
      </c>
      <c r="Q34" s="5">
        <v>272.10000000000002</v>
      </c>
      <c r="R34" s="5">
        <v>345</v>
      </c>
    </row>
    <row r="35" spans="1:18" x14ac:dyDescent="0.15">
      <c r="A35" s="4" t="s">
        <v>96</v>
      </c>
      <c r="B35" s="6">
        <v>2119.4</v>
      </c>
      <c r="C35" s="6">
        <v>2387.6</v>
      </c>
      <c r="D35" s="6">
        <v>3084.4</v>
      </c>
      <c r="E35" s="6">
        <v>3637.4</v>
      </c>
      <c r="F35" s="6">
        <v>5223.1000000000004</v>
      </c>
      <c r="G35" s="6">
        <v>8389.5</v>
      </c>
      <c r="H35" s="6">
        <v>8168.5</v>
      </c>
      <c r="I35" s="6">
        <v>7340.8</v>
      </c>
      <c r="J35" s="6">
        <v>7377.4</v>
      </c>
      <c r="K35" s="6">
        <v>7236.2</v>
      </c>
      <c r="L35" s="6">
        <v>7309.5</v>
      </c>
      <c r="M35" s="6">
        <v>7573.5</v>
      </c>
      <c r="N35" s="6">
        <v>7953.3</v>
      </c>
      <c r="O35" s="6">
        <v>8180.4</v>
      </c>
      <c r="P35" s="6">
        <v>9558.4</v>
      </c>
      <c r="Q35" s="6">
        <v>11263.6</v>
      </c>
      <c r="R35" s="6">
        <v>11671</v>
      </c>
    </row>
    <row r="36" spans="1:18" x14ac:dyDescent="0.15">
      <c r="A36" s="1" t="s">
        <v>97</v>
      </c>
      <c r="B36" s="3">
        <v>2187.9</v>
      </c>
      <c r="C36" s="3">
        <v>2450.1999999999998</v>
      </c>
      <c r="D36" s="3">
        <v>3201.2</v>
      </c>
      <c r="E36" s="3">
        <v>3734.4</v>
      </c>
      <c r="F36" s="3">
        <v>5321.9</v>
      </c>
      <c r="G36" s="3">
        <v>8788</v>
      </c>
      <c r="H36" s="3">
        <v>8513</v>
      </c>
      <c r="I36" s="3">
        <v>7601.1</v>
      </c>
      <c r="J36" s="3">
        <v>7556.9</v>
      </c>
      <c r="K36" s="3">
        <v>7416.9</v>
      </c>
      <c r="L36" s="3">
        <v>7522.5</v>
      </c>
      <c r="M36" s="3">
        <v>8163.7</v>
      </c>
      <c r="N36" s="3">
        <v>8357.7999999999993</v>
      </c>
      <c r="O36" s="3">
        <v>8938.1</v>
      </c>
      <c r="P36" s="3">
        <v>10154</v>
      </c>
      <c r="Q36" s="3">
        <v>12525.9</v>
      </c>
      <c r="R36" s="3">
        <v>12722</v>
      </c>
    </row>
    <row r="37" spans="1:18" x14ac:dyDescent="0.15">
      <c r="A37" s="1" t="s">
        <v>98</v>
      </c>
      <c r="B37" s="2" t="s">
        <v>99</v>
      </c>
      <c r="C37" s="2" t="s">
        <v>99</v>
      </c>
      <c r="D37" s="2" t="s">
        <v>99</v>
      </c>
      <c r="E37" s="2" t="s">
        <v>99</v>
      </c>
      <c r="F37" s="2" t="s">
        <v>99</v>
      </c>
      <c r="G37" s="2" t="s">
        <v>99</v>
      </c>
      <c r="H37" s="2" t="s">
        <v>99</v>
      </c>
      <c r="I37" s="2" t="s">
        <v>99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</row>
    <row r="38" spans="1:18" x14ac:dyDescent="0.15">
      <c r="A38" s="183" t="s">
        <v>100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</row>
    <row r="39" spans="1:18" x14ac:dyDescent="0.15">
      <c r="A39" s="4" t="s">
        <v>101</v>
      </c>
      <c r="B39" s="5">
        <v>136</v>
      </c>
      <c r="C39" s="5">
        <v>116.7</v>
      </c>
      <c r="D39" s="5">
        <v>146.5</v>
      </c>
      <c r="E39" s="5">
        <v>161.9</v>
      </c>
      <c r="F39" s="5">
        <v>335</v>
      </c>
      <c r="G39" s="5">
        <v>573.6</v>
      </c>
      <c r="H39" s="5">
        <v>511.1</v>
      </c>
      <c r="I39" s="5">
        <v>413.7</v>
      </c>
      <c r="J39" s="5">
        <v>410</v>
      </c>
      <c r="K39" s="5">
        <v>408</v>
      </c>
      <c r="L39" s="5">
        <v>156.80000000000001</v>
      </c>
      <c r="M39" s="5">
        <v>441.4</v>
      </c>
      <c r="N39" s="5">
        <v>655.8</v>
      </c>
      <c r="O39" s="5">
        <v>563.1</v>
      </c>
      <c r="P39" s="5">
        <v>623.1</v>
      </c>
      <c r="Q39" s="5">
        <v>795</v>
      </c>
      <c r="R39" s="5">
        <v>198</v>
      </c>
    </row>
    <row r="40" spans="1:18" x14ac:dyDescent="0.15">
      <c r="A40" s="4" t="s">
        <v>102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15">
      <c r="A41" s="4" t="s">
        <v>103</v>
      </c>
      <c r="B41" s="5">
        <v>40.299999999999997</v>
      </c>
      <c r="C41" s="5">
        <v>91.1</v>
      </c>
      <c r="D41" s="5">
        <v>122</v>
      </c>
      <c r="E41" s="5">
        <v>105</v>
      </c>
      <c r="F41" s="5">
        <v>214.3</v>
      </c>
      <c r="G41" s="5">
        <v>1.8</v>
      </c>
      <c r="H41" s="5">
        <v>2.2999999999999998</v>
      </c>
      <c r="I41" s="5">
        <v>271.5</v>
      </c>
      <c r="J41" s="5">
        <v>347.4</v>
      </c>
      <c r="K41" s="5">
        <v>51.4</v>
      </c>
      <c r="L41" s="5">
        <v>20.8</v>
      </c>
      <c r="M41" s="5">
        <v>297.2</v>
      </c>
      <c r="N41" s="5">
        <v>44.7</v>
      </c>
      <c r="O41" s="5">
        <v>481.7</v>
      </c>
      <c r="P41" s="5">
        <v>0.6</v>
      </c>
      <c r="Q41" s="5">
        <v>0.6</v>
      </c>
      <c r="R41" s="5">
        <v>451</v>
      </c>
    </row>
    <row r="42" spans="1:18" x14ac:dyDescent="0.15">
      <c r="A42" s="4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15">
      <c r="A43" s="4" t="s">
        <v>105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304.3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613</v>
      </c>
    </row>
    <row r="44" spans="1:18" x14ac:dyDescent="0.15">
      <c r="A44" s="4" t="s">
        <v>106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96.1</v>
      </c>
      <c r="K44" s="5">
        <v>98.4</v>
      </c>
      <c r="L44" s="5">
        <v>106.5</v>
      </c>
      <c r="M44" s="5">
        <v>118.9</v>
      </c>
      <c r="N44" s="5">
        <v>124.4</v>
      </c>
      <c r="O44" s="5">
        <v>133.80000000000001</v>
      </c>
      <c r="P44" s="5">
        <v>145.5</v>
      </c>
      <c r="Q44" s="5">
        <v>154.6</v>
      </c>
      <c r="R44" s="5">
        <v>157</v>
      </c>
    </row>
    <row r="45" spans="1:18" x14ac:dyDescent="0.15">
      <c r="A45" s="4" t="s">
        <v>107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15">
      <c r="A46" s="4" t="s">
        <v>108</v>
      </c>
      <c r="B46" s="5">
        <v>34.700000000000003</v>
      </c>
      <c r="C46" s="5">
        <v>53.3</v>
      </c>
      <c r="D46" s="5">
        <v>37.700000000000003</v>
      </c>
      <c r="E46" s="5">
        <v>48.7</v>
      </c>
      <c r="F46" s="5">
        <v>47.4</v>
      </c>
      <c r="G46" s="5">
        <v>65.599999999999994</v>
      </c>
      <c r="H46" s="5">
        <v>98.9</v>
      </c>
      <c r="I46" s="5">
        <v>111.6</v>
      </c>
      <c r="J46" s="5">
        <v>5.6</v>
      </c>
      <c r="K46" s="5">
        <v>6.3</v>
      </c>
      <c r="L46" s="5">
        <v>4.9000000000000004</v>
      </c>
      <c r="M46" s="5">
        <v>4.3</v>
      </c>
      <c r="N46" s="5">
        <v>3.8</v>
      </c>
      <c r="O46" s="5">
        <v>198.4</v>
      </c>
      <c r="P46" s="5">
        <v>250.3</v>
      </c>
      <c r="Q46" s="5">
        <v>181.1</v>
      </c>
      <c r="R46" s="5">
        <v>176</v>
      </c>
    </row>
    <row r="47" spans="1:18" x14ac:dyDescent="0.15">
      <c r="A47" s="1" t="s">
        <v>109</v>
      </c>
      <c r="B47" s="2">
        <v>211</v>
      </c>
      <c r="C47" s="2">
        <v>261.10000000000002</v>
      </c>
      <c r="D47" s="2">
        <v>306.2</v>
      </c>
      <c r="E47" s="2">
        <v>315.60000000000002</v>
      </c>
      <c r="F47" s="2">
        <v>596.79999999999995</v>
      </c>
      <c r="G47" s="2">
        <v>640.9</v>
      </c>
      <c r="H47" s="2">
        <v>612.29999999999995</v>
      </c>
      <c r="I47" s="2">
        <v>796.9</v>
      </c>
      <c r="J47" s="2">
        <v>859.1</v>
      </c>
      <c r="K47" s="2">
        <v>564.1</v>
      </c>
      <c r="L47" s="2">
        <v>593.29999999999995</v>
      </c>
      <c r="M47" s="2">
        <v>861.9</v>
      </c>
      <c r="N47" s="2">
        <v>828.6</v>
      </c>
      <c r="O47" s="3">
        <v>1377</v>
      </c>
      <c r="P47" s="3">
        <v>1019.4</v>
      </c>
      <c r="Q47" s="3">
        <v>1131.3</v>
      </c>
      <c r="R47" s="3">
        <v>1595</v>
      </c>
    </row>
    <row r="48" spans="1:18" x14ac:dyDescent="0.15">
      <c r="A48" s="4" t="s">
        <v>110</v>
      </c>
      <c r="B48" s="6">
        <v>1236.2</v>
      </c>
      <c r="C48" s="6">
        <v>1408.1</v>
      </c>
      <c r="D48" s="6">
        <v>1225.3</v>
      </c>
      <c r="E48" s="6">
        <v>1337.3</v>
      </c>
      <c r="F48" s="6">
        <v>1590.3</v>
      </c>
      <c r="G48" s="6">
        <v>3010.3</v>
      </c>
      <c r="H48" s="6">
        <v>3469.6</v>
      </c>
      <c r="I48" s="6">
        <v>2645.5</v>
      </c>
      <c r="J48" s="6">
        <v>2307.6</v>
      </c>
      <c r="K48" s="6">
        <v>2693.4</v>
      </c>
      <c r="L48" s="6">
        <v>2995.9</v>
      </c>
      <c r="M48" s="6">
        <v>2771.3</v>
      </c>
      <c r="N48" s="6">
        <v>2706.5</v>
      </c>
      <c r="O48" s="6">
        <v>2668.7</v>
      </c>
      <c r="P48" s="6">
        <v>3981.7</v>
      </c>
      <c r="Q48" s="6">
        <v>5256</v>
      </c>
      <c r="R48" s="6">
        <v>4812</v>
      </c>
    </row>
    <row r="49" spans="1:18" x14ac:dyDescent="0.15">
      <c r="A49" s="4" t="s">
        <v>111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15">
      <c r="A50" s="4" t="s">
        <v>112</v>
      </c>
      <c r="B50" s="5">
        <v>140.6</v>
      </c>
      <c r="C50" s="5">
        <v>161</v>
      </c>
      <c r="D50" s="5">
        <v>220.1</v>
      </c>
      <c r="E50" s="5">
        <v>275.60000000000002</v>
      </c>
      <c r="F50" s="5">
        <v>184.9</v>
      </c>
      <c r="G50" s="6">
        <v>1196.9000000000001</v>
      </c>
      <c r="H50" s="6">
        <v>1006.8</v>
      </c>
      <c r="I50" s="5">
        <v>928.3</v>
      </c>
      <c r="J50" s="5">
        <v>982.3</v>
      </c>
      <c r="K50" s="6">
        <v>1054.8</v>
      </c>
      <c r="L50" s="5">
        <v>984.9</v>
      </c>
      <c r="M50" s="6">
        <v>1327.9</v>
      </c>
      <c r="N50" s="6">
        <v>1281.8</v>
      </c>
      <c r="O50" s="6">
        <v>1337.7</v>
      </c>
      <c r="P50" s="6">
        <v>1451.9</v>
      </c>
      <c r="Q50" s="6">
        <v>1699.3</v>
      </c>
      <c r="R50" s="6">
        <v>1085</v>
      </c>
    </row>
    <row r="51" spans="1:18" x14ac:dyDescent="0.15">
      <c r="A51" s="4" t="s">
        <v>113</v>
      </c>
      <c r="B51" s="5">
        <v>13.8</v>
      </c>
      <c r="C51" s="5">
        <v>39.9</v>
      </c>
      <c r="D51" s="5">
        <v>33.299999999999997</v>
      </c>
      <c r="E51" s="5">
        <v>27.3</v>
      </c>
      <c r="F51" s="5">
        <v>541.6</v>
      </c>
      <c r="G51" s="5">
        <v>643.79999999999995</v>
      </c>
      <c r="H51" s="5">
        <v>634.70000000000005</v>
      </c>
      <c r="I51" s="5">
        <v>735.4</v>
      </c>
      <c r="J51" s="5">
        <v>915.9</v>
      </c>
      <c r="K51" s="6">
        <v>1051.5</v>
      </c>
      <c r="L51" s="6">
        <v>1138.5999999999999</v>
      </c>
      <c r="M51" s="6">
        <v>1208.5999999999999</v>
      </c>
      <c r="N51" s="6">
        <v>1285.5999999999999</v>
      </c>
      <c r="O51" s="6">
        <v>1056.5999999999999</v>
      </c>
      <c r="P51" s="5">
        <v>930.5</v>
      </c>
      <c r="Q51" s="5">
        <v>981.5</v>
      </c>
      <c r="R51" s="6">
        <v>1195</v>
      </c>
    </row>
    <row r="52" spans="1:18" x14ac:dyDescent="0.15">
      <c r="A52" s="4" t="s">
        <v>114</v>
      </c>
      <c r="B52" s="5">
        <v>0</v>
      </c>
      <c r="C52" s="5">
        <v>0.7</v>
      </c>
      <c r="D52" s="5">
        <v>0.8</v>
      </c>
      <c r="E52" s="5">
        <v>0.9</v>
      </c>
      <c r="F52" s="5">
        <v>17.8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241</v>
      </c>
      <c r="R52" s="5">
        <v>281</v>
      </c>
    </row>
    <row r="53" spans="1:18" x14ac:dyDescent="0.15">
      <c r="A53" s="4" t="s">
        <v>115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15">
      <c r="A54" s="4" t="s">
        <v>116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15">
      <c r="A55" s="1" t="s">
        <v>117</v>
      </c>
      <c r="B55" s="3">
        <v>1390.6</v>
      </c>
      <c r="C55" s="3">
        <v>1609.7</v>
      </c>
      <c r="D55" s="3">
        <v>1479.5</v>
      </c>
      <c r="E55" s="3">
        <v>1641.1</v>
      </c>
      <c r="F55" s="3">
        <v>2334.6999999999998</v>
      </c>
      <c r="G55" s="3">
        <v>4851.1000000000004</v>
      </c>
      <c r="H55" s="3">
        <v>5111.2</v>
      </c>
      <c r="I55" s="3">
        <v>4309.2</v>
      </c>
      <c r="J55" s="3">
        <v>4205.8</v>
      </c>
      <c r="K55" s="3">
        <v>4799.7</v>
      </c>
      <c r="L55" s="3">
        <v>5119.5</v>
      </c>
      <c r="M55" s="3">
        <v>5307.8</v>
      </c>
      <c r="N55" s="3">
        <v>5274</v>
      </c>
      <c r="O55" s="3">
        <v>5063.1000000000004</v>
      </c>
      <c r="P55" s="3">
        <v>6364</v>
      </c>
      <c r="Q55" s="3">
        <v>8177.7</v>
      </c>
      <c r="R55" s="3">
        <v>7373</v>
      </c>
    </row>
    <row r="56" spans="1:18" x14ac:dyDescent="0.15">
      <c r="A56" s="1" t="s">
        <v>118</v>
      </c>
      <c r="B56" s="3">
        <v>1601.6</v>
      </c>
      <c r="C56" s="3">
        <v>1870.8</v>
      </c>
      <c r="D56" s="3">
        <v>1785.7</v>
      </c>
      <c r="E56" s="3">
        <v>1956.7</v>
      </c>
      <c r="F56" s="3">
        <v>2931.4</v>
      </c>
      <c r="G56" s="3">
        <v>5492</v>
      </c>
      <c r="H56" s="3">
        <v>5723.5</v>
      </c>
      <c r="I56" s="3">
        <v>5106.1000000000004</v>
      </c>
      <c r="J56" s="3">
        <v>5064.8999999999996</v>
      </c>
      <c r="K56" s="3">
        <v>5363.8</v>
      </c>
      <c r="L56" s="3">
        <v>5712.8</v>
      </c>
      <c r="M56" s="3">
        <v>6169.7</v>
      </c>
      <c r="N56" s="3">
        <v>6102.6</v>
      </c>
      <c r="O56" s="3">
        <v>6440.1</v>
      </c>
      <c r="P56" s="3">
        <v>7383.4</v>
      </c>
      <c r="Q56" s="3">
        <v>9309</v>
      </c>
      <c r="R56" s="3">
        <v>8968</v>
      </c>
    </row>
    <row r="57" spans="1:18" x14ac:dyDescent="0.15">
      <c r="A57" s="4" t="s">
        <v>119</v>
      </c>
      <c r="B57" s="5">
        <v>18.399999999999999</v>
      </c>
      <c r="C57" s="5">
        <v>0</v>
      </c>
      <c r="D57" s="5">
        <v>543.9</v>
      </c>
      <c r="E57" s="5">
        <v>543.9</v>
      </c>
      <c r="F57" s="5">
        <v>543.9</v>
      </c>
      <c r="G57" s="6">
        <v>1073.7</v>
      </c>
      <c r="H57" s="5">
        <v>908.5</v>
      </c>
      <c r="I57" s="5">
        <v>724.9</v>
      </c>
      <c r="J57" s="5">
        <v>724.9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293.2</v>
      </c>
      <c r="R57" s="5">
        <v>0</v>
      </c>
    </row>
    <row r="58" spans="1:18" x14ac:dyDescent="0.15">
      <c r="A58" s="4" t="s">
        <v>120</v>
      </c>
      <c r="B58" s="5">
        <v>567.79999999999995</v>
      </c>
      <c r="C58" s="5">
        <v>579.4</v>
      </c>
      <c r="D58" s="5">
        <v>871.7</v>
      </c>
      <c r="E58" s="6">
        <v>1233.7</v>
      </c>
      <c r="F58" s="6">
        <v>1846.5</v>
      </c>
      <c r="G58" s="6">
        <v>2222.1999999999998</v>
      </c>
      <c r="H58" s="6">
        <v>1881</v>
      </c>
      <c r="I58" s="6">
        <v>1770.1</v>
      </c>
      <c r="J58" s="6">
        <v>1767.1</v>
      </c>
      <c r="K58" s="6">
        <v>2053.1</v>
      </c>
      <c r="L58" s="6">
        <v>1809.7</v>
      </c>
      <c r="M58" s="6">
        <v>1994</v>
      </c>
      <c r="N58" s="6">
        <v>2255.1999999999998</v>
      </c>
      <c r="O58" s="6">
        <v>2498</v>
      </c>
      <c r="P58" s="6">
        <v>2770.5</v>
      </c>
      <c r="Q58" s="6">
        <v>2923.7</v>
      </c>
      <c r="R58" s="6">
        <v>3754</v>
      </c>
    </row>
    <row r="59" spans="1:18" x14ac:dyDescent="0.15">
      <c r="A59" s="4" t="s">
        <v>121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6">
        <v>2750</v>
      </c>
    </row>
    <row r="60" spans="1:18" x14ac:dyDescent="0.15">
      <c r="A60" s="4" t="s">
        <v>122</v>
      </c>
      <c r="B60" s="5">
        <v>5.6</v>
      </c>
      <c r="C60" s="5">
        <v>5.5</v>
      </c>
      <c r="D60" s="5">
        <v>4.2</v>
      </c>
      <c r="E60" s="5">
        <v>4.3</v>
      </c>
      <c r="F60" s="6">
        <v>1252.2</v>
      </c>
      <c r="G60" s="6">
        <v>2109.1</v>
      </c>
      <c r="H60" s="6">
        <v>2109.9</v>
      </c>
      <c r="I60" s="6">
        <v>2110</v>
      </c>
      <c r="J60" s="6">
        <v>2135.4</v>
      </c>
      <c r="K60" s="6">
        <v>2522.4</v>
      </c>
      <c r="L60" s="6">
        <v>1982.1</v>
      </c>
      <c r="M60" s="6">
        <v>2061.9</v>
      </c>
      <c r="N60" s="6">
        <v>2289.8000000000002</v>
      </c>
      <c r="O60" s="6">
        <v>2113.8000000000002</v>
      </c>
      <c r="P60" s="6">
        <v>2303.8000000000002</v>
      </c>
      <c r="Q60" s="6">
        <v>2405.8000000000002</v>
      </c>
      <c r="R60" s="5">
        <v>77</v>
      </c>
    </row>
    <row r="61" spans="1:18" x14ac:dyDescent="0.15">
      <c r="A61" s="4" t="s">
        <v>123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1.3</v>
      </c>
      <c r="H61" s="5">
        <v>1.5</v>
      </c>
      <c r="I61" s="5">
        <v>0.5</v>
      </c>
      <c r="J61" s="5">
        <v>0.4</v>
      </c>
      <c r="K61" s="5">
        <v>0.4</v>
      </c>
      <c r="L61" s="5">
        <v>0.3</v>
      </c>
      <c r="M61" s="5">
        <v>0.3</v>
      </c>
      <c r="N61" s="5">
        <v>23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15">
      <c r="A62" s="4" t="s">
        <v>124</v>
      </c>
      <c r="B62" s="5">
        <v>199.9</v>
      </c>
      <c r="C62" s="5">
        <v>211.4</v>
      </c>
      <c r="D62" s="5">
        <v>210.4</v>
      </c>
      <c r="E62" s="5">
        <v>224.7</v>
      </c>
      <c r="F62" s="5">
        <v>254.4</v>
      </c>
      <c r="G62" s="5">
        <v>111.8</v>
      </c>
      <c r="H62" s="5">
        <v>-230.3</v>
      </c>
      <c r="I62" s="5">
        <v>-340.3</v>
      </c>
      <c r="J62" s="5">
        <v>-369.2</v>
      </c>
      <c r="K62" s="5">
        <v>-471.5</v>
      </c>
      <c r="L62" s="5">
        <v>-172.7</v>
      </c>
      <c r="M62" s="5">
        <v>-68.099999999999994</v>
      </c>
      <c r="N62" s="5">
        <v>-57.7</v>
      </c>
      <c r="O62" s="5">
        <v>384.7</v>
      </c>
      <c r="P62" s="5">
        <v>457.7</v>
      </c>
      <c r="Q62" s="5">
        <v>516.5</v>
      </c>
      <c r="R62" s="6">
        <v>1020</v>
      </c>
    </row>
    <row r="63" spans="1:18" x14ac:dyDescent="0.15">
      <c r="A63" s="4" t="s">
        <v>125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15">
      <c r="A64" s="4" t="s">
        <v>126</v>
      </c>
      <c r="B64" s="5">
        <v>362.3</v>
      </c>
      <c r="C64" s="5">
        <v>362.4</v>
      </c>
      <c r="D64" s="5">
        <v>657.1</v>
      </c>
      <c r="E64" s="6">
        <v>1004.6</v>
      </c>
      <c r="F64" s="5">
        <v>339.9</v>
      </c>
      <c r="G64" s="5">
        <v>0</v>
      </c>
      <c r="H64" s="5">
        <v>0</v>
      </c>
      <c r="I64" s="5">
        <v>0</v>
      </c>
      <c r="J64" s="5">
        <v>0.4</v>
      </c>
      <c r="K64" s="5">
        <v>1.9</v>
      </c>
      <c r="L64" s="5">
        <v>0</v>
      </c>
      <c r="M64" s="5">
        <v>0</v>
      </c>
      <c r="N64" s="5">
        <v>0</v>
      </c>
      <c r="O64" s="5">
        <v>-0.6</v>
      </c>
      <c r="P64" s="5">
        <v>9</v>
      </c>
      <c r="Q64" s="5">
        <v>1.5</v>
      </c>
      <c r="R64" s="5">
        <v>-93</v>
      </c>
    </row>
    <row r="65" spans="1:18" x14ac:dyDescent="0.15">
      <c r="A65" s="4" t="s">
        <v>127</v>
      </c>
      <c r="B65" s="5">
        <v>0</v>
      </c>
      <c r="C65" s="5">
        <v>0</v>
      </c>
      <c r="D65" s="5">
        <v>0</v>
      </c>
      <c r="E65" s="6">
        <v>3114.9</v>
      </c>
      <c r="F65" s="6">
        <v>3980.7</v>
      </c>
      <c r="G65" s="6">
        <v>6306.3</v>
      </c>
      <c r="H65" s="6">
        <v>6259.2</v>
      </c>
      <c r="I65" s="6">
        <v>5140.6000000000004</v>
      </c>
      <c r="J65" s="6">
        <v>4799.6000000000004</v>
      </c>
      <c r="K65" s="6">
        <v>4746.5</v>
      </c>
      <c r="L65" s="6">
        <v>4805.6000000000004</v>
      </c>
      <c r="M65" s="6">
        <v>4765.3999999999996</v>
      </c>
      <c r="N65" s="6">
        <v>4961.7</v>
      </c>
      <c r="O65" s="6">
        <v>5166.7</v>
      </c>
      <c r="P65" s="6">
        <v>6752.2</v>
      </c>
      <c r="Q65" s="6">
        <v>8472.7999999999993</v>
      </c>
      <c r="R65" s="6">
        <v>8566</v>
      </c>
    </row>
    <row r="66" spans="1:18" x14ac:dyDescent="0.15">
      <c r="A66" s="1" t="s">
        <v>128</v>
      </c>
      <c r="B66" s="2">
        <v>586.20000000000005</v>
      </c>
      <c r="C66" s="2">
        <v>579.4</v>
      </c>
      <c r="D66" s="3">
        <v>1415.6</v>
      </c>
      <c r="E66" s="3">
        <v>1777.6</v>
      </c>
      <c r="F66" s="3">
        <v>2390.4</v>
      </c>
      <c r="G66" s="3">
        <v>3295.9</v>
      </c>
      <c r="H66" s="3">
        <v>2789.5</v>
      </c>
      <c r="I66" s="3">
        <v>2495.1</v>
      </c>
      <c r="J66" s="3">
        <v>2492</v>
      </c>
      <c r="K66" s="3">
        <v>2053.1</v>
      </c>
      <c r="L66" s="3">
        <v>1809.7</v>
      </c>
      <c r="M66" s="3">
        <v>1994</v>
      </c>
      <c r="N66" s="3">
        <v>2255.1999999999998</v>
      </c>
      <c r="O66" s="3">
        <v>2498</v>
      </c>
      <c r="P66" s="3">
        <v>2770.5</v>
      </c>
      <c r="Q66" s="3">
        <v>3216.9</v>
      </c>
      <c r="R66" s="3">
        <v>3754</v>
      </c>
    </row>
    <row r="67" spans="1:18" x14ac:dyDescent="0.15">
      <c r="A67" s="1" t="s">
        <v>129</v>
      </c>
      <c r="B67" s="3">
        <v>2187.8000000000002</v>
      </c>
      <c r="C67" s="3">
        <v>2450.1999999999998</v>
      </c>
      <c r="D67" s="3">
        <v>3201.3</v>
      </c>
      <c r="E67" s="3">
        <v>3734.3</v>
      </c>
      <c r="F67" s="3">
        <v>5321.9</v>
      </c>
      <c r="G67" s="3">
        <v>8788</v>
      </c>
      <c r="H67" s="3">
        <v>8513</v>
      </c>
      <c r="I67" s="3">
        <v>7601.1</v>
      </c>
      <c r="J67" s="3">
        <v>7556.9</v>
      </c>
      <c r="K67" s="3">
        <v>7416.9</v>
      </c>
      <c r="L67" s="3">
        <v>7522.5</v>
      </c>
      <c r="M67" s="3">
        <v>8163.7</v>
      </c>
      <c r="N67" s="3">
        <v>8357.7999999999993</v>
      </c>
      <c r="O67" s="3">
        <v>8938.1</v>
      </c>
      <c r="P67" s="3">
        <v>10154</v>
      </c>
      <c r="Q67" s="3">
        <v>12525.9</v>
      </c>
      <c r="R67" s="3">
        <v>12722</v>
      </c>
    </row>
    <row r="68" spans="1:18" x14ac:dyDescent="0.15">
      <c r="A68" s="4" t="s">
        <v>130</v>
      </c>
      <c r="B68" s="5">
        <v>153.6</v>
      </c>
      <c r="C68" s="5">
        <v>91.2</v>
      </c>
      <c r="D68" s="5">
        <v>174.6</v>
      </c>
      <c r="E68" s="5">
        <v>180</v>
      </c>
      <c r="F68" s="5">
        <v>299.39999999999998</v>
      </c>
      <c r="G68" s="5">
        <v>324</v>
      </c>
      <c r="H68" s="5">
        <v>247.3</v>
      </c>
      <c r="I68" s="5">
        <v>538.4</v>
      </c>
      <c r="J68" s="5">
        <v>636.29999999999995</v>
      </c>
      <c r="K68" s="5">
        <v>701.6</v>
      </c>
      <c r="L68" s="5">
        <v>956.6</v>
      </c>
      <c r="M68" s="5">
        <v>861.6</v>
      </c>
      <c r="N68" s="6">
        <v>1180.3</v>
      </c>
      <c r="O68" s="6">
        <v>1122.4000000000001</v>
      </c>
      <c r="P68" s="6">
        <v>1193</v>
      </c>
      <c r="Q68" s="6">
        <v>1126.5</v>
      </c>
      <c r="R68" s="6">
        <v>1574</v>
      </c>
    </row>
    <row r="69" spans="1:18" x14ac:dyDescent="0.15">
      <c r="A69" s="4" t="s">
        <v>131</v>
      </c>
      <c r="B69" s="5">
        <v>-142.6</v>
      </c>
      <c r="C69" s="5">
        <v>-198.5</v>
      </c>
      <c r="D69" s="5">
        <v>-189.4</v>
      </c>
      <c r="E69" s="5">
        <v>-218.6</v>
      </c>
      <c r="F69" s="5">
        <v>-498</v>
      </c>
      <c r="G69" s="5">
        <v>-242.5</v>
      </c>
      <c r="H69" s="5">
        <v>-267.8</v>
      </c>
      <c r="I69" s="5">
        <v>-536.6</v>
      </c>
      <c r="J69" s="5">
        <v>-679.6</v>
      </c>
      <c r="K69" s="5">
        <v>-383.4</v>
      </c>
      <c r="L69" s="5">
        <v>-380.3</v>
      </c>
      <c r="M69" s="5">
        <v>-271.7</v>
      </c>
      <c r="N69" s="5">
        <v>-424.2</v>
      </c>
      <c r="O69" s="5">
        <v>-619.29999999999995</v>
      </c>
      <c r="P69" s="5">
        <v>-423.9</v>
      </c>
      <c r="Q69" s="5">
        <v>131</v>
      </c>
      <c r="R69" s="5">
        <v>-544</v>
      </c>
    </row>
    <row r="70" spans="1:18" x14ac:dyDescent="0.15">
      <c r="A70" s="4" t="s">
        <v>132</v>
      </c>
      <c r="B70" s="5">
        <v>-138.4</v>
      </c>
      <c r="C70" s="5">
        <v>-109</v>
      </c>
      <c r="D70" s="5">
        <v>-268</v>
      </c>
      <c r="E70" s="5">
        <v>-232.4</v>
      </c>
      <c r="F70" s="5">
        <v>-630.6</v>
      </c>
      <c r="G70" s="6">
        <v>-1188</v>
      </c>
      <c r="H70" s="5">
        <v>-623.4</v>
      </c>
      <c r="I70" s="5">
        <v>63.6</v>
      </c>
      <c r="J70" s="5">
        <v>242.6</v>
      </c>
      <c r="K70" s="5">
        <v>205.4</v>
      </c>
      <c r="L70" s="5">
        <v>197.2</v>
      </c>
      <c r="M70" s="5">
        <v>276.60000000000002</v>
      </c>
      <c r="N70" s="5">
        <v>514.79999999999995</v>
      </c>
      <c r="O70" s="5">
        <v>181.9</v>
      </c>
      <c r="P70" s="5">
        <v>85.6</v>
      </c>
      <c r="Q70" s="5">
        <v>-484.5</v>
      </c>
      <c r="R70" s="5">
        <v>694</v>
      </c>
    </row>
    <row r="71" spans="1:18" x14ac:dyDescent="0.15">
      <c r="A71" s="4" t="s">
        <v>133</v>
      </c>
      <c r="B71" s="6">
        <v>1822.4</v>
      </c>
      <c r="C71" s="6">
        <v>1987.5</v>
      </c>
      <c r="D71" s="6">
        <v>2640.9</v>
      </c>
      <c r="E71" s="6">
        <v>3114.9</v>
      </c>
      <c r="F71" s="6">
        <v>3980.7</v>
      </c>
      <c r="G71" s="6">
        <v>6306.3</v>
      </c>
      <c r="H71" s="6">
        <v>6259.2</v>
      </c>
      <c r="I71" s="6">
        <v>5140.6000000000004</v>
      </c>
      <c r="J71" s="6">
        <v>4799.6000000000004</v>
      </c>
      <c r="K71" s="6">
        <v>4746.5</v>
      </c>
      <c r="L71" s="6">
        <v>4805.6000000000004</v>
      </c>
      <c r="M71" s="6">
        <v>4765.3999999999996</v>
      </c>
      <c r="N71" s="6">
        <v>4961.7</v>
      </c>
      <c r="O71" s="6">
        <v>5166.7</v>
      </c>
      <c r="P71" s="6">
        <v>6752.2</v>
      </c>
      <c r="Q71" s="6">
        <v>8472.7999999999993</v>
      </c>
      <c r="R71" s="6">
        <v>8566</v>
      </c>
    </row>
    <row r="72" spans="1:18" x14ac:dyDescent="0.15">
      <c r="A72" s="4" t="s">
        <v>134</v>
      </c>
      <c r="B72" s="5">
        <v>243.8</v>
      </c>
      <c r="C72" s="5">
        <v>244.7</v>
      </c>
      <c r="D72" s="5">
        <v>307.2</v>
      </c>
      <c r="E72" s="5">
        <v>336.3</v>
      </c>
      <c r="F72" s="5">
        <v>388.4</v>
      </c>
      <c r="G72" s="5">
        <v>440.7</v>
      </c>
      <c r="H72" s="5">
        <v>440.9</v>
      </c>
      <c r="I72" s="5">
        <v>441</v>
      </c>
      <c r="J72" s="5">
        <v>440.9</v>
      </c>
      <c r="K72" s="5">
        <v>417.3</v>
      </c>
      <c r="L72" s="5">
        <v>429.9</v>
      </c>
      <c r="M72" s="5">
        <v>408.8</v>
      </c>
      <c r="N72" s="5">
        <v>428.4</v>
      </c>
      <c r="O72" s="5">
        <v>430.2</v>
      </c>
      <c r="P72" s="5">
        <v>433.1</v>
      </c>
      <c r="Q72" s="5">
        <v>437.7</v>
      </c>
      <c r="R72" s="5">
        <v>443.7</v>
      </c>
    </row>
    <row r="73" spans="1:18" x14ac:dyDescent="0.15">
      <c r="A73" s="4" t="s">
        <v>135</v>
      </c>
      <c r="B73" s="5">
        <v>0.5</v>
      </c>
      <c r="C73" s="5">
        <v>0</v>
      </c>
      <c r="D73" s="5">
        <v>12.7</v>
      </c>
      <c r="E73" s="5">
        <v>12.7</v>
      </c>
      <c r="F73" s="5">
        <v>12.7</v>
      </c>
      <c r="G73" s="5">
        <v>18.899999999999999</v>
      </c>
      <c r="H73" s="5">
        <v>18.8</v>
      </c>
      <c r="I73" s="5">
        <v>18.7</v>
      </c>
      <c r="J73" s="5">
        <v>18.7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12</v>
      </c>
      <c r="R73" s="5">
        <v>12</v>
      </c>
    </row>
    <row r="74" spans="1:18" x14ac:dyDescent="0.15">
      <c r="A74" s="4" t="s">
        <v>136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</row>
    <row r="75" spans="1:18" x14ac:dyDescent="0.15">
      <c r="A75" s="1" t="s">
        <v>137</v>
      </c>
      <c r="B75" s="2">
        <v>280</v>
      </c>
      <c r="C75" s="2">
        <v>280.10000000000002</v>
      </c>
      <c r="D75" s="2">
        <v>330.2</v>
      </c>
      <c r="E75" s="2">
        <v>359.2</v>
      </c>
      <c r="F75" s="2">
        <v>411.2</v>
      </c>
      <c r="G75" s="2">
        <v>463.5</v>
      </c>
      <c r="H75" s="2">
        <v>463.7</v>
      </c>
      <c r="I75" s="2">
        <v>463.7</v>
      </c>
      <c r="J75" s="2">
        <v>462.9</v>
      </c>
      <c r="K75" s="2">
        <v>440</v>
      </c>
      <c r="L75" s="2">
        <v>429.9</v>
      </c>
      <c r="M75" s="2">
        <v>431.3</v>
      </c>
      <c r="N75" s="2">
        <v>428.4</v>
      </c>
      <c r="O75" s="2">
        <v>430.2</v>
      </c>
      <c r="P75" s="2">
        <v>433.1</v>
      </c>
      <c r="Q75" s="2">
        <v>437.7</v>
      </c>
      <c r="R75" s="2">
        <v>443.7</v>
      </c>
    </row>
    <row r="76" spans="1:18" x14ac:dyDescent="0.15">
      <c r="A76" s="4" t="s">
        <v>138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</row>
    <row r="77" spans="1:18" x14ac:dyDescent="0.15">
      <c r="A77" s="1" t="s">
        <v>139</v>
      </c>
      <c r="B77" s="2">
        <v>0</v>
      </c>
      <c r="C77" s="2">
        <v>0</v>
      </c>
      <c r="D77" s="2">
        <v>0</v>
      </c>
      <c r="E77" s="2">
        <v>359.2</v>
      </c>
      <c r="F77" s="2">
        <v>377.9</v>
      </c>
      <c r="G77" s="2">
        <v>463.5</v>
      </c>
      <c r="H77" s="2">
        <v>463.6</v>
      </c>
      <c r="I77" s="2">
        <v>463.7</v>
      </c>
      <c r="J77" s="2">
        <v>463.2</v>
      </c>
      <c r="K77" s="2">
        <v>456.4</v>
      </c>
      <c r="L77" s="2">
        <v>435.3</v>
      </c>
      <c r="M77" s="2">
        <v>432.5</v>
      </c>
      <c r="N77" s="2">
        <v>429.7</v>
      </c>
      <c r="O77" s="2">
        <v>429.2</v>
      </c>
      <c r="P77" s="2">
        <v>432.7</v>
      </c>
      <c r="Q77" s="2">
        <v>434.9</v>
      </c>
      <c r="R77" s="2">
        <v>441</v>
      </c>
    </row>
    <row r="78" spans="1:18" x14ac:dyDescent="0.15">
      <c r="A78" s="1" t="s">
        <v>140</v>
      </c>
      <c r="B78" s="2">
        <v>0</v>
      </c>
      <c r="C78" s="2">
        <v>0</v>
      </c>
      <c r="D78" s="2">
        <v>0</v>
      </c>
      <c r="E78" s="2">
        <v>359.2</v>
      </c>
      <c r="F78" s="2">
        <v>377.9</v>
      </c>
      <c r="G78" s="2">
        <v>463.5</v>
      </c>
      <c r="H78" s="2">
        <v>463.6</v>
      </c>
      <c r="I78" s="2">
        <v>463.7</v>
      </c>
      <c r="J78" s="2">
        <v>463.2</v>
      </c>
      <c r="K78" s="2">
        <v>440</v>
      </c>
      <c r="L78" s="2">
        <v>435.3</v>
      </c>
      <c r="M78" s="2">
        <v>431.3</v>
      </c>
      <c r="N78" s="2">
        <v>428.4</v>
      </c>
      <c r="O78" s="2">
        <v>430.8</v>
      </c>
      <c r="P78" s="2">
        <v>433.9</v>
      </c>
      <c r="Q78" s="2">
        <v>436</v>
      </c>
      <c r="R78" s="2">
        <v>442</v>
      </c>
    </row>
    <row r="79" spans="1:18" x14ac:dyDescent="0.15">
      <c r="A79" s="4" t="s">
        <v>141</v>
      </c>
      <c r="B79" s="5">
        <v>1659</v>
      </c>
      <c r="C79" s="5">
        <v>2127</v>
      </c>
      <c r="D79" s="5">
        <v>2686</v>
      </c>
      <c r="E79" s="5">
        <v>2400</v>
      </c>
      <c r="F79" s="5">
        <v>2400</v>
      </c>
      <c r="G79" s="5">
        <v>2400</v>
      </c>
      <c r="H79" s="5">
        <v>5600</v>
      </c>
      <c r="I79" s="5">
        <v>5600</v>
      </c>
      <c r="J79" s="5">
        <v>6500</v>
      </c>
      <c r="K79" s="5">
        <v>7400</v>
      </c>
      <c r="L79" s="5">
        <v>8200</v>
      </c>
      <c r="M79" s="5">
        <v>9000</v>
      </c>
      <c r="N79" s="5">
        <v>9000</v>
      </c>
      <c r="O79" s="5">
        <v>10000</v>
      </c>
      <c r="P79" s="5">
        <v>13000</v>
      </c>
      <c r="Q79" s="5">
        <v>12500</v>
      </c>
      <c r="R79" s="5">
        <v>14000</v>
      </c>
    </row>
  </sheetData>
  <mergeCells count="11">
    <mergeCell ref="A3:F3"/>
    <mergeCell ref="A38:F38"/>
    <mergeCell ref="G2:K2"/>
    <mergeCell ref="G3:K3"/>
    <mergeCell ref="G38:K38"/>
    <mergeCell ref="Q2:R2"/>
    <mergeCell ref="Q38:R38"/>
    <mergeCell ref="L2:P2"/>
    <mergeCell ref="L3:P3"/>
    <mergeCell ref="L38:P38"/>
    <mergeCell ref="Q3:R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9" sqref="A19:R19"/>
    </sheetView>
  </sheetViews>
  <sheetFormatPr defaultRowHeight="13.5" x14ac:dyDescent="0.15"/>
  <cols>
    <col min="1" max="1" width="31.875" customWidth="1"/>
  </cols>
  <sheetData>
    <row r="1" spans="1:18" x14ac:dyDescent="0.15">
      <c r="A1" s="4" t="s">
        <v>279</v>
      </c>
      <c r="B1" s="7">
        <v>1996</v>
      </c>
      <c r="C1" s="7">
        <v>1997</v>
      </c>
      <c r="D1" s="7">
        <v>1998</v>
      </c>
      <c r="E1" s="7">
        <v>1999</v>
      </c>
      <c r="F1" s="7">
        <v>2000</v>
      </c>
      <c r="G1" s="7">
        <v>2001</v>
      </c>
      <c r="H1" s="7">
        <v>2002</v>
      </c>
      <c r="I1" s="7">
        <v>2003</v>
      </c>
      <c r="J1" s="7">
        <v>2004</v>
      </c>
      <c r="K1" s="7">
        <v>2005</v>
      </c>
      <c r="L1" s="7">
        <v>2006</v>
      </c>
      <c r="M1" s="7">
        <v>2007</v>
      </c>
      <c r="N1" s="7">
        <v>2008</v>
      </c>
      <c r="O1" s="7">
        <v>2009</v>
      </c>
      <c r="P1" s="7">
        <v>2010</v>
      </c>
      <c r="Q1" s="7">
        <v>2011</v>
      </c>
      <c r="R1" s="7">
        <v>2012</v>
      </c>
    </row>
    <row r="2" spans="1:18" x14ac:dyDescent="0.15">
      <c r="A2" s="67" t="s">
        <v>142</v>
      </c>
      <c r="B2" s="67"/>
      <c r="C2" s="67"/>
      <c r="D2" s="67"/>
      <c r="E2" s="67"/>
      <c r="F2" s="67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</row>
    <row r="3" spans="1:18" x14ac:dyDescent="0.15">
      <c r="A3" s="183" t="s">
        <v>143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</row>
    <row r="4" spans="1:18" x14ac:dyDescent="0.15">
      <c r="A4" s="4" t="s">
        <v>144</v>
      </c>
      <c r="B4" s="5">
        <v>67.900000000000006</v>
      </c>
      <c r="C4" s="5">
        <v>-26.6</v>
      </c>
      <c r="D4" s="5">
        <v>13.5</v>
      </c>
      <c r="E4" s="5">
        <v>45.8</v>
      </c>
      <c r="F4" s="5">
        <v>118.3</v>
      </c>
      <c r="G4" s="5">
        <v>-147.4</v>
      </c>
      <c r="H4" s="5">
        <v>-288.3</v>
      </c>
      <c r="I4" s="5">
        <v>-47.8</v>
      </c>
      <c r="J4" s="5">
        <v>90.9</v>
      </c>
      <c r="K4" s="5">
        <v>160.6</v>
      </c>
      <c r="L4" s="5">
        <v>458.3</v>
      </c>
      <c r="M4" s="5">
        <v>388.5</v>
      </c>
      <c r="N4" s="5">
        <v>671.6</v>
      </c>
      <c r="O4" s="5">
        <v>535.20000000000005</v>
      </c>
      <c r="P4" s="5">
        <v>532.70000000000005</v>
      </c>
      <c r="Q4" s="5">
        <v>562.1</v>
      </c>
      <c r="R4" s="5">
        <v>761</v>
      </c>
    </row>
    <row r="5" spans="1:18" x14ac:dyDescent="0.15">
      <c r="A5" s="4" t="s">
        <v>13</v>
      </c>
      <c r="B5" s="5">
        <v>85.7</v>
      </c>
      <c r="C5" s="5">
        <v>117.8</v>
      </c>
      <c r="D5" s="5">
        <v>161.1</v>
      </c>
      <c r="E5" s="5">
        <v>159.1</v>
      </c>
      <c r="F5" s="5">
        <v>219.6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385.6</v>
      </c>
      <c r="M5" s="5">
        <v>381.9</v>
      </c>
      <c r="N5" s="5">
        <v>414.7</v>
      </c>
      <c r="O5" s="5">
        <v>480.6</v>
      </c>
      <c r="P5" s="5">
        <v>526.4</v>
      </c>
      <c r="Q5" s="5">
        <v>604.20000000000005</v>
      </c>
      <c r="R5" s="5">
        <v>0</v>
      </c>
    </row>
    <row r="6" spans="1:18" x14ac:dyDescent="0.15">
      <c r="A6" s="4" t="s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471.4</v>
      </c>
      <c r="H6" s="5">
        <v>577.9</v>
      </c>
      <c r="I6" s="5">
        <v>586.20000000000005</v>
      </c>
      <c r="J6" s="5">
        <v>545.4</v>
      </c>
      <c r="K6" s="5">
        <v>541</v>
      </c>
      <c r="L6" s="5">
        <v>112.7</v>
      </c>
      <c r="M6" s="5">
        <v>91.2</v>
      </c>
      <c r="N6" s="5">
        <v>94</v>
      </c>
      <c r="O6" s="5">
        <v>106.6</v>
      </c>
      <c r="P6" s="5">
        <v>133.80000000000001</v>
      </c>
      <c r="Q6" s="5">
        <v>4.3</v>
      </c>
      <c r="R6" s="5">
        <v>813</v>
      </c>
    </row>
    <row r="7" spans="1:18" x14ac:dyDescent="0.15">
      <c r="A7" s="4" t="s">
        <v>16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45.2</v>
      </c>
      <c r="R7" s="5">
        <v>0</v>
      </c>
    </row>
    <row r="8" spans="1:18" x14ac:dyDescent="0.15">
      <c r="A8" s="4" t="s">
        <v>112</v>
      </c>
      <c r="B8" s="5">
        <v>61.6</v>
      </c>
      <c r="C8" s="5">
        <v>11.5</v>
      </c>
      <c r="D8" s="5">
        <v>55.1</v>
      </c>
      <c r="E8" s="5">
        <v>61.6</v>
      </c>
      <c r="F8" s="5">
        <v>37</v>
      </c>
      <c r="G8" s="5">
        <v>-387.8</v>
      </c>
      <c r="H8" s="5">
        <v>-120.7</v>
      </c>
      <c r="I8" s="5">
        <v>-5.8</v>
      </c>
      <c r="J8" s="5">
        <v>48</v>
      </c>
      <c r="K8" s="5">
        <v>70.900000000000006</v>
      </c>
      <c r="L8" s="5">
        <v>-85.5</v>
      </c>
      <c r="M8" s="5">
        <v>142.9</v>
      </c>
      <c r="N8" s="5">
        <v>16.399999999999999</v>
      </c>
      <c r="O8" s="5">
        <v>167.5</v>
      </c>
      <c r="P8" s="5">
        <v>15.4</v>
      </c>
      <c r="Q8" s="5">
        <v>-4.8</v>
      </c>
      <c r="R8" s="5">
        <v>-43</v>
      </c>
    </row>
    <row r="9" spans="1:18" x14ac:dyDescent="0.15">
      <c r="A9" s="4" t="s">
        <v>145</v>
      </c>
      <c r="B9" s="5">
        <v>-92</v>
      </c>
      <c r="C9" s="5">
        <v>49.1</v>
      </c>
      <c r="D9" s="5">
        <v>-51.2</v>
      </c>
      <c r="E9" s="5">
        <v>-55.7</v>
      </c>
      <c r="F9" s="5">
        <v>-137.1</v>
      </c>
      <c r="G9" s="5">
        <v>274.39999999999998</v>
      </c>
      <c r="H9" s="5">
        <v>163.19999999999999</v>
      </c>
      <c r="I9" s="5">
        <v>2.2000000000000002</v>
      </c>
      <c r="J9" s="5">
        <v>10.5</v>
      </c>
      <c r="K9" s="5">
        <v>-9.1999999999999993</v>
      </c>
      <c r="L9" s="5">
        <v>-39.9</v>
      </c>
      <c r="M9" s="5">
        <v>-2</v>
      </c>
      <c r="N9" s="5">
        <v>-0.3</v>
      </c>
      <c r="O9" s="5">
        <v>-17.3</v>
      </c>
      <c r="P9" s="5">
        <v>12.8</v>
      </c>
      <c r="Q9" s="5">
        <v>101</v>
      </c>
      <c r="R9" s="5">
        <v>-27</v>
      </c>
    </row>
    <row r="10" spans="1:18" x14ac:dyDescent="0.15">
      <c r="A10" s="4" t="s">
        <v>146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15">
      <c r="A11" s="4" t="s">
        <v>147</v>
      </c>
      <c r="B11" s="5">
        <v>0</v>
      </c>
      <c r="C11" s="5">
        <v>0</v>
      </c>
      <c r="D11" s="5">
        <v>-13.4</v>
      </c>
      <c r="E11" s="5">
        <v>-8</v>
      </c>
      <c r="F11" s="5">
        <v>9.9</v>
      </c>
      <c r="G11" s="5">
        <v>-69.8</v>
      </c>
      <c r="H11" s="5">
        <v>11.1</v>
      </c>
      <c r="I11" s="5">
        <v>49.9</v>
      </c>
      <c r="J11" s="5">
        <v>24.9</v>
      </c>
      <c r="K11" s="5">
        <v>4.9000000000000004</v>
      </c>
      <c r="L11" s="5">
        <v>-23.6</v>
      </c>
      <c r="M11" s="5">
        <v>-16.399999999999999</v>
      </c>
      <c r="N11" s="5">
        <v>-32.6</v>
      </c>
      <c r="O11" s="5">
        <v>-5.7</v>
      </c>
      <c r="P11" s="5">
        <v>-1.2</v>
      </c>
      <c r="Q11" s="5">
        <v>54.2</v>
      </c>
      <c r="R11" s="5">
        <v>22</v>
      </c>
    </row>
    <row r="12" spans="1:18" x14ac:dyDescent="0.15">
      <c r="A12" s="4" t="s">
        <v>148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-36.799999999999997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15">
      <c r="A13" s="4" t="s">
        <v>149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-9.5</v>
      </c>
      <c r="H13" s="5">
        <v>-3.4</v>
      </c>
      <c r="I13" s="5">
        <v>3.4</v>
      </c>
      <c r="J13" s="5">
        <v>-0.1</v>
      </c>
      <c r="K13" s="5">
        <v>-2</v>
      </c>
      <c r="L13" s="5">
        <v>-5.7</v>
      </c>
      <c r="M13" s="5">
        <v>-9.6</v>
      </c>
      <c r="N13" s="5">
        <v>-9.9</v>
      </c>
      <c r="O13" s="5">
        <v>-14.4</v>
      </c>
      <c r="P13" s="5">
        <v>-2.2000000000000002</v>
      </c>
      <c r="Q13" s="5">
        <v>0</v>
      </c>
      <c r="R13" s="5">
        <v>0</v>
      </c>
    </row>
    <row r="14" spans="1:18" x14ac:dyDescent="0.15">
      <c r="A14" s="4" t="s">
        <v>150</v>
      </c>
      <c r="B14" s="5">
        <v>0</v>
      </c>
      <c r="C14" s="5">
        <v>0</v>
      </c>
      <c r="D14" s="5">
        <v>0</v>
      </c>
      <c r="E14" s="5">
        <v>-17.100000000000001</v>
      </c>
      <c r="F14" s="5">
        <v>9.6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-13.3</v>
      </c>
      <c r="R14" s="5">
        <v>0</v>
      </c>
    </row>
    <row r="15" spans="1:18" x14ac:dyDescent="0.15">
      <c r="A15" s="4" t="s">
        <v>151</v>
      </c>
      <c r="B15" s="5">
        <v>0</v>
      </c>
      <c r="C15" s="5">
        <v>0</v>
      </c>
      <c r="D15" s="5">
        <v>-22.6</v>
      </c>
      <c r="E15" s="5">
        <v>26.6</v>
      </c>
      <c r="F15" s="5">
        <v>2.7</v>
      </c>
      <c r="G15" s="5">
        <v>141.4</v>
      </c>
      <c r="H15" s="5">
        <v>-38.700000000000003</v>
      </c>
      <c r="I15" s="5">
        <v>-67.099999999999994</v>
      </c>
      <c r="J15" s="5">
        <v>1.1000000000000001</v>
      </c>
      <c r="K15" s="5">
        <v>6.3</v>
      </c>
      <c r="L15" s="5">
        <v>22.3</v>
      </c>
      <c r="M15" s="5">
        <v>-14.4</v>
      </c>
      <c r="N15" s="5">
        <v>54.8</v>
      </c>
      <c r="O15" s="5">
        <v>47.8</v>
      </c>
      <c r="P15" s="5">
        <v>-76.599999999999994</v>
      </c>
      <c r="Q15" s="5">
        <v>-53.8</v>
      </c>
      <c r="R15" s="5">
        <v>-37</v>
      </c>
    </row>
    <row r="16" spans="1:18" x14ac:dyDescent="0.15">
      <c r="A16" s="4" t="s">
        <v>152</v>
      </c>
      <c r="B16" s="5">
        <v>0</v>
      </c>
      <c r="C16" s="5">
        <v>0</v>
      </c>
      <c r="D16" s="5">
        <v>-13.8</v>
      </c>
      <c r="E16" s="5">
        <v>8.3000000000000007</v>
      </c>
      <c r="F16" s="5">
        <v>-6.9</v>
      </c>
      <c r="G16" s="5">
        <v>17.399999999999999</v>
      </c>
      <c r="H16" s="5">
        <v>34.299999999999997</v>
      </c>
      <c r="I16" s="5">
        <v>17.5</v>
      </c>
      <c r="J16" s="5">
        <v>10.4</v>
      </c>
      <c r="K16" s="5">
        <v>-2.6</v>
      </c>
      <c r="L16" s="5">
        <v>6.6</v>
      </c>
      <c r="M16" s="5">
        <v>0</v>
      </c>
      <c r="N16" s="5">
        <v>0</v>
      </c>
      <c r="O16" s="5">
        <v>31.4</v>
      </c>
      <c r="P16" s="5">
        <v>156.69999999999999</v>
      </c>
      <c r="Q16" s="5">
        <v>-196.7</v>
      </c>
      <c r="R16" s="5">
        <v>33</v>
      </c>
    </row>
    <row r="17" spans="1:18" x14ac:dyDescent="0.15">
      <c r="A17" s="4" t="s">
        <v>153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12.1</v>
      </c>
      <c r="N17" s="5">
        <v>7</v>
      </c>
      <c r="O17" s="5">
        <v>0</v>
      </c>
      <c r="P17" s="5">
        <v>5</v>
      </c>
      <c r="Q17" s="5">
        <v>8.1</v>
      </c>
      <c r="R17" s="5">
        <v>0</v>
      </c>
    </row>
    <row r="18" spans="1:18" x14ac:dyDescent="0.15">
      <c r="A18" s="4" t="s">
        <v>154</v>
      </c>
      <c r="B18" s="5">
        <v>4.5999999999999996</v>
      </c>
      <c r="C18" s="5">
        <v>42.3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16</v>
      </c>
      <c r="M18" s="5">
        <v>25.9</v>
      </c>
      <c r="N18" s="5">
        <v>26.5</v>
      </c>
      <c r="O18" s="5">
        <v>51.3</v>
      </c>
      <c r="P18" s="5">
        <v>154.30000000000001</v>
      </c>
      <c r="Q18" s="5">
        <v>131.19999999999999</v>
      </c>
      <c r="R18" s="5">
        <v>-208</v>
      </c>
    </row>
    <row r="19" spans="1:18" x14ac:dyDescent="0.15">
      <c r="A19" s="4" t="s">
        <v>155</v>
      </c>
      <c r="B19" s="5">
        <v>127.8</v>
      </c>
      <c r="C19" s="5">
        <v>194.1</v>
      </c>
      <c r="D19" s="5">
        <v>128.69999999999999</v>
      </c>
      <c r="E19" s="5">
        <v>220.6</v>
      </c>
      <c r="F19" s="5">
        <v>253.1</v>
      </c>
      <c r="G19" s="5">
        <v>253.2</v>
      </c>
      <c r="H19" s="5">
        <v>335.4</v>
      </c>
      <c r="I19" s="5">
        <v>538.4</v>
      </c>
      <c r="J19" s="5">
        <v>731</v>
      </c>
      <c r="K19" s="5">
        <v>769.9</v>
      </c>
      <c r="L19" s="5">
        <v>846.9</v>
      </c>
      <c r="M19" s="6">
        <v>1000</v>
      </c>
      <c r="N19" s="6">
        <v>1242.2</v>
      </c>
      <c r="O19" s="6">
        <v>1382.9</v>
      </c>
      <c r="P19" s="6">
        <v>1457.2</v>
      </c>
      <c r="Q19" s="6">
        <v>1241.7</v>
      </c>
      <c r="R19" s="6">
        <v>1314</v>
      </c>
    </row>
    <row r="20" spans="1:18" x14ac:dyDescent="0.15">
      <c r="A20" s="4" t="s">
        <v>156</v>
      </c>
      <c r="B20" s="5">
        <v>-24.1</v>
      </c>
      <c r="C20" s="5">
        <v>0</v>
      </c>
      <c r="D20" s="5">
        <v>0</v>
      </c>
      <c r="E20" s="5">
        <v>-70</v>
      </c>
      <c r="F20" s="5">
        <v>19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-10.5</v>
      </c>
      <c r="R20" s="5">
        <v>0</v>
      </c>
    </row>
    <row r="21" spans="1:18" x14ac:dyDescent="0.15">
      <c r="A21" s="1" t="s">
        <v>157</v>
      </c>
      <c r="B21" s="2">
        <v>103.7</v>
      </c>
      <c r="C21" s="2">
        <v>194.1</v>
      </c>
      <c r="D21" s="2">
        <v>128.69999999999999</v>
      </c>
      <c r="E21" s="2">
        <v>150.6</v>
      </c>
      <c r="F21" s="2">
        <v>272.10000000000002</v>
      </c>
      <c r="G21" s="2">
        <v>253.2</v>
      </c>
      <c r="H21" s="2">
        <v>335.4</v>
      </c>
      <c r="I21" s="2">
        <v>538.4</v>
      </c>
      <c r="J21" s="2">
        <v>731</v>
      </c>
      <c r="K21" s="2">
        <v>769.9</v>
      </c>
      <c r="L21" s="2">
        <v>846.9</v>
      </c>
      <c r="M21" s="3">
        <v>1000</v>
      </c>
      <c r="N21" s="3">
        <v>1242.2</v>
      </c>
      <c r="O21" s="3">
        <v>1382.9</v>
      </c>
      <c r="P21" s="3">
        <v>1457.2</v>
      </c>
      <c r="Q21" s="3">
        <v>1231.2</v>
      </c>
      <c r="R21" s="3">
        <v>1314</v>
      </c>
    </row>
    <row r="22" spans="1:18" x14ac:dyDescent="0.15">
      <c r="A22" s="185" t="s">
        <v>158</v>
      </c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</row>
    <row r="23" spans="1:18" x14ac:dyDescent="0.15">
      <c r="A23" s="4" t="s">
        <v>159</v>
      </c>
      <c r="B23" s="5">
        <v>262.2</v>
      </c>
      <c r="C23" s="5">
        <v>0</v>
      </c>
      <c r="D23" s="5">
        <v>185.9</v>
      </c>
      <c r="E23" s="5">
        <v>17.2</v>
      </c>
      <c r="F23" s="5">
        <v>53.7</v>
      </c>
      <c r="G23" s="5">
        <v>193.3</v>
      </c>
      <c r="H23" s="5">
        <v>89.5</v>
      </c>
      <c r="I23" s="5">
        <v>257.39999999999998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22.1</v>
      </c>
      <c r="P23" s="5">
        <v>0.4</v>
      </c>
      <c r="Q23" s="5">
        <v>26.8</v>
      </c>
      <c r="R23" s="5">
        <v>9</v>
      </c>
    </row>
    <row r="24" spans="1:18" x14ac:dyDescent="0.15">
      <c r="A24" s="4" t="s">
        <v>160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170.4</v>
      </c>
      <c r="H24" s="5">
        <v>18.5</v>
      </c>
      <c r="I24" s="5">
        <v>22.5</v>
      </c>
      <c r="J24" s="5">
        <v>9.5</v>
      </c>
      <c r="K24" s="5">
        <v>79.900000000000006</v>
      </c>
      <c r="L24" s="5">
        <v>88.1</v>
      </c>
      <c r="M24" s="5">
        <v>16</v>
      </c>
      <c r="N24" s="5">
        <v>0.6</v>
      </c>
      <c r="O24" s="5">
        <v>0</v>
      </c>
      <c r="P24" s="5">
        <v>159.4</v>
      </c>
      <c r="Q24" s="5">
        <v>0</v>
      </c>
      <c r="R24" s="5">
        <v>4</v>
      </c>
    </row>
    <row r="25" spans="1:18" x14ac:dyDescent="0.15">
      <c r="A25" s="4" t="s">
        <v>161</v>
      </c>
      <c r="B25" s="5">
        <v>0</v>
      </c>
      <c r="C25" s="5">
        <v>0</v>
      </c>
      <c r="D25" s="5">
        <v>109.7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15">
      <c r="A26" s="4" t="s">
        <v>162</v>
      </c>
      <c r="B26" s="5">
        <v>-231.7</v>
      </c>
      <c r="C26" s="5">
        <v>-298.3</v>
      </c>
      <c r="D26" s="5">
        <v>-382.1</v>
      </c>
      <c r="E26" s="5">
        <v>-351.6</v>
      </c>
      <c r="F26" s="5">
        <v>-583.6</v>
      </c>
      <c r="G26" s="5">
        <v>-828.7</v>
      </c>
      <c r="H26" s="5">
        <v>-865.2</v>
      </c>
      <c r="I26" s="5">
        <v>-420.6</v>
      </c>
      <c r="J26" s="5">
        <v>-388.8</v>
      </c>
      <c r="K26" s="5">
        <v>-452.6</v>
      </c>
      <c r="L26" s="5">
        <v>-540.6</v>
      </c>
      <c r="M26" s="5">
        <v>-651.1</v>
      </c>
      <c r="N26" s="5">
        <v>-727.4</v>
      </c>
      <c r="O26" s="5">
        <v>-802.9</v>
      </c>
      <c r="P26" s="5">
        <v>-840.7</v>
      </c>
      <c r="Q26" s="5">
        <v>-889.1</v>
      </c>
      <c r="R26" s="5">
        <v>-243</v>
      </c>
    </row>
    <row r="27" spans="1:18" x14ac:dyDescent="0.15">
      <c r="A27" s="4" t="s">
        <v>163</v>
      </c>
      <c r="B27" s="5">
        <v>0</v>
      </c>
      <c r="C27" s="5">
        <v>0</v>
      </c>
      <c r="D27" s="5">
        <v>0</v>
      </c>
      <c r="E27" s="5">
        <v>0</v>
      </c>
      <c r="F27" s="5">
        <v>-281.10000000000002</v>
      </c>
      <c r="G27" s="5">
        <v>-562.1</v>
      </c>
      <c r="H27" s="5">
        <v>-40.5</v>
      </c>
      <c r="I27" s="5">
        <v>-3.6</v>
      </c>
      <c r="J27" s="5">
        <v>-24.3</v>
      </c>
      <c r="K27" s="5">
        <v>0</v>
      </c>
      <c r="L27" s="5">
        <v>-5.8</v>
      </c>
      <c r="M27" s="5">
        <v>-72.400000000000006</v>
      </c>
      <c r="N27" s="5">
        <v>0</v>
      </c>
      <c r="O27" s="5">
        <v>-46.3</v>
      </c>
      <c r="P27" s="5">
        <v>-158.80000000000001</v>
      </c>
      <c r="Q27" s="5">
        <v>-452.6</v>
      </c>
      <c r="R27" s="5">
        <v>-18</v>
      </c>
    </row>
    <row r="28" spans="1:18" x14ac:dyDescent="0.15">
      <c r="A28" s="4" t="s">
        <v>164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-138.5</v>
      </c>
      <c r="H28" s="5">
        <v>-28.2</v>
      </c>
      <c r="I28" s="5">
        <v>-9.6999999999999993</v>
      </c>
      <c r="J28" s="5">
        <v>-0.5</v>
      </c>
      <c r="K28" s="5">
        <v>-5.3</v>
      </c>
      <c r="L28" s="5">
        <v>-9.4</v>
      </c>
      <c r="M28" s="5">
        <v>0</v>
      </c>
      <c r="N28" s="5">
        <v>0</v>
      </c>
      <c r="O28" s="5">
        <v>0</v>
      </c>
      <c r="P28" s="5">
        <v>-903.1</v>
      </c>
      <c r="Q28" s="5">
        <v>0</v>
      </c>
      <c r="R28" s="5">
        <v>0</v>
      </c>
    </row>
    <row r="29" spans="1:18" x14ac:dyDescent="0.15">
      <c r="A29" s="4" t="s">
        <v>165</v>
      </c>
      <c r="B29" s="5">
        <v>-14.2</v>
      </c>
      <c r="C29" s="5">
        <v>-72.5</v>
      </c>
      <c r="D29" s="5">
        <v>-332.6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15">
      <c r="A30" s="4" t="s">
        <v>166</v>
      </c>
      <c r="B30" s="5">
        <v>-6</v>
      </c>
      <c r="C30" s="5">
        <v>-27.5</v>
      </c>
      <c r="D30" s="5">
        <v>-40.200000000000003</v>
      </c>
      <c r="E30" s="5">
        <v>-138.1</v>
      </c>
      <c r="F30" s="5">
        <v>-159.6</v>
      </c>
      <c r="G30" s="5">
        <v>-39.9</v>
      </c>
      <c r="H30" s="5">
        <v>0.3</v>
      </c>
      <c r="I30" s="5">
        <v>58.9</v>
      </c>
      <c r="J30" s="5">
        <v>-3.1</v>
      </c>
      <c r="K30" s="5">
        <v>-2.1</v>
      </c>
      <c r="L30" s="5">
        <v>-21.5</v>
      </c>
      <c r="M30" s="5">
        <v>-12.3</v>
      </c>
      <c r="N30" s="5">
        <v>-7.4</v>
      </c>
      <c r="O30" s="5">
        <v>-139.6</v>
      </c>
      <c r="P30" s="5">
        <v>-1.3</v>
      </c>
      <c r="Q30" s="5">
        <v>-34.9</v>
      </c>
      <c r="R30" s="5">
        <v>-732</v>
      </c>
    </row>
    <row r="31" spans="1:18" x14ac:dyDescent="0.15">
      <c r="A31" s="4" t="s">
        <v>167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-137.5</v>
      </c>
      <c r="R31" s="5">
        <v>-3</v>
      </c>
    </row>
    <row r="32" spans="1:18" x14ac:dyDescent="0.15">
      <c r="A32" s="1" t="s">
        <v>168</v>
      </c>
      <c r="B32" s="2">
        <v>10.3</v>
      </c>
      <c r="C32" s="2">
        <v>-398.3</v>
      </c>
      <c r="D32" s="2">
        <v>-459.4</v>
      </c>
      <c r="E32" s="2">
        <v>-472.6</v>
      </c>
      <c r="F32" s="2">
        <v>-970.7</v>
      </c>
      <c r="G32" s="3">
        <v>-1205.5999999999999</v>
      </c>
      <c r="H32" s="2">
        <v>-825.6</v>
      </c>
      <c r="I32" s="2">
        <v>-95</v>
      </c>
      <c r="J32" s="2">
        <v>-407.2</v>
      </c>
      <c r="K32" s="2">
        <v>-380</v>
      </c>
      <c r="L32" s="2">
        <v>-489.1</v>
      </c>
      <c r="M32" s="2">
        <v>-719.8</v>
      </c>
      <c r="N32" s="2">
        <v>-734.1</v>
      </c>
      <c r="O32" s="2">
        <v>-966.7</v>
      </c>
      <c r="P32" s="3">
        <v>-1744</v>
      </c>
      <c r="Q32" s="3">
        <v>-1487.3</v>
      </c>
      <c r="R32" s="2">
        <v>-983</v>
      </c>
    </row>
    <row r="33" spans="1:18" x14ac:dyDescent="0.15">
      <c r="A33" s="183" t="s">
        <v>169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</row>
    <row r="34" spans="1:18" x14ac:dyDescent="0.15">
      <c r="A34" s="4" t="s">
        <v>170</v>
      </c>
      <c r="B34" s="5">
        <v>223.6</v>
      </c>
      <c r="C34" s="5">
        <v>528.5</v>
      </c>
      <c r="D34" s="5">
        <v>391</v>
      </c>
      <c r="E34" s="5">
        <v>461.7</v>
      </c>
      <c r="F34" s="6">
        <v>2231.1</v>
      </c>
      <c r="G34" s="6">
        <v>2377.1999999999998</v>
      </c>
      <c r="H34" s="6">
        <v>1050</v>
      </c>
      <c r="I34" s="5">
        <v>505.6</v>
      </c>
      <c r="J34" s="5">
        <v>671.2</v>
      </c>
      <c r="K34" s="5">
        <v>755.6</v>
      </c>
      <c r="L34" s="6">
        <v>1317.8</v>
      </c>
      <c r="M34" s="5">
        <v>460</v>
      </c>
      <c r="N34" s="5">
        <v>342.1</v>
      </c>
      <c r="O34" s="5">
        <v>835.2</v>
      </c>
      <c r="P34" s="6">
        <v>1891.7</v>
      </c>
      <c r="Q34" s="6">
        <v>2352.1</v>
      </c>
      <c r="R34" s="5">
        <v>0</v>
      </c>
    </row>
    <row r="35" spans="1:18" x14ac:dyDescent="0.15">
      <c r="A35" s="4" t="s">
        <v>171</v>
      </c>
      <c r="B35" s="5">
        <v>0</v>
      </c>
      <c r="C35" s="5">
        <v>0</v>
      </c>
      <c r="D35" s="5">
        <v>537.79999999999995</v>
      </c>
      <c r="E35" s="5">
        <v>250.2</v>
      </c>
      <c r="F35" s="5">
        <v>339.9</v>
      </c>
      <c r="G35" s="5">
        <v>194.5</v>
      </c>
      <c r="H35" s="5">
        <v>91.3</v>
      </c>
      <c r="I35" s="5">
        <v>0.1</v>
      </c>
      <c r="J35" s="5">
        <v>0.1</v>
      </c>
      <c r="K35" s="5">
        <v>0.2</v>
      </c>
      <c r="L35" s="5">
        <v>2.2999999999999998</v>
      </c>
      <c r="M35" s="5">
        <v>92.1</v>
      </c>
      <c r="N35" s="5">
        <v>32.5</v>
      </c>
      <c r="O35" s="5">
        <v>57</v>
      </c>
      <c r="P35" s="5">
        <v>47.1</v>
      </c>
      <c r="Q35" s="5">
        <v>328.6</v>
      </c>
      <c r="R35" s="5">
        <v>17</v>
      </c>
    </row>
    <row r="36" spans="1:18" x14ac:dyDescent="0.15">
      <c r="A36" s="4" t="s">
        <v>172</v>
      </c>
      <c r="B36" s="5">
        <v>-234.4</v>
      </c>
      <c r="C36" s="5">
        <v>-319.89999999999998</v>
      </c>
      <c r="D36" s="5">
        <v>-540.6</v>
      </c>
      <c r="E36" s="5">
        <v>-375.9</v>
      </c>
      <c r="F36" s="6">
        <v>-2012.1</v>
      </c>
      <c r="G36" s="6">
        <v>-1560.6</v>
      </c>
      <c r="H36" s="5">
        <v>-588.6</v>
      </c>
      <c r="I36" s="5">
        <v>-860.8</v>
      </c>
      <c r="J36" s="5">
        <v>-859.1</v>
      </c>
      <c r="K36" s="5">
        <v>-733.9</v>
      </c>
      <c r="L36" s="6">
        <v>-1414.1</v>
      </c>
      <c r="M36" s="5">
        <v>-360.8</v>
      </c>
      <c r="N36" s="5">
        <v>0</v>
      </c>
      <c r="O36" s="5">
        <v>-471.3</v>
      </c>
      <c r="P36" s="6">
        <v>-1016.7</v>
      </c>
      <c r="Q36" s="6">
        <v>-1823.9</v>
      </c>
      <c r="R36" s="5">
        <v>-5</v>
      </c>
    </row>
    <row r="37" spans="1:18" x14ac:dyDescent="0.15">
      <c r="A37" s="4" t="s">
        <v>173</v>
      </c>
      <c r="B37" s="5">
        <v>-75.7</v>
      </c>
      <c r="C37" s="5">
        <v>-2.8</v>
      </c>
      <c r="D37" s="5">
        <v>0</v>
      </c>
      <c r="E37" s="5">
        <v>-4.5999999999999996</v>
      </c>
      <c r="F37" s="5">
        <v>-13.8</v>
      </c>
      <c r="G37" s="5">
        <v>0</v>
      </c>
      <c r="H37" s="5">
        <v>0</v>
      </c>
      <c r="I37" s="5">
        <v>0</v>
      </c>
      <c r="J37" s="5">
        <v>-86</v>
      </c>
      <c r="K37" s="5">
        <v>-287.10000000000002</v>
      </c>
      <c r="L37" s="5">
        <v>-146.6</v>
      </c>
      <c r="M37" s="5">
        <v>-306</v>
      </c>
      <c r="N37" s="5">
        <v>-403.6</v>
      </c>
      <c r="O37" s="5">
        <v>-33.6</v>
      </c>
      <c r="P37" s="5">
        <v>-118.2</v>
      </c>
      <c r="Q37" s="5">
        <v>0</v>
      </c>
      <c r="R37" s="5">
        <v>0</v>
      </c>
    </row>
    <row r="38" spans="1:18" x14ac:dyDescent="0.15">
      <c r="A38" s="4" t="s">
        <v>174</v>
      </c>
      <c r="B38" s="5">
        <v>-10.4</v>
      </c>
      <c r="C38" s="5">
        <v>-4.8</v>
      </c>
      <c r="D38" s="5">
        <v>-14.6</v>
      </c>
      <c r="E38" s="5">
        <v>-31.4</v>
      </c>
      <c r="F38" s="5">
        <v>-37.9</v>
      </c>
      <c r="G38" s="5">
        <v>-50.3</v>
      </c>
      <c r="H38" s="5">
        <v>-53.2</v>
      </c>
      <c r="I38" s="5">
        <v>-50.6</v>
      </c>
      <c r="J38" s="5">
        <v>-75.3</v>
      </c>
      <c r="K38" s="5">
        <v>-112</v>
      </c>
      <c r="L38" s="5">
        <v>-103.3</v>
      </c>
      <c r="M38" s="5">
        <v>0</v>
      </c>
      <c r="N38" s="5">
        <v>0</v>
      </c>
      <c r="O38" s="5">
        <v>-351.9</v>
      </c>
      <c r="P38" s="5">
        <v>-372.1</v>
      </c>
      <c r="Q38" s="5">
        <v>-373.9</v>
      </c>
      <c r="R38" s="5">
        <v>-359</v>
      </c>
    </row>
    <row r="39" spans="1:18" x14ac:dyDescent="0.15">
      <c r="A39" s="4" t="s">
        <v>175</v>
      </c>
      <c r="B39" s="5">
        <v>0</v>
      </c>
      <c r="C39" s="5">
        <v>0</v>
      </c>
      <c r="D39" s="5">
        <v>0</v>
      </c>
      <c r="E39" s="5">
        <v>0</v>
      </c>
      <c r="F39" s="5">
        <v>191.5</v>
      </c>
      <c r="G39" s="5">
        <v>-8.6</v>
      </c>
      <c r="H39" s="5">
        <v>-9.4</v>
      </c>
      <c r="I39" s="5">
        <v>-16.899999999999999</v>
      </c>
      <c r="J39" s="5">
        <v>4.5999999999999996</v>
      </c>
      <c r="K39" s="5">
        <v>-11</v>
      </c>
      <c r="L39" s="5">
        <v>-15.5</v>
      </c>
      <c r="M39" s="5">
        <v>-0.2</v>
      </c>
      <c r="N39" s="5">
        <v>-644.4</v>
      </c>
      <c r="O39" s="5">
        <v>1.6</v>
      </c>
      <c r="P39" s="5">
        <v>-381.5</v>
      </c>
      <c r="Q39" s="5">
        <v>0</v>
      </c>
      <c r="R39" s="5">
        <v>0</v>
      </c>
    </row>
    <row r="40" spans="1:18" x14ac:dyDescent="0.15">
      <c r="A40" s="4" t="s">
        <v>176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15">
      <c r="A41" s="1" t="s">
        <v>177</v>
      </c>
      <c r="B41" s="2">
        <v>-96.8</v>
      </c>
      <c r="C41" s="2">
        <v>200.9</v>
      </c>
      <c r="D41" s="2">
        <v>373.5</v>
      </c>
      <c r="E41" s="2">
        <v>300</v>
      </c>
      <c r="F41" s="2">
        <v>698.6</v>
      </c>
      <c r="G41" s="2">
        <v>952.3</v>
      </c>
      <c r="H41" s="2">
        <v>490.1</v>
      </c>
      <c r="I41" s="2">
        <v>-422.6</v>
      </c>
      <c r="J41" s="2">
        <v>-344.5</v>
      </c>
      <c r="K41" s="2">
        <v>-388.1</v>
      </c>
      <c r="L41" s="2">
        <v>-359.5</v>
      </c>
      <c r="M41" s="2">
        <v>-114.9</v>
      </c>
      <c r="N41" s="2">
        <v>-673.4</v>
      </c>
      <c r="O41" s="2">
        <v>37</v>
      </c>
      <c r="P41" s="2">
        <v>50.3</v>
      </c>
      <c r="Q41" s="2">
        <v>482.9</v>
      </c>
      <c r="R41" s="2">
        <v>-347</v>
      </c>
    </row>
    <row r="42" spans="1:18" x14ac:dyDescent="0.15">
      <c r="A42" s="183" t="s">
        <v>178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</row>
    <row r="43" spans="1:18" x14ac:dyDescent="0.15">
      <c r="A43" s="4" t="s">
        <v>179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0.1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0.1</v>
      </c>
      <c r="P43" s="5">
        <v>0</v>
      </c>
      <c r="Q43" s="5">
        <v>0</v>
      </c>
      <c r="R43" s="5">
        <v>0</v>
      </c>
    </row>
    <row r="44" spans="1:18" x14ac:dyDescent="0.15">
      <c r="A44" s="1" t="s">
        <v>180</v>
      </c>
      <c r="B44" s="2">
        <v>17.3</v>
      </c>
      <c r="C44" s="2">
        <v>-3.3</v>
      </c>
      <c r="D44" s="2">
        <v>42.9</v>
      </c>
      <c r="E44" s="2">
        <v>-22</v>
      </c>
      <c r="F44" s="2">
        <v>0</v>
      </c>
      <c r="G44" s="2">
        <v>0</v>
      </c>
      <c r="H44" s="2">
        <v>0</v>
      </c>
      <c r="I44" s="2">
        <v>20.8</v>
      </c>
      <c r="J44" s="2">
        <v>-20.8</v>
      </c>
      <c r="K44" s="2">
        <v>1.7</v>
      </c>
      <c r="L44" s="2">
        <v>-1.7</v>
      </c>
      <c r="M44" s="2">
        <v>165.3</v>
      </c>
      <c r="N44" s="2">
        <v>-165.3</v>
      </c>
      <c r="O44" s="2">
        <v>453.2</v>
      </c>
      <c r="P44" s="2">
        <v>-236.5</v>
      </c>
      <c r="Q44" s="2">
        <v>226.7</v>
      </c>
      <c r="R44" s="2">
        <v>-16</v>
      </c>
    </row>
    <row r="45" spans="1:18" x14ac:dyDescent="0.15">
      <c r="A45" s="4" t="s">
        <v>181</v>
      </c>
      <c r="B45" s="5">
        <v>-34.9</v>
      </c>
      <c r="C45" s="5">
        <v>-17.600000000000001</v>
      </c>
      <c r="D45" s="5">
        <v>-20.9</v>
      </c>
      <c r="E45" s="5">
        <v>22</v>
      </c>
      <c r="F45" s="5">
        <v>0</v>
      </c>
      <c r="G45" s="5">
        <v>0</v>
      </c>
      <c r="H45" s="5">
        <v>0</v>
      </c>
      <c r="I45" s="5">
        <v>0</v>
      </c>
      <c r="J45" s="5">
        <v>20.8</v>
      </c>
      <c r="K45" s="5">
        <v>0</v>
      </c>
      <c r="L45" s="5">
        <v>1.7</v>
      </c>
      <c r="M45" s="5">
        <v>0</v>
      </c>
      <c r="N45" s="5">
        <v>165.3</v>
      </c>
      <c r="O45" s="5">
        <v>0</v>
      </c>
      <c r="P45" s="5">
        <v>453.2</v>
      </c>
      <c r="Q45" s="5">
        <v>216.7</v>
      </c>
      <c r="R45" s="5">
        <v>443</v>
      </c>
    </row>
    <row r="46" spans="1:18" x14ac:dyDescent="0.15">
      <c r="A46" s="4" t="s">
        <v>182</v>
      </c>
      <c r="B46" s="5">
        <v>-17.600000000000001</v>
      </c>
      <c r="C46" s="5">
        <v>-20.9</v>
      </c>
      <c r="D46" s="5">
        <v>22</v>
      </c>
      <c r="E46" s="5">
        <v>0</v>
      </c>
      <c r="F46" s="5">
        <v>0</v>
      </c>
      <c r="G46" s="5">
        <v>0</v>
      </c>
      <c r="H46" s="5">
        <v>0</v>
      </c>
      <c r="I46" s="5">
        <v>20.8</v>
      </c>
      <c r="J46" s="5">
        <v>0</v>
      </c>
      <c r="K46" s="5">
        <v>1.7</v>
      </c>
      <c r="L46" s="5">
        <v>0</v>
      </c>
      <c r="M46" s="5">
        <v>165.3</v>
      </c>
      <c r="N46" s="5">
        <v>0</v>
      </c>
      <c r="O46" s="5">
        <v>453.2</v>
      </c>
      <c r="P46" s="5">
        <v>216.7</v>
      </c>
      <c r="Q46" s="5">
        <v>443.4</v>
      </c>
      <c r="R46" s="5">
        <v>427</v>
      </c>
    </row>
  </sheetData>
  <mergeCells count="19">
    <mergeCell ref="A3:F3"/>
    <mergeCell ref="A22:F22"/>
    <mergeCell ref="A33:F33"/>
    <mergeCell ref="A42:F42"/>
    <mergeCell ref="G2:K2"/>
    <mergeCell ref="G3:K3"/>
    <mergeCell ref="G22:K22"/>
    <mergeCell ref="G33:K33"/>
    <mergeCell ref="G42:K42"/>
    <mergeCell ref="Q2:R2"/>
    <mergeCell ref="Q22:R22"/>
    <mergeCell ref="Q33:R33"/>
    <mergeCell ref="Q42:R42"/>
    <mergeCell ref="L2:P2"/>
    <mergeCell ref="L3:P3"/>
    <mergeCell ref="L22:P22"/>
    <mergeCell ref="L33:P33"/>
    <mergeCell ref="L42:P42"/>
    <mergeCell ref="Q3:R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J74" sqref="J74:R74"/>
    </sheetView>
  </sheetViews>
  <sheetFormatPr defaultRowHeight="13.5" x14ac:dyDescent="0.15"/>
  <cols>
    <col min="1" max="1" width="28.875" customWidth="1"/>
  </cols>
  <sheetData>
    <row r="1" spans="1:18" x14ac:dyDescent="0.15">
      <c r="A1" s="4" t="s">
        <v>279</v>
      </c>
      <c r="B1" s="7">
        <v>1996</v>
      </c>
      <c r="C1" s="7">
        <v>1997</v>
      </c>
      <c r="D1" s="7">
        <v>1998</v>
      </c>
      <c r="E1" s="7">
        <v>1999</v>
      </c>
      <c r="F1" s="7">
        <v>2000</v>
      </c>
      <c r="G1" s="7">
        <v>2001</v>
      </c>
      <c r="H1" s="7">
        <v>2002</v>
      </c>
      <c r="I1" s="7">
        <v>2003</v>
      </c>
      <c r="J1" s="7">
        <v>2004</v>
      </c>
      <c r="K1" s="7">
        <v>2005</v>
      </c>
      <c r="L1" s="7">
        <v>2006</v>
      </c>
      <c r="M1" s="7">
        <v>2007</v>
      </c>
      <c r="N1" s="7">
        <v>2008</v>
      </c>
      <c r="O1" s="7">
        <v>2009</v>
      </c>
      <c r="P1" s="7">
        <v>2010</v>
      </c>
      <c r="Q1" s="7">
        <v>2011</v>
      </c>
      <c r="R1" s="7">
        <v>2012</v>
      </c>
    </row>
    <row r="2" spans="1:18" x14ac:dyDescent="0.15">
      <c r="A2" s="67" t="s">
        <v>183</v>
      </c>
      <c r="B2" s="67"/>
      <c r="C2" s="67"/>
      <c r="D2" s="67"/>
      <c r="E2" s="67"/>
      <c r="F2" s="67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</row>
    <row r="3" spans="1:18" x14ac:dyDescent="0.15">
      <c r="A3" s="183" t="s">
        <v>184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</row>
    <row r="4" spans="1:18" x14ac:dyDescent="0.15">
      <c r="A4" s="4" t="s">
        <v>185</v>
      </c>
      <c r="B4" s="5">
        <v>10.1</v>
      </c>
      <c r="C4" s="5">
        <v>43.2</v>
      </c>
      <c r="D4" s="5">
        <v>0</v>
      </c>
      <c r="E4" s="5">
        <v>220</v>
      </c>
      <c r="F4" s="5">
        <v>75.5</v>
      </c>
      <c r="G4" s="5">
        <v>0</v>
      </c>
      <c r="H4" s="5">
        <v>0</v>
      </c>
      <c r="I4" s="5">
        <v>0</v>
      </c>
      <c r="J4" s="5">
        <v>92.7</v>
      </c>
      <c r="K4" s="5">
        <v>39.1</v>
      </c>
      <c r="L4" s="5">
        <v>16</v>
      </c>
      <c r="M4" s="5">
        <v>27.6</v>
      </c>
      <c r="N4" s="5">
        <v>73.900000000000006</v>
      </c>
      <c r="O4" s="5">
        <v>15.2</v>
      </c>
      <c r="P4" s="5">
        <v>17.399999999999999</v>
      </c>
      <c r="Q4" s="5">
        <v>21.7</v>
      </c>
      <c r="R4" s="5">
        <v>12.5</v>
      </c>
    </row>
    <row r="5" spans="1:18" x14ac:dyDescent="0.15">
      <c r="A5" s="4" t="s">
        <v>186</v>
      </c>
      <c r="B5" s="5">
        <v>12.2</v>
      </c>
      <c r="C5" s="5">
        <v>44.3</v>
      </c>
      <c r="D5" s="5">
        <v>0</v>
      </c>
      <c r="E5" s="5">
        <v>283.3</v>
      </c>
      <c r="F5" s="5">
        <v>103.4</v>
      </c>
      <c r="G5" s="5">
        <v>0</v>
      </c>
      <c r="H5" s="5">
        <v>0</v>
      </c>
      <c r="I5" s="5">
        <v>0</v>
      </c>
      <c r="J5" s="5">
        <v>110.5</v>
      </c>
      <c r="K5" s="5">
        <v>42.4</v>
      </c>
      <c r="L5" s="5">
        <v>16.5</v>
      </c>
      <c r="M5" s="5">
        <v>32.299999999999997</v>
      </c>
      <c r="N5" s="5">
        <v>85.3</v>
      </c>
      <c r="O5" s="5">
        <v>19.5</v>
      </c>
      <c r="P5" s="5">
        <v>17.899999999999999</v>
      </c>
      <c r="Q5" s="5">
        <v>22.8</v>
      </c>
      <c r="R5" s="5">
        <v>13.8</v>
      </c>
    </row>
    <row r="6" spans="1:18" x14ac:dyDescent="0.15">
      <c r="A6" s="4" t="s">
        <v>187</v>
      </c>
      <c r="B6" s="5">
        <v>7</v>
      </c>
      <c r="C6" s="5">
        <v>26.8</v>
      </c>
      <c r="D6" s="5">
        <v>0</v>
      </c>
      <c r="E6" s="5">
        <v>96.9</v>
      </c>
      <c r="F6" s="5">
        <v>43.8</v>
      </c>
      <c r="G6" s="5">
        <v>0</v>
      </c>
      <c r="H6" s="5">
        <v>0</v>
      </c>
      <c r="I6" s="5">
        <v>0</v>
      </c>
      <c r="J6" s="5">
        <v>36.4</v>
      </c>
      <c r="K6" s="5">
        <v>15.7</v>
      </c>
      <c r="L6" s="5">
        <v>5.6</v>
      </c>
      <c r="M6" s="5">
        <v>1.1000000000000001</v>
      </c>
      <c r="N6" s="5">
        <v>54.8</v>
      </c>
      <c r="O6" s="5">
        <v>14</v>
      </c>
      <c r="P6" s="5">
        <v>14.9</v>
      </c>
      <c r="Q6" s="5">
        <v>18.5</v>
      </c>
      <c r="R6" s="5">
        <v>11.8</v>
      </c>
    </row>
    <row r="7" spans="1:18" x14ac:dyDescent="0.15">
      <c r="A7" s="4" t="s">
        <v>188</v>
      </c>
      <c r="B7" s="5">
        <v>45.7</v>
      </c>
      <c r="C7" s="5">
        <v>43.9</v>
      </c>
      <c r="D7" s="5">
        <v>42.1</v>
      </c>
      <c r="E7" s="5">
        <v>43</v>
      </c>
      <c r="F7" s="5">
        <v>41</v>
      </c>
      <c r="G7" s="5">
        <v>29.3</v>
      </c>
      <c r="H7" s="5">
        <v>33.5</v>
      </c>
      <c r="I7" s="5">
        <v>39.5</v>
      </c>
      <c r="J7" s="5">
        <v>44.5</v>
      </c>
      <c r="K7" s="5">
        <v>44.4</v>
      </c>
      <c r="L7" s="5">
        <v>43.8</v>
      </c>
      <c r="M7" s="5">
        <v>44.7</v>
      </c>
      <c r="N7" s="5">
        <v>61.7</v>
      </c>
      <c r="O7" s="5">
        <v>37</v>
      </c>
      <c r="P7" s="5">
        <v>64.2</v>
      </c>
      <c r="Q7" s="5">
        <v>41.1</v>
      </c>
      <c r="R7" s="5">
        <v>42.7</v>
      </c>
    </row>
    <row r="8" spans="1:18" x14ac:dyDescent="0.15">
      <c r="A8" s="4" t="s">
        <v>189</v>
      </c>
      <c r="B8" s="5">
        <v>27.6</v>
      </c>
      <c r="C8" s="5">
        <v>3.9</v>
      </c>
      <c r="D8" s="5">
        <v>10.4</v>
      </c>
      <c r="E8" s="5">
        <v>17.5</v>
      </c>
      <c r="F8" s="5">
        <v>19.2</v>
      </c>
      <c r="G8" s="5">
        <v>-31.7</v>
      </c>
      <c r="H8" s="5">
        <v>-19.7</v>
      </c>
      <c r="I8" s="5">
        <v>-0.9</v>
      </c>
      <c r="J8" s="5">
        <v>8</v>
      </c>
      <c r="K8" s="5">
        <v>11.5</v>
      </c>
      <c r="L8" s="5">
        <v>15.2</v>
      </c>
      <c r="M8" s="5">
        <v>19.2</v>
      </c>
      <c r="N8" s="5">
        <v>22.2</v>
      </c>
      <c r="O8" s="5">
        <v>21.4</v>
      </c>
      <c r="P8" s="5">
        <v>19.3</v>
      </c>
      <c r="Q8" s="5">
        <v>16.2</v>
      </c>
      <c r="R8" s="5">
        <v>19.5</v>
      </c>
    </row>
    <row r="9" spans="1:18" x14ac:dyDescent="0.15">
      <c r="A9" s="4" t="s">
        <v>190</v>
      </c>
      <c r="B9" s="5">
        <v>14.6</v>
      </c>
      <c r="C9" s="5">
        <v>0</v>
      </c>
      <c r="D9" s="5">
        <v>1.7</v>
      </c>
      <c r="E9" s="5">
        <v>6.3</v>
      </c>
      <c r="F9" s="5">
        <v>12.2</v>
      </c>
      <c r="G9" s="5">
        <v>-9.4</v>
      </c>
      <c r="H9" s="5">
        <v>-15.3</v>
      </c>
      <c r="I9" s="5">
        <v>-2.2999999999999998</v>
      </c>
      <c r="J9" s="5">
        <v>4.4000000000000004</v>
      </c>
      <c r="K9" s="5">
        <v>7.3</v>
      </c>
      <c r="L9" s="5">
        <v>18.600000000000001</v>
      </c>
      <c r="M9" s="5">
        <v>14</v>
      </c>
      <c r="N9" s="5">
        <v>21.6</v>
      </c>
      <c r="O9" s="5">
        <v>15.8</v>
      </c>
      <c r="P9" s="5">
        <v>14.3</v>
      </c>
      <c r="Q9" s="5">
        <v>11.9</v>
      </c>
      <c r="R9" s="5">
        <v>15.2</v>
      </c>
    </row>
    <row r="10" spans="1:18" x14ac:dyDescent="0.15">
      <c r="A10" s="4" t="s">
        <v>191</v>
      </c>
      <c r="B10" s="5">
        <v>11.6</v>
      </c>
      <c r="C10" s="5">
        <v>-3.9</v>
      </c>
      <c r="D10" s="5">
        <v>1.7</v>
      </c>
      <c r="E10" s="5">
        <v>6.3</v>
      </c>
      <c r="F10" s="5">
        <v>12.2</v>
      </c>
      <c r="G10" s="5">
        <v>-9.4</v>
      </c>
      <c r="H10" s="5">
        <v>-15.3</v>
      </c>
      <c r="I10" s="5">
        <v>-2.2999999999999998</v>
      </c>
      <c r="J10" s="5">
        <v>4.4000000000000004</v>
      </c>
      <c r="K10" s="5">
        <v>7.3</v>
      </c>
      <c r="L10" s="5">
        <v>18.600000000000001</v>
      </c>
      <c r="M10" s="5">
        <v>14</v>
      </c>
      <c r="N10" s="5">
        <v>21.6</v>
      </c>
      <c r="O10" s="5">
        <v>15.8</v>
      </c>
      <c r="P10" s="5">
        <v>14.3</v>
      </c>
      <c r="Q10" s="5">
        <v>10</v>
      </c>
      <c r="R10" s="5">
        <v>15.2</v>
      </c>
    </row>
    <row r="11" spans="1:18" x14ac:dyDescent="0.15">
      <c r="A11" s="4" t="s">
        <v>192</v>
      </c>
      <c r="B11" s="5">
        <v>2.2999999999999998</v>
      </c>
      <c r="C11" s="5">
        <v>1.2</v>
      </c>
      <c r="D11" s="5">
        <v>1.6</v>
      </c>
      <c r="E11" s="5">
        <v>2.2999999999999998</v>
      </c>
      <c r="F11" s="5">
        <v>2.6</v>
      </c>
      <c r="G11" s="5">
        <v>0</v>
      </c>
      <c r="H11" s="5">
        <v>0</v>
      </c>
      <c r="I11" s="5">
        <v>0.9</v>
      </c>
      <c r="J11" s="5">
        <v>1.8</v>
      </c>
      <c r="K11" s="5">
        <v>2.2000000000000002</v>
      </c>
      <c r="L11" s="5">
        <v>2.5</v>
      </c>
      <c r="M11" s="5">
        <v>3.2</v>
      </c>
      <c r="N11" s="5">
        <v>4</v>
      </c>
      <c r="O11" s="5">
        <v>4.0999999999999996</v>
      </c>
      <c r="P11" s="5">
        <v>3.9</v>
      </c>
      <c r="Q11" s="5">
        <v>3.3</v>
      </c>
      <c r="R11" s="5">
        <v>4</v>
      </c>
    </row>
    <row r="12" spans="1:18" x14ac:dyDescent="0.15">
      <c r="A12" s="4" t="s">
        <v>193</v>
      </c>
      <c r="B12" s="5">
        <v>6.9</v>
      </c>
      <c r="C12" s="5">
        <v>6.8</v>
      </c>
      <c r="D12" s="5">
        <v>5.0999999999999996</v>
      </c>
      <c r="E12" s="5">
        <v>3.2</v>
      </c>
      <c r="F12" s="5">
        <v>3</v>
      </c>
      <c r="G12" s="5">
        <v>3.3</v>
      </c>
      <c r="H12" s="5">
        <v>4.3</v>
      </c>
      <c r="I12" s="5">
        <v>5.0999999999999996</v>
      </c>
      <c r="J12" s="5">
        <v>4.5999999999999996</v>
      </c>
      <c r="K12" s="5">
        <v>4.5</v>
      </c>
      <c r="L12" s="5">
        <v>5.3</v>
      </c>
      <c r="M12" s="5">
        <v>5.0999999999999996</v>
      </c>
      <c r="N12" s="5">
        <v>4.5999999999999996</v>
      </c>
      <c r="O12" s="5">
        <v>4.5999999999999996</v>
      </c>
      <c r="P12" s="5">
        <v>3.7</v>
      </c>
      <c r="Q12" s="5">
        <v>4</v>
      </c>
      <c r="R12" s="5">
        <v>3.9</v>
      </c>
    </row>
    <row r="13" spans="1:18" x14ac:dyDescent="0.15">
      <c r="A13" s="4" t="s">
        <v>194</v>
      </c>
      <c r="B13" s="5">
        <v>0</v>
      </c>
      <c r="C13" s="5">
        <v>0</v>
      </c>
      <c r="D13" s="5">
        <v>0</v>
      </c>
      <c r="E13" s="5">
        <v>0</v>
      </c>
      <c r="F13" s="5">
        <v>38.299999999999997</v>
      </c>
      <c r="G13" s="5">
        <v>0</v>
      </c>
      <c r="H13" s="5">
        <v>0</v>
      </c>
      <c r="I13" s="5">
        <v>0</v>
      </c>
      <c r="J13" s="5">
        <v>0</v>
      </c>
      <c r="K13" s="5">
        <v>36.9</v>
      </c>
      <c r="L13" s="5">
        <v>0</v>
      </c>
      <c r="M13" s="5">
        <v>26.9</v>
      </c>
      <c r="N13" s="5">
        <v>2.4</v>
      </c>
      <c r="O13" s="5">
        <v>26.3</v>
      </c>
      <c r="P13" s="5">
        <v>25.6</v>
      </c>
      <c r="Q13" s="5">
        <v>26.7</v>
      </c>
      <c r="R13" s="5">
        <v>21.9</v>
      </c>
    </row>
    <row r="14" spans="1:18" x14ac:dyDescent="0.15">
      <c r="A14" s="4" t="s">
        <v>195</v>
      </c>
      <c r="B14" s="5">
        <v>40928</v>
      </c>
      <c r="C14" s="5">
        <v>-12506</v>
      </c>
      <c r="D14" s="5">
        <v>5026</v>
      </c>
      <c r="E14" s="5">
        <v>19083</v>
      </c>
      <c r="F14" s="5">
        <v>49275</v>
      </c>
      <c r="G14" s="5">
        <v>-61425</v>
      </c>
      <c r="H14" s="5">
        <v>-51481</v>
      </c>
      <c r="I14" s="5">
        <v>-8541</v>
      </c>
      <c r="J14" s="5">
        <v>13986</v>
      </c>
      <c r="K14" s="5">
        <v>21701</v>
      </c>
      <c r="L14" s="5">
        <v>55884</v>
      </c>
      <c r="M14" s="5">
        <v>43164</v>
      </c>
      <c r="N14" s="5">
        <v>74618</v>
      </c>
      <c r="O14" s="5">
        <v>53524</v>
      </c>
      <c r="P14" s="5">
        <v>40979</v>
      </c>
      <c r="Q14" s="5">
        <v>37823</v>
      </c>
      <c r="R14" s="5">
        <v>54357</v>
      </c>
    </row>
    <row r="15" spans="1:18" x14ac:dyDescent="0.15">
      <c r="A15" s="183" t="s">
        <v>196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</row>
    <row r="16" spans="1:18" x14ac:dyDescent="0.15">
      <c r="A16" s="4" t="s">
        <v>197</v>
      </c>
      <c r="B16" s="5">
        <v>0</v>
      </c>
      <c r="C16" s="5">
        <v>2.6</v>
      </c>
      <c r="D16" s="5">
        <v>0</v>
      </c>
      <c r="E16" s="5">
        <v>94.3</v>
      </c>
      <c r="F16" s="5">
        <v>92.2</v>
      </c>
      <c r="G16" s="5">
        <v>0</v>
      </c>
      <c r="H16" s="5">
        <v>0</v>
      </c>
      <c r="I16" s="5">
        <v>0</v>
      </c>
      <c r="J16" s="5">
        <v>92.7</v>
      </c>
      <c r="K16" s="5">
        <v>34.799999999999997</v>
      </c>
      <c r="L16" s="5">
        <v>15.5</v>
      </c>
      <c r="M16" s="5">
        <v>27.6</v>
      </c>
      <c r="N16" s="5">
        <v>73.900000000000006</v>
      </c>
      <c r="O16" s="5">
        <v>15.2</v>
      </c>
      <c r="P16" s="5">
        <v>17.399999999999999</v>
      </c>
      <c r="Q16" s="5">
        <v>18.100000000000001</v>
      </c>
      <c r="R16" s="5">
        <v>12.5</v>
      </c>
    </row>
    <row r="17" spans="1:18" x14ac:dyDescent="0.15">
      <c r="A17" s="4" t="s">
        <v>198</v>
      </c>
      <c r="B17" s="5">
        <v>0</v>
      </c>
      <c r="C17" s="5">
        <v>2.6</v>
      </c>
      <c r="D17" s="5">
        <v>0</v>
      </c>
      <c r="E17" s="5">
        <v>121.4</v>
      </c>
      <c r="F17" s="5">
        <v>126.4</v>
      </c>
      <c r="G17" s="5">
        <v>0</v>
      </c>
      <c r="H17" s="5">
        <v>0</v>
      </c>
      <c r="I17" s="5">
        <v>0</v>
      </c>
      <c r="J17" s="5">
        <v>110.5</v>
      </c>
      <c r="K17" s="5">
        <v>37.700000000000003</v>
      </c>
      <c r="L17" s="5">
        <v>16</v>
      </c>
      <c r="M17" s="5">
        <v>32.299999999999997</v>
      </c>
      <c r="N17" s="5">
        <v>85.3</v>
      </c>
      <c r="O17" s="5">
        <v>19.5</v>
      </c>
      <c r="P17" s="5">
        <v>17.899999999999999</v>
      </c>
      <c r="Q17" s="5">
        <v>19</v>
      </c>
      <c r="R17" s="5">
        <v>13.8</v>
      </c>
    </row>
    <row r="18" spans="1:18" x14ac:dyDescent="0.15">
      <c r="A18" s="4" t="s">
        <v>199</v>
      </c>
      <c r="B18" s="5">
        <v>0</v>
      </c>
      <c r="C18" s="5">
        <v>1.6</v>
      </c>
      <c r="D18" s="5">
        <v>0</v>
      </c>
      <c r="E18" s="5">
        <v>41.5</v>
      </c>
      <c r="F18" s="5">
        <v>53.5</v>
      </c>
      <c r="G18" s="5">
        <v>0</v>
      </c>
      <c r="H18" s="5">
        <v>0</v>
      </c>
      <c r="I18" s="5">
        <v>0</v>
      </c>
      <c r="J18" s="5">
        <v>36.4</v>
      </c>
      <c r="K18" s="5">
        <v>14</v>
      </c>
      <c r="L18" s="5">
        <v>5.4</v>
      </c>
      <c r="M18" s="5">
        <v>1.1000000000000001</v>
      </c>
      <c r="N18" s="5">
        <v>54.8</v>
      </c>
      <c r="O18" s="5">
        <v>14</v>
      </c>
      <c r="P18" s="5">
        <v>14.9</v>
      </c>
      <c r="Q18" s="5">
        <v>15.4</v>
      </c>
      <c r="R18" s="5">
        <v>11.8</v>
      </c>
    </row>
    <row r="19" spans="1:18" x14ac:dyDescent="0.15">
      <c r="A19" s="4" t="s">
        <v>200</v>
      </c>
      <c r="B19" s="5">
        <v>-4.2</v>
      </c>
      <c r="C19" s="5">
        <v>3.4</v>
      </c>
      <c r="D19" s="5">
        <v>-3.6</v>
      </c>
      <c r="E19" s="5">
        <v>14.7</v>
      </c>
      <c r="F19" s="5">
        <v>9.8000000000000007</v>
      </c>
      <c r="G19" s="5">
        <v>-2.7</v>
      </c>
      <c r="H19" s="5">
        <v>-9.3000000000000007</v>
      </c>
      <c r="I19" s="5">
        <v>-0.6</v>
      </c>
      <c r="J19" s="5">
        <v>4.4000000000000004</v>
      </c>
      <c r="K19" s="5">
        <v>8.1</v>
      </c>
      <c r="L19" s="5">
        <v>19.2</v>
      </c>
      <c r="M19" s="5">
        <v>14</v>
      </c>
      <c r="N19" s="5">
        <v>21.6</v>
      </c>
      <c r="O19" s="5">
        <v>15.8</v>
      </c>
      <c r="P19" s="5">
        <v>14.3</v>
      </c>
      <c r="Q19" s="5">
        <v>11.9</v>
      </c>
      <c r="R19" s="5">
        <v>15.2</v>
      </c>
    </row>
    <row r="20" spans="1:18" x14ac:dyDescent="0.15">
      <c r="A20" s="4" t="s">
        <v>201</v>
      </c>
      <c r="B20" s="5">
        <v>0</v>
      </c>
      <c r="C20" s="5">
        <v>4</v>
      </c>
      <c r="D20" s="5">
        <v>0</v>
      </c>
      <c r="E20" s="5">
        <v>8.6999999999999993</v>
      </c>
      <c r="F20" s="5">
        <v>5.2</v>
      </c>
      <c r="G20" s="5">
        <v>0</v>
      </c>
      <c r="H20" s="5">
        <v>0</v>
      </c>
      <c r="I20" s="5">
        <v>0</v>
      </c>
      <c r="J20" s="5">
        <v>5.2</v>
      </c>
      <c r="K20" s="5">
        <v>8.8000000000000007</v>
      </c>
      <c r="L20" s="5">
        <v>26</v>
      </c>
      <c r="M20" s="5">
        <v>19.5</v>
      </c>
      <c r="N20" s="5">
        <v>29.8</v>
      </c>
      <c r="O20" s="5">
        <v>21.4</v>
      </c>
      <c r="P20" s="5">
        <v>19.2</v>
      </c>
      <c r="Q20" s="5">
        <v>19.2</v>
      </c>
      <c r="R20" s="5">
        <v>20.3</v>
      </c>
    </row>
    <row r="21" spans="1:18" x14ac:dyDescent="0.15">
      <c r="A21" s="4" t="s">
        <v>202</v>
      </c>
      <c r="B21" s="5">
        <v>-1.1000000000000001</v>
      </c>
      <c r="C21" s="5">
        <v>1</v>
      </c>
      <c r="D21" s="5">
        <v>-0.9</v>
      </c>
      <c r="E21" s="5">
        <v>2.9</v>
      </c>
      <c r="F21" s="5">
        <v>1.8</v>
      </c>
      <c r="G21" s="5">
        <v>-0.5</v>
      </c>
      <c r="H21" s="5">
        <v>-2.1</v>
      </c>
      <c r="I21" s="5">
        <v>-0.2</v>
      </c>
      <c r="J21" s="5">
        <v>1.2</v>
      </c>
      <c r="K21" s="5">
        <v>2.4</v>
      </c>
      <c r="L21" s="5">
        <v>6.3</v>
      </c>
      <c r="M21" s="5">
        <v>4.8</v>
      </c>
      <c r="N21" s="5">
        <v>8</v>
      </c>
      <c r="O21" s="5">
        <v>6</v>
      </c>
      <c r="P21" s="5">
        <v>5.2</v>
      </c>
      <c r="Q21" s="5">
        <v>4.5</v>
      </c>
      <c r="R21" s="5">
        <v>6</v>
      </c>
    </row>
    <row r="22" spans="1:18" x14ac:dyDescent="0.15">
      <c r="A22" s="4" t="s">
        <v>203</v>
      </c>
      <c r="B22" s="5">
        <v>-1.3</v>
      </c>
      <c r="C22" s="5">
        <v>1.2</v>
      </c>
      <c r="D22" s="5">
        <v>-1.1000000000000001</v>
      </c>
      <c r="E22" s="5">
        <v>3.4</v>
      </c>
      <c r="F22" s="5">
        <v>2.4</v>
      </c>
      <c r="G22" s="5">
        <v>-0.7</v>
      </c>
      <c r="H22" s="5">
        <v>-2.8</v>
      </c>
      <c r="I22" s="5">
        <v>-0.3</v>
      </c>
      <c r="J22" s="5">
        <v>1.9</v>
      </c>
      <c r="K22" s="5">
        <v>3.8</v>
      </c>
      <c r="L22" s="5">
        <v>9.8000000000000007</v>
      </c>
      <c r="M22" s="5">
        <v>8.1999999999999993</v>
      </c>
      <c r="N22" s="5">
        <v>13.5</v>
      </c>
      <c r="O22" s="5">
        <v>10.4</v>
      </c>
      <c r="P22" s="5">
        <v>7.9</v>
      </c>
      <c r="Q22" s="5">
        <v>6.6</v>
      </c>
      <c r="R22" s="5">
        <v>8.9</v>
      </c>
    </row>
    <row r="23" spans="1:18" x14ac:dyDescent="0.15">
      <c r="A23" s="4" t="s">
        <v>204</v>
      </c>
      <c r="B23" s="5">
        <v>-14708</v>
      </c>
      <c r="C23" s="5">
        <v>10954</v>
      </c>
      <c r="D23" s="5">
        <v>-10424</v>
      </c>
      <c r="E23" s="5">
        <v>44542</v>
      </c>
      <c r="F23" s="5">
        <v>39683</v>
      </c>
      <c r="G23" s="5">
        <v>-17488</v>
      </c>
      <c r="H23" s="5">
        <v>-31227</v>
      </c>
      <c r="I23" s="5">
        <v>-2364</v>
      </c>
      <c r="J23" s="5">
        <v>14086</v>
      </c>
      <c r="K23" s="5">
        <v>24314</v>
      </c>
      <c r="L23" s="5">
        <v>57441</v>
      </c>
      <c r="M23" s="5">
        <v>43164</v>
      </c>
      <c r="N23" s="5">
        <v>74618</v>
      </c>
      <c r="O23" s="5">
        <v>53524</v>
      </c>
      <c r="P23" s="5">
        <v>40979</v>
      </c>
      <c r="Q23" s="5">
        <v>44964</v>
      </c>
      <c r="R23" s="5">
        <v>54357</v>
      </c>
    </row>
    <row r="24" spans="1:18" x14ac:dyDescent="0.15">
      <c r="A24" s="183" t="s">
        <v>205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</row>
    <row r="25" spans="1:18" x14ac:dyDescent="0.15">
      <c r="A25" s="4" t="s">
        <v>206</v>
      </c>
      <c r="B25" s="5">
        <v>0.2</v>
      </c>
      <c r="C25" s="5">
        <v>0.2</v>
      </c>
      <c r="D25" s="5">
        <v>0.3</v>
      </c>
      <c r="E25" s="5">
        <v>0.2</v>
      </c>
      <c r="F25" s="5">
        <v>0.2</v>
      </c>
      <c r="G25" s="5">
        <v>0.3</v>
      </c>
      <c r="H25" s="5">
        <v>0.3</v>
      </c>
      <c r="I25" s="5">
        <v>0.2</v>
      </c>
      <c r="J25" s="5">
        <v>0.1</v>
      </c>
      <c r="K25" s="5">
        <v>0.2</v>
      </c>
      <c r="L25" s="5">
        <v>0.2</v>
      </c>
      <c r="M25" s="5">
        <v>0.4</v>
      </c>
      <c r="N25" s="5">
        <v>0.2</v>
      </c>
      <c r="O25" s="5">
        <v>0.5</v>
      </c>
      <c r="P25" s="5">
        <v>0.4</v>
      </c>
      <c r="Q25" s="5">
        <v>0.8</v>
      </c>
      <c r="R25" s="5">
        <v>0.5</v>
      </c>
    </row>
    <row r="26" spans="1:18" x14ac:dyDescent="0.15">
      <c r="A26" s="4" t="s">
        <v>207</v>
      </c>
      <c r="B26" s="5">
        <v>0.3</v>
      </c>
      <c r="C26" s="5">
        <v>0.2</v>
      </c>
      <c r="D26" s="5">
        <v>0.4</v>
      </c>
      <c r="E26" s="5">
        <v>0.3</v>
      </c>
      <c r="F26" s="5">
        <v>0.2</v>
      </c>
      <c r="G26" s="5">
        <v>0.6</v>
      </c>
      <c r="H26" s="5">
        <v>0.6</v>
      </c>
      <c r="I26" s="5">
        <v>0.3</v>
      </c>
      <c r="J26" s="5">
        <v>0.2</v>
      </c>
      <c r="K26" s="5">
        <v>0.3</v>
      </c>
      <c r="L26" s="5">
        <v>0.4</v>
      </c>
      <c r="M26" s="5">
        <v>0.7</v>
      </c>
      <c r="N26" s="5">
        <v>0.5</v>
      </c>
      <c r="O26" s="5">
        <v>0.6</v>
      </c>
      <c r="P26" s="5">
        <v>0.6</v>
      </c>
      <c r="Q26" s="5">
        <v>1.1000000000000001</v>
      </c>
      <c r="R26" s="5">
        <v>0.7</v>
      </c>
    </row>
    <row r="27" spans="1:18" x14ac:dyDescent="0.15">
      <c r="A27" s="4" t="s">
        <v>208</v>
      </c>
      <c r="B27" s="5">
        <v>9</v>
      </c>
      <c r="C27" s="5">
        <v>29</v>
      </c>
      <c r="D27" s="5"/>
      <c r="E27" s="5"/>
      <c r="F27" s="5"/>
      <c r="G27" s="5"/>
      <c r="H27" s="5"/>
      <c r="I27" s="5"/>
      <c r="J27" s="5">
        <v>73</v>
      </c>
      <c r="K27" s="5">
        <v>58</v>
      </c>
      <c r="L27" s="5">
        <v>23</v>
      </c>
      <c r="M27" s="5">
        <v>99</v>
      </c>
      <c r="N27" s="5">
        <v>227</v>
      </c>
      <c r="O27" s="5">
        <v>66</v>
      </c>
      <c r="P27" s="5">
        <v>70</v>
      </c>
      <c r="Q27" s="5">
        <v>87</v>
      </c>
      <c r="R27" s="5">
        <v>63</v>
      </c>
    </row>
    <row r="28" spans="1:18" x14ac:dyDescent="0.15">
      <c r="A28" s="4" t="s">
        <v>209</v>
      </c>
      <c r="B28" s="5">
        <v>2.25</v>
      </c>
      <c r="C28" s="5">
        <v>2.59</v>
      </c>
      <c r="D28" s="5">
        <v>1.55</v>
      </c>
      <c r="E28" s="5">
        <v>1.17</v>
      </c>
      <c r="F28" s="5">
        <v>0.98</v>
      </c>
      <c r="G28" s="5">
        <v>1.36</v>
      </c>
      <c r="H28" s="5">
        <v>1.85</v>
      </c>
      <c r="I28" s="5">
        <v>1.65</v>
      </c>
      <c r="J28" s="5">
        <v>1.5</v>
      </c>
      <c r="K28" s="5">
        <v>1.34</v>
      </c>
      <c r="L28" s="5">
        <v>1.67</v>
      </c>
      <c r="M28" s="5">
        <v>1.54</v>
      </c>
      <c r="N28" s="5">
        <v>1.22</v>
      </c>
      <c r="O28" s="5">
        <v>1.26</v>
      </c>
      <c r="P28" s="5">
        <v>1.44</v>
      </c>
      <c r="Q28" s="5">
        <v>1.8</v>
      </c>
      <c r="R28" s="5">
        <v>1.4</v>
      </c>
    </row>
    <row r="29" spans="1:18" x14ac:dyDescent="0.15">
      <c r="A29" s="4" t="s">
        <v>210</v>
      </c>
      <c r="B29" s="5">
        <v>0.68</v>
      </c>
      <c r="C29" s="5">
        <v>0.71</v>
      </c>
      <c r="D29" s="5">
        <v>0.46</v>
      </c>
      <c r="E29" s="5">
        <v>0.43</v>
      </c>
      <c r="F29" s="5">
        <v>0.4</v>
      </c>
      <c r="G29" s="5">
        <v>0.48</v>
      </c>
      <c r="H29" s="5">
        <v>0.55000000000000004</v>
      </c>
      <c r="I29" s="5">
        <v>0.51</v>
      </c>
      <c r="J29" s="5">
        <v>0.48</v>
      </c>
      <c r="K29" s="5">
        <v>0.56999999999999995</v>
      </c>
      <c r="L29" s="5">
        <v>0.62</v>
      </c>
      <c r="M29" s="5">
        <v>0.57999999999999996</v>
      </c>
      <c r="N29" s="5">
        <v>0.55000000000000004</v>
      </c>
      <c r="O29" s="5">
        <v>0.52</v>
      </c>
      <c r="P29" s="5">
        <v>0.59</v>
      </c>
      <c r="Q29" s="5">
        <v>0.62</v>
      </c>
      <c r="R29" s="5">
        <v>0.56000000000000005</v>
      </c>
    </row>
    <row r="30" spans="1:18" x14ac:dyDescent="0.15">
      <c r="A30" s="183" t="s">
        <v>211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</row>
    <row r="31" spans="1:18" x14ac:dyDescent="0.15">
      <c r="A31" s="4" t="s">
        <v>212</v>
      </c>
      <c r="B31" s="5">
        <v>3.9</v>
      </c>
      <c r="C31" s="5">
        <v>4.2</v>
      </c>
      <c r="D31" s="5">
        <v>3.7</v>
      </c>
      <c r="E31" s="5">
        <v>3</v>
      </c>
      <c r="F31" s="5">
        <v>2.9</v>
      </c>
      <c r="G31" s="5">
        <v>4</v>
      </c>
      <c r="H31" s="5">
        <v>4.5</v>
      </c>
      <c r="I31" s="5">
        <v>4.3</v>
      </c>
      <c r="J31" s="5">
        <v>4.3</v>
      </c>
      <c r="K31" s="5">
        <v>3.6</v>
      </c>
      <c r="L31" s="5">
        <v>4.2</v>
      </c>
      <c r="M31" s="5">
        <v>4.0999999999999996</v>
      </c>
      <c r="N31" s="5">
        <v>3.7</v>
      </c>
      <c r="O31" s="5">
        <v>3.6</v>
      </c>
      <c r="P31" s="5">
        <v>3.7</v>
      </c>
      <c r="Q31" s="5">
        <v>4.3</v>
      </c>
      <c r="R31" s="5">
        <v>3.4</v>
      </c>
    </row>
    <row r="32" spans="1:18" x14ac:dyDescent="0.15">
      <c r="A32" s="4" t="s">
        <v>213</v>
      </c>
      <c r="B32" s="5">
        <v>0</v>
      </c>
      <c r="C32" s="5">
        <v>0</v>
      </c>
      <c r="D32" s="5">
        <v>0.3</v>
      </c>
      <c r="E32" s="5">
        <v>0.2</v>
      </c>
      <c r="F32" s="5">
        <v>0.2</v>
      </c>
      <c r="G32" s="5">
        <v>0.2</v>
      </c>
      <c r="H32" s="5">
        <v>0.2</v>
      </c>
      <c r="I32" s="5">
        <v>0.3</v>
      </c>
      <c r="J32" s="5">
        <v>0.3</v>
      </c>
      <c r="K32" s="5">
        <v>0.3</v>
      </c>
      <c r="L32" s="5">
        <v>0.3</v>
      </c>
      <c r="M32" s="5">
        <v>0.4</v>
      </c>
      <c r="N32" s="5">
        <v>0.4</v>
      </c>
      <c r="O32" s="5">
        <v>0.4</v>
      </c>
      <c r="P32" s="5">
        <v>0.4</v>
      </c>
      <c r="Q32" s="5">
        <v>0.4</v>
      </c>
      <c r="R32" s="5">
        <v>0.4</v>
      </c>
    </row>
    <row r="33" spans="1:18" x14ac:dyDescent="0.15">
      <c r="A33" s="4" t="s">
        <v>214</v>
      </c>
      <c r="B33" s="5">
        <v>0</v>
      </c>
      <c r="C33" s="5">
        <v>0</v>
      </c>
      <c r="D33" s="5">
        <v>2.8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0</v>
      </c>
      <c r="K33" s="5">
        <v>0.1</v>
      </c>
      <c r="L33" s="5">
        <v>0</v>
      </c>
      <c r="M33" s="5">
        <v>6</v>
      </c>
      <c r="N33" s="5">
        <v>0</v>
      </c>
      <c r="O33" s="5">
        <v>7.5</v>
      </c>
      <c r="P33" s="5">
        <v>5.8</v>
      </c>
      <c r="Q33" s="5">
        <v>9.4</v>
      </c>
      <c r="R33" s="5">
        <v>8.5</v>
      </c>
    </row>
    <row r="34" spans="1:18" x14ac:dyDescent="0.15">
      <c r="A34" s="4" t="s">
        <v>215</v>
      </c>
      <c r="B34" s="5">
        <v>7</v>
      </c>
      <c r="C34" s="5">
        <v>6.6</v>
      </c>
      <c r="D34" s="5">
        <v>7.6</v>
      </c>
      <c r="E34" s="5">
        <v>9.3000000000000007</v>
      </c>
      <c r="F34" s="5">
        <v>9.1999999999999993</v>
      </c>
      <c r="G34" s="5">
        <v>11.6</v>
      </c>
      <c r="H34" s="5">
        <v>9.9</v>
      </c>
      <c r="I34" s="5">
        <v>6.8</v>
      </c>
      <c r="J34" s="5">
        <v>5.7</v>
      </c>
      <c r="K34" s="5">
        <v>5.2</v>
      </c>
      <c r="L34" s="5">
        <v>5.6</v>
      </c>
      <c r="M34" s="5">
        <v>5.6</v>
      </c>
      <c r="N34" s="5">
        <v>6.1</v>
      </c>
      <c r="O34" s="5">
        <v>5.7</v>
      </c>
      <c r="P34" s="5">
        <v>5.3</v>
      </c>
      <c r="Q34" s="5">
        <v>9.3000000000000007</v>
      </c>
      <c r="R34" s="5">
        <v>8.6999999999999993</v>
      </c>
    </row>
    <row r="35" spans="1:18" x14ac:dyDescent="0.15">
      <c r="A35" s="4" t="s">
        <v>216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15">
      <c r="A36" s="4" t="s">
        <v>217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15">
      <c r="A37" s="183" t="s">
        <v>218</v>
      </c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</row>
    <row r="38" spans="1:18" x14ac:dyDescent="0.15">
      <c r="A38" s="4" t="s">
        <v>219</v>
      </c>
      <c r="B38" s="5">
        <v>0</v>
      </c>
      <c r="C38" s="5">
        <v>0</v>
      </c>
      <c r="D38" s="5">
        <v>35.630000000000003</v>
      </c>
      <c r="E38" s="5">
        <v>0</v>
      </c>
      <c r="F38" s="5">
        <v>0</v>
      </c>
      <c r="G38" s="5">
        <v>0</v>
      </c>
      <c r="H38" s="5">
        <v>0</v>
      </c>
      <c r="I38" s="5">
        <v>100.07</v>
      </c>
      <c r="J38" s="5">
        <v>0</v>
      </c>
      <c r="K38" s="5">
        <v>1290.02</v>
      </c>
      <c r="L38" s="5">
        <v>0</v>
      </c>
      <c r="M38" s="5">
        <v>16.78</v>
      </c>
      <c r="N38" s="5">
        <v>0</v>
      </c>
      <c r="O38" s="5">
        <v>13.36</v>
      </c>
      <c r="P38" s="5">
        <v>17.149999999999999</v>
      </c>
      <c r="Q38" s="5">
        <v>10.69</v>
      </c>
      <c r="R38" s="5">
        <v>11.7</v>
      </c>
    </row>
    <row r="39" spans="1:18" x14ac:dyDescent="0.15">
      <c r="A39" s="4" t="s">
        <v>220</v>
      </c>
      <c r="B39" s="5">
        <v>0.78</v>
      </c>
      <c r="C39" s="5">
        <v>0.78</v>
      </c>
      <c r="D39" s="5">
        <v>0.79</v>
      </c>
      <c r="E39" s="5">
        <v>0.61</v>
      </c>
      <c r="F39" s="5">
        <v>0.57999999999999996</v>
      </c>
      <c r="G39" s="5">
        <v>0.62</v>
      </c>
      <c r="H39" s="5">
        <v>0.68</v>
      </c>
      <c r="I39" s="5">
        <v>0.86</v>
      </c>
      <c r="J39" s="5">
        <v>0.91</v>
      </c>
      <c r="K39" s="5">
        <v>1.01</v>
      </c>
      <c r="L39" s="5">
        <v>1.0900000000000001</v>
      </c>
      <c r="M39" s="5">
        <v>1.1499999999999999</v>
      </c>
      <c r="N39" s="5">
        <v>1.19</v>
      </c>
      <c r="O39" s="5">
        <v>1.2</v>
      </c>
      <c r="P39" s="5">
        <v>1.24</v>
      </c>
      <c r="Q39" s="5">
        <v>1.48</v>
      </c>
      <c r="R39" s="5">
        <v>1.54</v>
      </c>
    </row>
    <row r="40" spans="1:18" x14ac:dyDescent="0.15">
      <c r="A40" s="4" t="s">
        <v>221</v>
      </c>
      <c r="B40" s="5">
        <v>1.03</v>
      </c>
      <c r="C40" s="5">
        <v>1.19</v>
      </c>
      <c r="D40" s="5">
        <v>0.9</v>
      </c>
      <c r="E40" s="5">
        <v>0.59</v>
      </c>
      <c r="F40" s="5">
        <v>0.53</v>
      </c>
      <c r="G40" s="5">
        <v>0.71</v>
      </c>
      <c r="H40" s="5">
        <v>1</v>
      </c>
      <c r="I40" s="5">
        <v>1.17</v>
      </c>
      <c r="J40" s="5">
        <v>1.18</v>
      </c>
      <c r="K40" s="5">
        <v>1.08</v>
      </c>
      <c r="L40" s="5">
        <v>1.36</v>
      </c>
      <c r="M40" s="5">
        <v>1.39</v>
      </c>
      <c r="N40" s="5">
        <v>1.38</v>
      </c>
      <c r="O40" s="5">
        <v>1.36</v>
      </c>
      <c r="P40" s="5">
        <v>1.34</v>
      </c>
      <c r="Q40" s="5">
        <v>1.62</v>
      </c>
      <c r="R40" s="5">
        <v>1.33</v>
      </c>
    </row>
    <row r="41" spans="1:18" x14ac:dyDescent="0.15">
      <c r="A41" s="4" t="s">
        <v>222</v>
      </c>
      <c r="B41" s="5">
        <v>0.32</v>
      </c>
      <c r="C41" s="5">
        <v>0.35</v>
      </c>
      <c r="D41" s="5">
        <v>0.3</v>
      </c>
      <c r="E41" s="5">
        <v>0.23</v>
      </c>
      <c r="F41" s="5">
        <v>0.24</v>
      </c>
      <c r="G41" s="5">
        <v>0.25</v>
      </c>
      <c r="H41" s="5">
        <v>0.3</v>
      </c>
      <c r="I41" s="5">
        <v>0.4</v>
      </c>
      <c r="J41" s="5">
        <v>0.43</v>
      </c>
      <c r="K41" s="5">
        <v>0.47</v>
      </c>
      <c r="L41" s="5">
        <v>0.51</v>
      </c>
      <c r="M41" s="5">
        <v>0.57999999999999996</v>
      </c>
      <c r="N41" s="5">
        <v>0.63</v>
      </c>
      <c r="O41" s="5">
        <v>0.66</v>
      </c>
      <c r="P41" s="5">
        <v>0.55000000000000004</v>
      </c>
      <c r="Q41" s="5">
        <v>0.56000000000000005</v>
      </c>
      <c r="R41" s="5">
        <v>0.57999999999999996</v>
      </c>
    </row>
    <row r="42" spans="1:18" x14ac:dyDescent="0.15">
      <c r="A42" s="183" t="s">
        <v>223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</row>
    <row r="43" spans="1:18" x14ac:dyDescent="0.15">
      <c r="A43" s="4" t="s">
        <v>224</v>
      </c>
      <c r="B43" s="5">
        <v>0</v>
      </c>
      <c r="C43" s="5">
        <v>0</v>
      </c>
      <c r="D43" s="5">
        <v>14.9</v>
      </c>
      <c r="E43" s="5">
        <v>11.5</v>
      </c>
      <c r="F43" s="5">
        <v>12.4</v>
      </c>
      <c r="G43" s="5">
        <v>11.6</v>
      </c>
      <c r="H43" s="5">
        <v>10.199999999999999</v>
      </c>
      <c r="I43" s="5">
        <v>12.6</v>
      </c>
      <c r="J43" s="5">
        <v>16</v>
      </c>
      <c r="K43" s="5">
        <v>18.899999999999999</v>
      </c>
      <c r="L43" s="5">
        <v>19.5</v>
      </c>
      <c r="M43" s="5">
        <v>18.899999999999999</v>
      </c>
      <c r="N43" s="5">
        <v>18.100000000000001</v>
      </c>
      <c r="O43" s="5">
        <v>17.7</v>
      </c>
      <c r="P43" s="5">
        <v>19</v>
      </c>
      <c r="Q43" s="5">
        <v>14.8</v>
      </c>
      <c r="R43" s="5">
        <v>11.4</v>
      </c>
    </row>
    <row r="44" spans="1:18" x14ac:dyDescent="0.15">
      <c r="A44" s="4" t="s">
        <v>225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23.3</v>
      </c>
      <c r="H44" s="5">
        <v>11.2</v>
      </c>
      <c r="I44" s="5">
        <v>11.9</v>
      </c>
      <c r="J44" s="5">
        <v>18.5</v>
      </c>
      <c r="K44" s="5">
        <v>27.8</v>
      </c>
      <c r="L44" s="5">
        <v>27.8</v>
      </c>
      <c r="M44" s="5">
        <v>26.8</v>
      </c>
      <c r="N44" s="5">
        <v>21.1</v>
      </c>
      <c r="O44" s="5">
        <v>41.1</v>
      </c>
      <c r="P44" s="5">
        <v>25.1</v>
      </c>
      <c r="Q44" s="5">
        <v>37</v>
      </c>
      <c r="R44" s="5">
        <v>28.8</v>
      </c>
    </row>
    <row r="45" spans="1:18" x14ac:dyDescent="0.15">
      <c r="A45" s="4" t="s">
        <v>226</v>
      </c>
      <c r="B45" s="5">
        <v>25.07</v>
      </c>
      <c r="C45" s="5">
        <v>23.85</v>
      </c>
      <c r="D45" s="5">
        <v>27.37</v>
      </c>
      <c r="E45" s="5">
        <v>33.32</v>
      </c>
      <c r="F45" s="5">
        <v>33.200000000000003</v>
      </c>
      <c r="G45" s="5">
        <v>41.82</v>
      </c>
      <c r="H45" s="5">
        <v>35.74</v>
      </c>
      <c r="I45" s="5">
        <v>24.44</v>
      </c>
      <c r="J45" s="5">
        <v>20.69</v>
      </c>
      <c r="K45" s="5">
        <v>18.68</v>
      </c>
      <c r="L45" s="5">
        <v>20.22</v>
      </c>
      <c r="M45" s="5">
        <v>20.18</v>
      </c>
      <c r="N45" s="5">
        <v>21.81</v>
      </c>
      <c r="O45" s="5">
        <v>20.65</v>
      </c>
      <c r="P45" s="5">
        <v>19.02</v>
      </c>
      <c r="Q45" s="5">
        <v>33.630000000000003</v>
      </c>
      <c r="R45" s="5">
        <v>31.19</v>
      </c>
    </row>
    <row r="46" spans="1:18" x14ac:dyDescent="0.15">
      <c r="A46" s="4" t="s">
        <v>227</v>
      </c>
      <c r="B46" s="5">
        <v>14.36</v>
      </c>
      <c r="C46" s="5">
        <v>15.1</v>
      </c>
      <c r="D46" s="5">
        <v>13.15</v>
      </c>
      <c r="E46" s="5">
        <v>10.81</v>
      </c>
      <c r="F46" s="5">
        <v>10.84</v>
      </c>
      <c r="G46" s="5">
        <v>8.61</v>
      </c>
      <c r="H46" s="5">
        <v>10.07</v>
      </c>
      <c r="I46" s="5">
        <v>14.73</v>
      </c>
      <c r="J46" s="5">
        <v>17.399999999999999</v>
      </c>
      <c r="K46" s="5">
        <v>19.27</v>
      </c>
      <c r="L46" s="5">
        <v>17.8</v>
      </c>
      <c r="M46" s="5">
        <v>17.84</v>
      </c>
      <c r="N46" s="5">
        <v>16.5</v>
      </c>
      <c r="O46" s="5">
        <v>17.440000000000001</v>
      </c>
      <c r="P46" s="5">
        <v>18.93</v>
      </c>
      <c r="Q46" s="5">
        <v>10.71</v>
      </c>
      <c r="R46" s="5">
        <v>11.54</v>
      </c>
    </row>
    <row r="47" spans="1:18" x14ac:dyDescent="0.15">
      <c r="A47" s="4" t="s">
        <v>228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16.48</v>
      </c>
      <c r="H47" s="5">
        <v>14.66</v>
      </c>
      <c r="I47" s="5">
        <v>25.39</v>
      </c>
      <c r="J47" s="5">
        <v>48.4</v>
      </c>
      <c r="K47" s="5">
        <v>48.86</v>
      </c>
      <c r="L47" s="5">
        <v>45.55</v>
      </c>
      <c r="M47" s="5">
        <v>45.78</v>
      </c>
      <c r="N47" s="5">
        <v>59.97</v>
      </c>
      <c r="O47" s="5">
        <v>64.83</v>
      </c>
      <c r="P47" s="5">
        <v>69.08</v>
      </c>
      <c r="Q47" s="5">
        <v>48.9</v>
      </c>
      <c r="R47" s="5">
        <v>49</v>
      </c>
    </row>
    <row r="48" spans="1:18" x14ac:dyDescent="0.15">
      <c r="A48" s="4" t="s">
        <v>229</v>
      </c>
      <c r="B48" s="5">
        <v>0.3</v>
      </c>
      <c r="C48" s="5">
        <v>0.3</v>
      </c>
      <c r="D48" s="5">
        <v>0.2</v>
      </c>
      <c r="E48" s="5">
        <v>0.2</v>
      </c>
      <c r="F48" s="5">
        <v>0.2</v>
      </c>
      <c r="G48" s="5">
        <v>0.2</v>
      </c>
      <c r="H48" s="5">
        <v>0.2</v>
      </c>
      <c r="I48" s="5">
        <v>0.3</v>
      </c>
      <c r="J48" s="5">
        <v>0.3</v>
      </c>
      <c r="K48" s="5">
        <v>0.3</v>
      </c>
      <c r="L48" s="5">
        <v>0.3</v>
      </c>
      <c r="M48" s="5">
        <v>0.3</v>
      </c>
      <c r="N48" s="5">
        <v>0.4</v>
      </c>
      <c r="O48" s="5">
        <v>0.4</v>
      </c>
      <c r="P48" s="5">
        <v>0.4</v>
      </c>
      <c r="Q48" s="5">
        <v>0.4</v>
      </c>
      <c r="R48" s="5">
        <v>0.4</v>
      </c>
    </row>
    <row r="49" spans="1:18" x14ac:dyDescent="0.15">
      <c r="A49" s="4" t="s">
        <v>230</v>
      </c>
      <c r="B49" s="5"/>
      <c r="C49" s="5"/>
      <c r="D49" s="5"/>
      <c r="E49" s="5"/>
      <c r="F49" s="5"/>
      <c r="G49" s="5">
        <v>15</v>
      </c>
      <c r="H49" s="5">
        <v>32</v>
      </c>
      <c r="I49" s="5">
        <v>30</v>
      </c>
      <c r="J49" s="5">
        <v>19</v>
      </c>
      <c r="K49" s="5">
        <v>13</v>
      </c>
      <c r="L49" s="5">
        <v>13</v>
      </c>
      <c r="M49" s="5">
        <v>13</v>
      </c>
      <c r="N49" s="5">
        <v>17</v>
      </c>
      <c r="O49" s="5">
        <v>9</v>
      </c>
      <c r="P49" s="5">
        <v>14</v>
      </c>
      <c r="Q49" s="5">
        <v>10</v>
      </c>
      <c r="R49" s="5">
        <v>12</v>
      </c>
    </row>
    <row r="50" spans="1:18" x14ac:dyDescent="0.15">
      <c r="A50" s="4" t="s">
        <v>231</v>
      </c>
      <c r="B50" s="5">
        <v>0.24</v>
      </c>
      <c r="C50" s="5">
        <v>0.22</v>
      </c>
      <c r="D50" s="5">
        <v>0.35</v>
      </c>
      <c r="E50" s="5">
        <v>0.27</v>
      </c>
      <c r="F50" s="5">
        <v>0.24</v>
      </c>
      <c r="G50" s="5">
        <v>0.86</v>
      </c>
      <c r="H50" s="5">
        <v>0.74</v>
      </c>
      <c r="I50" s="5">
        <v>0.56000000000000005</v>
      </c>
      <c r="J50" s="5">
        <v>0.39</v>
      </c>
      <c r="K50" s="5">
        <v>0.41</v>
      </c>
      <c r="L50" s="5">
        <v>0.5</v>
      </c>
      <c r="M50" s="5">
        <v>1.37</v>
      </c>
      <c r="N50" s="5">
        <v>0.94</v>
      </c>
      <c r="O50" s="5">
        <v>1.76</v>
      </c>
      <c r="P50" s="5">
        <v>1.37</v>
      </c>
      <c r="Q50" s="5">
        <v>2.88</v>
      </c>
      <c r="R50" s="5">
        <v>2.37</v>
      </c>
    </row>
    <row r="51" spans="1:18" x14ac:dyDescent="0.15">
      <c r="A51" s="4" t="s">
        <v>232</v>
      </c>
      <c r="B51" s="5">
        <v>7.81</v>
      </c>
      <c r="C51" s="5">
        <v>8.75</v>
      </c>
      <c r="D51" s="5">
        <v>9.69</v>
      </c>
      <c r="E51" s="5">
        <v>10.4</v>
      </c>
      <c r="F51" s="5">
        <v>12.94</v>
      </c>
      <c r="G51" s="5">
        <v>18.96</v>
      </c>
      <c r="H51" s="5">
        <v>18.36</v>
      </c>
      <c r="I51" s="5">
        <v>16.39</v>
      </c>
      <c r="J51" s="5">
        <v>16.32</v>
      </c>
      <c r="K51" s="5">
        <v>16.86</v>
      </c>
      <c r="L51" s="5">
        <v>17.5</v>
      </c>
      <c r="M51" s="5">
        <v>18.93</v>
      </c>
      <c r="N51" s="5">
        <v>19.510000000000002</v>
      </c>
      <c r="O51" s="5">
        <v>20.77</v>
      </c>
      <c r="P51" s="5">
        <v>23.44</v>
      </c>
      <c r="Q51" s="5">
        <v>28.62</v>
      </c>
      <c r="R51" s="5">
        <v>28.67</v>
      </c>
    </row>
    <row r="52" spans="1:18" x14ac:dyDescent="0.15">
      <c r="A52" s="4" t="s">
        <v>233</v>
      </c>
      <c r="B52" s="5">
        <v>223.5</v>
      </c>
      <c r="C52" s="5">
        <v>223.4</v>
      </c>
      <c r="D52" s="5">
        <v>149.69999999999999</v>
      </c>
      <c r="E52" s="5">
        <v>106.5</v>
      </c>
      <c r="F52" s="5">
        <v>125.6</v>
      </c>
      <c r="G52" s="5">
        <v>226.7</v>
      </c>
      <c r="H52" s="5">
        <v>267</v>
      </c>
      <c r="I52" s="5">
        <v>265.89999999999998</v>
      </c>
      <c r="J52" s="5">
        <v>270.10000000000002</v>
      </c>
      <c r="K52" s="5">
        <v>232.5</v>
      </c>
      <c r="L52" s="5">
        <v>264.10000000000002</v>
      </c>
      <c r="M52" s="5">
        <v>243.9</v>
      </c>
      <c r="N52" s="5">
        <v>215.7</v>
      </c>
      <c r="O52" s="5">
        <v>196.3</v>
      </c>
      <c r="P52" s="5">
        <v>201.3</v>
      </c>
      <c r="Q52" s="5">
        <v>265.7</v>
      </c>
      <c r="R52" s="5">
        <v>215</v>
      </c>
    </row>
    <row r="53" spans="1:18" x14ac:dyDescent="0.15">
      <c r="A53" s="4" t="s">
        <v>234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6.1</v>
      </c>
      <c r="H53" s="5">
        <v>6.8</v>
      </c>
      <c r="I53" s="5">
        <v>3.9</v>
      </c>
      <c r="J53" s="5">
        <v>2.1</v>
      </c>
      <c r="K53" s="5">
        <v>2</v>
      </c>
      <c r="L53" s="5">
        <v>2.2000000000000002</v>
      </c>
      <c r="M53" s="5">
        <v>2.2000000000000002</v>
      </c>
      <c r="N53" s="5">
        <v>1.7</v>
      </c>
      <c r="O53" s="5">
        <v>1.5</v>
      </c>
      <c r="P53" s="5">
        <v>1.4</v>
      </c>
      <c r="Q53" s="5">
        <v>2</v>
      </c>
      <c r="R53" s="5">
        <v>2</v>
      </c>
    </row>
    <row r="54" spans="1:18" x14ac:dyDescent="0.15">
      <c r="A54" s="183" t="s">
        <v>235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</row>
    <row r="55" spans="1:18" x14ac:dyDescent="0.15">
      <c r="A55" s="4" t="s">
        <v>236</v>
      </c>
      <c r="B55" s="5">
        <v>4.41</v>
      </c>
      <c r="C55" s="5">
        <v>5.03</v>
      </c>
      <c r="D55" s="5">
        <v>3.71</v>
      </c>
      <c r="E55" s="5">
        <v>3.72</v>
      </c>
      <c r="F55" s="5">
        <v>3.87</v>
      </c>
      <c r="G55" s="5">
        <v>6.49</v>
      </c>
      <c r="H55" s="5">
        <v>7.48</v>
      </c>
      <c r="I55" s="5">
        <v>5.71</v>
      </c>
      <c r="J55" s="5">
        <v>4.9800000000000004</v>
      </c>
      <c r="K55" s="5">
        <v>6.12</v>
      </c>
      <c r="L55" s="5">
        <v>6.97</v>
      </c>
      <c r="M55" s="5">
        <v>6.42</v>
      </c>
      <c r="N55" s="5">
        <v>6.32</v>
      </c>
      <c r="O55" s="5">
        <v>6.2</v>
      </c>
      <c r="P55" s="5">
        <v>9.19</v>
      </c>
      <c r="Q55" s="5">
        <v>12.01</v>
      </c>
      <c r="R55" s="5">
        <v>10.84</v>
      </c>
    </row>
    <row r="56" spans="1:18" x14ac:dyDescent="0.15">
      <c r="A56" s="4" t="s">
        <v>237</v>
      </c>
      <c r="B56" s="5">
        <v>0.75</v>
      </c>
      <c r="C56" s="5">
        <v>0.93</v>
      </c>
      <c r="D56" s="5">
        <v>0.93</v>
      </c>
      <c r="E56" s="5">
        <v>0.88</v>
      </c>
      <c r="F56" s="5">
        <v>1.45</v>
      </c>
      <c r="G56" s="5">
        <v>1.38</v>
      </c>
      <c r="H56" s="5">
        <v>1.32</v>
      </c>
      <c r="I56" s="5">
        <v>1.72</v>
      </c>
      <c r="J56" s="5">
        <v>1.86</v>
      </c>
      <c r="K56" s="5">
        <v>1.28</v>
      </c>
      <c r="L56" s="5">
        <v>1.38</v>
      </c>
      <c r="M56" s="5">
        <v>2</v>
      </c>
      <c r="N56" s="5">
        <v>1.93</v>
      </c>
      <c r="O56" s="5">
        <v>3.2</v>
      </c>
      <c r="P56" s="5">
        <v>2.35</v>
      </c>
      <c r="Q56" s="5">
        <v>2.58</v>
      </c>
      <c r="R56" s="5">
        <v>3.59</v>
      </c>
    </row>
    <row r="57" spans="1:18" x14ac:dyDescent="0.15">
      <c r="A57" s="4" t="s">
        <v>238</v>
      </c>
      <c r="B57" s="5">
        <v>0</v>
      </c>
      <c r="C57" s="5">
        <v>0</v>
      </c>
      <c r="D57" s="5">
        <v>7.0000000000000007E-2</v>
      </c>
      <c r="E57" s="5">
        <v>0</v>
      </c>
      <c r="F57" s="5">
        <v>0</v>
      </c>
      <c r="G57" s="5">
        <v>0</v>
      </c>
      <c r="H57" s="5">
        <v>0</v>
      </c>
      <c r="I57" s="5">
        <v>0.04</v>
      </c>
      <c r="J57" s="5">
        <v>0</v>
      </c>
      <c r="K57" s="5">
        <v>0</v>
      </c>
      <c r="L57" s="5">
        <v>0</v>
      </c>
      <c r="M57" s="5">
        <v>0.38</v>
      </c>
      <c r="N57" s="5">
        <v>0</v>
      </c>
      <c r="O57" s="5">
        <v>0.59</v>
      </c>
      <c r="P57" s="5">
        <v>0.5</v>
      </c>
      <c r="Q57" s="5">
        <v>1.01</v>
      </c>
      <c r="R57" s="5">
        <v>0.96</v>
      </c>
    </row>
    <row r="58" spans="1:18" x14ac:dyDescent="0.15">
      <c r="A58" s="4" t="s">
        <v>239</v>
      </c>
      <c r="B58" s="5">
        <v>2.1800000000000002</v>
      </c>
      <c r="C58" s="5">
        <v>2.4300000000000002</v>
      </c>
      <c r="D58" s="5">
        <v>1.41</v>
      </c>
      <c r="E58" s="5">
        <v>1.08</v>
      </c>
      <c r="F58" s="5">
        <v>0.86</v>
      </c>
      <c r="G58" s="5">
        <v>1.35</v>
      </c>
      <c r="H58" s="5">
        <v>1.84</v>
      </c>
      <c r="I58" s="5">
        <v>1.49</v>
      </c>
      <c r="J58" s="5">
        <v>1.31</v>
      </c>
      <c r="K58" s="5">
        <v>1.31</v>
      </c>
      <c r="L58" s="5">
        <v>1.66</v>
      </c>
      <c r="M58" s="5">
        <v>1.39</v>
      </c>
      <c r="N58" s="5">
        <v>1.2</v>
      </c>
      <c r="O58" s="5">
        <v>1.07</v>
      </c>
      <c r="P58" s="5">
        <v>1.44</v>
      </c>
      <c r="Q58" s="5">
        <v>1.8</v>
      </c>
      <c r="R58" s="5">
        <v>1.28</v>
      </c>
    </row>
    <row r="59" spans="1:18" x14ac:dyDescent="0.15">
      <c r="A59" s="4" t="s">
        <v>240</v>
      </c>
      <c r="B59" s="5">
        <v>67.8</v>
      </c>
      <c r="C59" s="5">
        <v>70.8</v>
      </c>
      <c r="D59" s="5">
        <v>46.4</v>
      </c>
      <c r="E59" s="5">
        <v>42.9</v>
      </c>
      <c r="F59" s="5">
        <v>40</v>
      </c>
      <c r="G59" s="5">
        <v>47.7</v>
      </c>
      <c r="H59" s="5">
        <v>55.4</v>
      </c>
      <c r="I59" s="5">
        <v>51.5</v>
      </c>
      <c r="J59" s="5">
        <v>48.1</v>
      </c>
      <c r="K59" s="5">
        <v>56.7</v>
      </c>
      <c r="L59" s="5">
        <v>62.3</v>
      </c>
      <c r="M59" s="5">
        <v>58.2</v>
      </c>
      <c r="N59" s="5">
        <v>54.5</v>
      </c>
      <c r="O59" s="5">
        <v>51.7</v>
      </c>
      <c r="P59" s="5">
        <v>59</v>
      </c>
      <c r="Q59" s="5">
        <v>62</v>
      </c>
      <c r="R59" s="5">
        <v>56.2</v>
      </c>
    </row>
    <row r="60" spans="1:18" x14ac:dyDescent="0.15">
      <c r="A60" s="4" t="s">
        <v>241</v>
      </c>
      <c r="B60" s="5">
        <v>77.2</v>
      </c>
      <c r="C60" s="5">
        <v>75.3</v>
      </c>
      <c r="D60" s="5">
        <v>68.599999999999994</v>
      </c>
      <c r="E60" s="5">
        <v>68.3</v>
      </c>
      <c r="F60" s="5">
        <v>54.3</v>
      </c>
      <c r="G60" s="5">
        <v>54.8</v>
      </c>
      <c r="H60" s="5">
        <v>60.6</v>
      </c>
      <c r="I60" s="5">
        <v>51.8</v>
      </c>
      <c r="J60" s="5">
        <v>45.6</v>
      </c>
      <c r="K60" s="5">
        <v>50.2</v>
      </c>
      <c r="L60" s="5">
        <v>52.4</v>
      </c>
      <c r="M60" s="5">
        <v>44.9</v>
      </c>
      <c r="N60" s="5">
        <v>44.4</v>
      </c>
      <c r="O60" s="5">
        <v>41.4</v>
      </c>
      <c r="P60" s="5">
        <v>53.9</v>
      </c>
      <c r="Q60" s="5">
        <v>56.5</v>
      </c>
      <c r="R60" s="5">
        <v>53.7</v>
      </c>
    </row>
    <row r="61" spans="1:18" x14ac:dyDescent="0.15">
      <c r="A61" s="4" t="s">
        <v>242</v>
      </c>
      <c r="B61" s="5">
        <v>73.2</v>
      </c>
      <c r="C61" s="5">
        <v>76.400000000000006</v>
      </c>
      <c r="D61" s="5">
        <v>55.8</v>
      </c>
      <c r="E61" s="5">
        <v>52.4</v>
      </c>
      <c r="F61" s="5">
        <v>55.1</v>
      </c>
      <c r="G61" s="5">
        <v>62.5</v>
      </c>
      <c r="H61" s="5">
        <v>67.2</v>
      </c>
      <c r="I61" s="5">
        <v>67.2</v>
      </c>
      <c r="J61" s="5">
        <v>67</v>
      </c>
      <c r="K61" s="5">
        <v>72.3</v>
      </c>
      <c r="L61" s="5">
        <v>75.900000000000006</v>
      </c>
      <c r="M61" s="5">
        <v>75.599999999999994</v>
      </c>
      <c r="N61" s="5">
        <v>73</v>
      </c>
      <c r="O61" s="5">
        <v>72.099999999999994</v>
      </c>
      <c r="P61" s="5">
        <v>72.7</v>
      </c>
      <c r="Q61" s="5">
        <v>74.3</v>
      </c>
      <c r="R61" s="5">
        <v>70.5</v>
      </c>
    </row>
    <row r="62" spans="1:18" x14ac:dyDescent="0.15">
      <c r="A62" s="4" t="s">
        <v>243</v>
      </c>
      <c r="B62" s="5">
        <v>-25.1</v>
      </c>
      <c r="C62" s="5">
        <v>-34.299999999999997</v>
      </c>
      <c r="D62" s="5">
        <v>-21.7</v>
      </c>
      <c r="E62" s="5">
        <v>-17.7</v>
      </c>
      <c r="F62" s="5">
        <v>-27</v>
      </c>
      <c r="G62" s="5">
        <v>-10.9</v>
      </c>
      <c r="H62" s="5">
        <v>-14.2</v>
      </c>
      <c r="I62" s="5">
        <v>-30.3</v>
      </c>
      <c r="J62" s="5">
        <v>-38.5</v>
      </c>
      <c r="K62" s="5">
        <v>-18.7</v>
      </c>
      <c r="L62" s="5">
        <v>-21</v>
      </c>
      <c r="M62" s="5">
        <v>-13.6</v>
      </c>
      <c r="N62" s="5">
        <v>-18.8</v>
      </c>
      <c r="O62" s="5">
        <v>-24.8</v>
      </c>
      <c r="P62" s="5">
        <v>-15.3</v>
      </c>
      <c r="Q62" s="5">
        <v>4.5</v>
      </c>
      <c r="R62" s="5">
        <v>-14.5</v>
      </c>
    </row>
    <row r="63" spans="1:18" x14ac:dyDescent="0.15">
      <c r="A63" s="4" t="s">
        <v>244</v>
      </c>
      <c r="B63" s="5">
        <v>2.09</v>
      </c>
      <c r="C63" s="5">
        <v>2.46</v>
      </c>
      <c r="D63" s="5">
        <v>2.37</v>
      </c>
      <c r="E63" s="5">
        <v>2.0299999999999998</v>
      </c>
      <c r="F63" s="5">
        <v>2.36</v>
      </c>
      <c r="G63" s="5">
        <v>3.39</v>
      </c>
      <c r="H63" s="5">
        <v>4.07</v>
      </c>
      <c r="I63" s="5">
        <v>4.4800000000000004</v>
      </c>
      <c r="J63" s="5">
        <v>4.49</v>
      </c>
      <c r="K63" s="5">
        <v>5.0199999999999996</v>
      </c>
      <c r="L63" s="5">
        <v>5.72</v>
      </c>
      <c r="M63" s="5">
        <v>6.43</v>
      </c>
      <c r="N63" s="5">
        <v>7.25</v>
      </c>
      <c r="O63" s="5">
        <v>7.88</v>
      </c>
      <c r="P63" s="5">
        <v>8.58</v>
      </c>
      <c r="Q63" s="5">
        <v>10.83</v>
      </c>
      <c r="R63" s="5">
        <v>11.26</v>
      </c>
    </row>
    <row r="64" spans="1:18" x14ac:dyDescent="0.15">
      <c r="A64" s="4" t="s">
        <v>245</v>
      </c>
      <c r="B64" s="5">
        <v>2.0299999999999998</v>
      </c>
      <c r="C64" s="5">
        <v>2.0699999999999998</v>
      </c>
      <c r="D64" s="5">
        <v>2.64</v>
      </c>
      <c r="E64" s="5">
        <v>3.43</v>
      </c>
      <c r="F64" s="5">
        <v>4.49</v>
      </c>
      <c r="G64" s="5">
        <v>4.79</v>
      </c>
      <c r="H64" s="5">
        <v>4.0599999999999996</v>
      </c>
      <c r="I64" s="5">
        <v>4.0599999999999996</v>
      </c>
      <c r="J64" s="5">
        <v>4.0599999999999996</v>
      </c>
      <c r="K64" s="5">
        <v>4.0599999999999996</v>
      </c>
      <c r="L64" s="5">
        <v>4.0599999999999996</v>
      </c>
      <c r="M64" s="5">
        <v>4.0599999999999996</v>
      </c>
      <c r="N64" s="5">
        <v>4.0599999999999996</v>
      </c>
      <c r="O64" s="5">
        <v>4.0599999999999996</v>
      </c>
      <c r="P64" s="5">
        <v>4.0599999999999996</v>
      </c>
      <c r="Q64" s="5">
        <v>4.0599999999999996</v>
      </c>
      <c r="R64" s="5">
        <v>4.0599999999999996</v>
      </c>
    </row>
    <row r="65" spans="1:18" x14ac:dyDescent="0.15">
      <c r="A65" s="4" t="s">
        <v>246</v>
      </c>
      <c r="B65" s="5">
        <v>-2.5</v>
      </c>
      <c r="C65" s="5">
        <v>-2.5499999999999998</v>
      </c>
      <c r="D65" s="5">
        <v>-1.31</v>
      </c>
      <c r="E65" s="5">
        <v>-0.22</v>
      </c>
      <c r="F65" s="5">
        <v>-1.1499999999999999</v>
      </c>
      <c r="G65" s="5">
        <v>-6.07</v>
      </c>
      <c r="H65" s="5">
        <v>-6.78</v>
      </c>
      <c r="I65" s="5">
        <v>-6.33</v>
      </c>
      <c r="J65" s="5">
        <v>-6.49</v>
      </c>
      <c r="K65" s="5">
        <v>-6.18</v>
      </c>
      <c r="L65" s="5">
        <v>-6.91</v>
      </c>
      <c r="M65" s="5">
        <v>-6.65</v>
      </c>
      <c r="N65" s="5">
        <v>-6.09</v>
      </c>
      <c r="O65" s="5">
        <v>-5.59</v>
      </c>
      <c r="P65" s="5">
        <v>-6.48</v>
      </c>
      <c r="Q65" s="5">
        <v>-11.07</v>
      </c>
      <c r="R65" s="5">
        <v>-9.73</v>
      </c>
    </row>
    <row r="66" spans="1:18" x14ac:dyDescent="0.15">
      <c r="A66" s="4" t="s">
        <v>247</v>
      </c>
      <c r="B66" s="5">
        <v>1.06</v>
      </c>
      <c r="C66" s="5">
        <v>1.23</v>
      </c>
      <c r="D66" s="5">
        <v>2.82</v>
      </c>
      <c r="E66" s="5">
        <v>6.5</v>
      </c>
      <c r="F66" s="5">
        <v>7.03</v>
      </c>
      <c r="G66" s="5">
        <v>4.6500000000000004</v>
      </c>
      <c r="H66" s="5">
        <v>1.84</v>
      </c>
      <c r="I66" s="5">
        <v>1.91</v>
      </c>
      <c r="J66" s="5">
        <v>2.27</v>
      </c>
      <c r="K66" s="5">
        <v>2.4900000000000002</v>
      </c>
      <c r="L66" s="5">
        <v>2.9</v>
      </c>
      <c r="M66" s="5">
        <v>3.81</v>
      </c>
      <c r="N66" s="5">
        <v>3.16</v>
      </c>
      <c r="O66" s="5">
        <v>2.38</v>
      </c>
      <c r="P66" s="5">
        <v>2.5</v>
      </c>
      <c r="Q66" s="5">
        <v>2.0699999999999998</v>
      </c>
      <c r="R66" s="5">
        <v>1.79</v>
      </c>
    </row>
    <row r="67" spans="1:18" x14ac:dyDescent="0.15">
      <c r="A67" s="4" t="s">
        <v>248</v>
      </c>
      <c r="B67" s="5">
        <v>1.1000000000000001</v>
      </c>
      <c r="C67" s="5">
        <v>1.46</v>
      </c>
      <c r="D67" s="5">
        <v>2.5299999999999998</v>
      </c>
      <c r="E67" s="5">
        <v>3.85</v>
      </c>
      <c r="F67" s="5">
        <v>3.7</v>
      </c>
      <c r="G67" s="5">
        <v>3.29</v>
      </c>
      <c r="H67" s="5">
        <v>1.85</v>
      </c>
      <c r="I67" s="5">
        <v>2.2400000000000002</v>
      </c>
      <c r="J67" s="5">
        <v>2.67</v>
      </c>
      <c r="K67" s="5">
        <v>2.68</v>
      </c>
      <c r="L67" s="5">
        <v>3.94</v>
      </c>
      <c r="M67" s="5">
        <v>5.31</v>
      </c>
      <c r="N67" s="5">
        <v>4.3499999999999996</v>
      </c>
      <c r="O67" s="5">
        <v>3.23</v>
      </c>
      <c r="P67" s="5">
        <v>3.35</v>
      </c>
      <c r="Q67" s="5">
        <v>3.35</v>
      </c>
      <c r="R67" s="5">
        <v>2.38</v>
      </c>
    </row>
    <row r="68" spans="1:18" x14ac:dyDescent="0.15">
      <c r="A68" s="4" t="s">
        <v>249</v>
      </c>
      <c r="B68" s="5">
        <v>-0.89</v>
      </c>
      <c r="C68" s="5">
        <v>-1.19</v>
      </c>
      <c r="D68" s="5">
        <v>-5.0999999999999996</v>
      </c>
      <c r="E68" s="5">
        <v>-60</v>
      </c>
      <c r="F68" s="5">
        <v>-14.43</v>
      </c>
      <c r="G68" s="5">
        <v>-2.6</v>
      </c>
      <c r="H68" s="5">
        <v>-1.1100000000000001</v>
      </c>
      <c r="I68" s="5">
        <v>-1.35</v>
      </c>
      <c r="J68" s="5">
        <v>-1.57</v>
      </c>
      <c r="K68" s="5">
        <v>-2.0299999999999998</v>
      </c>
      <c r="L68" s="5">
        <v>-2.4</v>
      </c>
      <c r="M68" s="5">
        <v>-3.69</v>
      </c>
      <c r="N68" s="5">
        <v>-3.76</v>
      </c>
      <c r="O68" s="5">
        <v>-3.36</v>
      </c>
      <c r="P68" s="5">
        <v>-3.3</v>
      </c>
      <c r="Q68" s="5">
        <v>-2.02</v>
      </c>
      <c r="R68" s="5">
        <v>-2.0699999999999998</v>
      </c>
    </row>
    <row r="69" spans="1:18" x14ac:dyDescent="0.15">
      <c r="A69" s="4" t="s">
        <v>250</v>
      </c>
      <c r="B69" s="5">
        <v>-22.9</v>
      </c>
      <c r="C69" s="5">
        <v>-23.5</v>
      </c>
      <c r="D69" s="5">
        <v>-8.5</v>
      </c>
      <c r="E69" s="5">
        <v>-4.5999999999999996</v>
      </c>
      <c r="F69" s="5">
        <v>-7.3</v>
      </c>
      <c r="G69" s="5">
        <v>-3.3</v>
      </c>
      <c r="H69" s="5">
        <v>-7.7</v>
      </c>
      <c r="I69" s="5">
        <v>-13.5</v>
      </c>
      <c r="J69" s="5">
        <v>-14.4</v>
      </c>
      <c r="K69" s="5">
        <v>-6.9</v>
      </c>
      <c r="L69" s="5">
        <v>-5.3</v>
      </c>
      <c r="M69" s="5">
        <v>-2.6</v>
      </c>
      <c r="N69" s="5">
        <v>-4.3</v>
      </c>
      <c r="O69" s="5">
        <v>-7.7</v>
      </c>
      <c r="P69" s="5">
        <v>-4.5999999999999996</v>
      </c>
      <c r="Q69" s="5">
        <v>1.3</v>
      </c>
      <c r="R69" s="5">
        <v>-6.1</v>
      </c>
    </row>
    <row r="70" spans="1:18" x14ac:dyDescent="0.15">
      <c r="A70" s="183" t="s">
        <v>251</v>
      </c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</row>
    <row r="71" spans="1:18" x14ac:dyDescent="0.15">
      <c r="A71" s="4" t="s">
        <v>252</v>
      </c>
      <c r="B71" s="5">
        <v>-0.51</v>
      </c>
      <c r="C71" s="5">
        <v>-0.71</v>
      </c>
      <c r="D71" s="5">
        <v>-0.56999999999999995</v>
      </c>
      <c r="E71" s="5">
        <v>-0.61</v>
      </c>
      <c r="F71" s="5">
        <v>-1.21</v>
      </c>
      <c r="G71" s="5">
        <v>-0.52</v>
      </c>
      <c r="H71" s="5">
        <v>-0.57999999999999996</v>
      </c>
      <c r="I71" s="5">
        <v>-1.1599999999999999</v>
      </c>
      <c r="J71" s="5">
        <v>-1.47</v>
      </c>
      <c r="K71" s="5">
        <v>-0.87</v>
      </c>
      <c r="L71" s="5">
        <v>-0.88</v>
      </c>
      <c r="M71" s="5">
        <v>-0.63</v>
      </c>
      <c r="N71" s="5">
        <v>-0.99</v>
      </c>
      <c r="O71" s="5">
        <v>-1.44</v>
      </c>
      <c r="P71" s="5">
        <v>-0.98</v>
      </c>
      <c r="Q71" s="5">
        <v>0.3</v>
      </c>
      <c r="R71" s="5">
        <v>-1.23</v>
      </c>
    </row>
    <row r="72" spans="1:18" x14ac:dyDescent="0.15">
      <c r="A72" s="4" t="s">
        <v>253</v>
      </c>
      <c r="B72" s="5">
        <v>0.55000000000000004</v>
      </c>
      <c r="C72" s="5">
        <v>0.33</v>
      </c>
      <c r="D72" s="5">
        <v>0.53</v>
      </c>
      <c r="E72" s="5">
        <v>0.5</v>
      </c>
      <c r="F72" s="5">
        <v>0.73</v>
      </c>
      <c r="G72" s="5">
        <v>0.7</v>
      </c>
      <c r="H72" s="5">
        <v>0.53</v>
      </c>
      <c r="I72" s="5">
        <v>1.1599999999999999</v>
      </c>
      <c r="J72" s="5">
        <v>1.37</v>
      </c>
      <c r="K72" s="5">
        <v>1.59</v>
      </c>
      <c r="L72" s="5">
        <v>2.23</v>
      </c>
      <c r="M72" s="5">
        <v>2</v>
      </c>
      <c r="N72" s="5">
        <v>2.75</v>
      </c>
      <c r="O72" s="5">
        <v>2.61</v>
      </c>
      <c r="P72" s="5">
        <v>2.75</v>
      </c>
      <c r="Q72" s="5">
        <v>2.57</v>
      </c>
      <c r="R72" s="5">
        <v>3.55</v>
      </c>
    </row>
    <row r="73" spans="1:18" x14ac:dyDescent="0.15">
      <c r="A73" s="4" t="s">
        <v>254</v>
      </c>
      <c r="B73" s="5">
        <v>-0.49</v>
      </c>
      <c r="C73" s="5">
        <v>-0.39</v>
      </c>
      <c r="D73" s="5">
        <v>-0.81</v>
      </c>
      <c r="E73" s="5">
        <v>-0.65</v>
      </c>
      <c r="F73" s="5">
        <v>-1.53</v>
      </c>
      <c r="G73" s="5">
        <v>-2.56</v>
      </c>
      <c r="H73" s="5">
        <v>-1.34</v>
      </c>
      <c r="I73" s="5">
        <v>0.14000000000000001</v>
      </c>
      <c r="J73" s="5">
        <v>0.52</v>
      </c>
      <c r="K73" s="5">
        <v>0.47</v>
      </c>
      <c r="L73" s="5">
        <v>0.46</v>
      </c>
      <c r="M73" s="5">
        <v>0.64</v>
      </c>
      <c r="N73" s="5">
        <v>1.2</v>
      </c>
      <c r="O73" s="5">
        <v>0.42</v>
      </c>
      <c r="P73" s="5">
        <v>0.2</v>
      </c>
      <c r="Q73" s="5">
        <v>-1.1100000000000001</v>
      </c>
      <c r="R73" s="5">
        <v>1.56</v>
      </c>
    </row>
    <row r="74" spans="1:18" x14ac:dyDescent="0.15">
      <c r="A74" s="4" t="s">
        <v>255</v>
      </c>
      <c r="B74" s="5">
        <v>12</v>
      </c>
      <c r="C74" s="5">
        <v>0</v>
      </c>
      <c r="D74" s="5">
        <v>1.5</v>
      </c>
      <c r="E74" s="5">
        <v>3.7</v>
      </c>
      <c r="F74" s="5">
        <v>6.4</v>
      </c>
      <c r="G74" s="5">
        <v>0</v>
      </c>
      <c r="H74" s="5">
        <v>0</v>
      </c>
      <c r="I74" s="5">
        <v>0</v>
      </c>
      <c r="J74" s="5">
        <v>5.0999999999999996</v>
      </c>
      <c r="K74" s="5">
        <v>7.8</v>
      </c>
      <c r="L74" s="5">
        <v>25.3</v>
      </c>
      <c r="M74" s="5">
        <v>19.5</v>
      </c>
      <c r="N74" s="5">
        <v>29.8</v>
      </c>
      <c r="O74" s="5">
        <v>21.4</v>
      </c>
      <c r="P74" s="5">
        <v>19.2</v>
      </c>
      <c r="Q74" s="5">
        <v>16.2</v>
      </c>
      <c r="R74" s="5">
        <v>20.3</v>
      </c>
    </row>
    <row r="75" spans="1:18" x14ac:dyDescent="0.15">
      <c r="A75" s="4" t="s">
        <v>256</v>
      </c>
      <c r="B75" s="5">
        <v>3.7</v>
      </c>
      <c r="C75" s="5">
        <v>-1.3</v>
      </c>
      <c r="D75" s="5">
        <v>0.5</v>
      </c>
      <c r="E75" s="5">
        <v>1.5</v>
      </c>
      <c r="F75" s="5">
        <v>3</v>
      </c>
      <c r="G75" s="5">
        <v>-2.2999999999999998</v>
      </c>
      <c r="H75" s="5">
        <v>-4.5999999999999996</v>
      </c>
      <c r="I75" s="5">
        <v>-0.9</v>
      </c>
      <c r="J75" s="5">
        <v>1.9</v>
      </c>
      <c r="K75" s="5">
        <v>3.4</v>
      </c>
      <c r="L75" s="5">
        <v>9.5</v>
      </c>
      <c r="M75" s="5">
        <v>8.1999999999999993</v>
      </c>
      <c r="N75" s="5">
        <v>13.5</v>
      </c>
      <c r="O75" s="5">
        <v>10.4</v>
      </c>
      <c r="P75" s="5">
        <v>7.9</v>
      </c>
      <c r="Q75" s="5">
        <v>5.6</v>
      </c>
      <c r="R75" s="5">
        <v>8.9</v>
      </c>
    </row>
    <row r="76" spans="1:18" x14ac:dyDescent="0.15">
      <c r="A76" s="4" t="s">
        <v>257</v>
      </c>
      <c r="B76" s="5">
        <v>3.1</v>
      </c>
      <c r="C76" s="5">
        <v>-1.1000000000000001</v>
      </c>
      <c r="D76" s="5">
        <v>0.4</v>
      </c>
      <c r="E76" s="5">
        <v>1.2</v>
      </c>
      <c r="F76" s="5">
        <v>2.2000000000000002</v>
      </c>
      <c r="G76" s="5">
        <v>-1.7</v>
      </c>
      <c r="H76" s="5">
        <v>-3.4</v>
      </c>
      <c r="I76" s="5">
        <v>-0.6</v>
      </c>
      <c r="J76" s="5">
        <v>1.2</v>
      </c>
      <c r="K76" s="5">
        <v>2.2000000000000002</v>
      </c>
      <c r="L76" s="5">
        <v>6.1</v>
      </c>
      <c r="M76" s="5">
        <v>4.8</v>
      </c>
      <c r="N76" s="5">
        <v>8</v>
      </c>
      <c r="O76" s="5">
        <v>6</v>
      </c>
      <c r="P76" s="5">
        <v>5.2</v>
      </c>
      <c r="Q76" s="5">
        <v>3.8</v>
      </c>
      <c r="R76" s="5">
        <v>6</v>
      </c>
    </row>
    <row r="77" spans="1:18" x14ac:dyDescent="0.15">
      <c r="A77" s="4" t="s">
        <v>258</v>
      </c>
      <c r="B77" s="5">
        <v>4</v>
      </c>
      <c r="C77" s="5">
        <v>9.1999999999999993</v>
      </c>
      <c r="D77" s="5">
        <v>12.6</v>
      </c>
      <c r="E77" s="5">
        <v>26.4</v>
      </c>
      <c r="F77" s="5">
        <v>22.7</v>
      </c>
      <c r="G77" s="5">
        <v>22.5</v>
      </c>
      <c r="H77" s="5">
        <v>14.2</v>
      </c>
      <c r="I77" s="5">
        <v>7.4</v>
      </c>
      <c r="J77" s="5">
        <v>7.4</v>
      </c>
      <c r="K77" s="5">
        <v>7.9</v>
      </c>
      <c r="L77" s="5">
        <v>7.4</v>
      </c>
      <c r="M77" s="5">
        <v>12.3</v>
      </c>
      <c r="N77" s="5">
        <v>8.3000000000000007</v>
      </c>
      <c r="O77" s="5">
        <v>7.2</v>
      </c>
      <c r="P77" s="5">
        <v>7.8</v>
      </c>
      <c r="Q77" s="5">
        <v>8.6999999999999993</v>
      </c>
      <c r="R77" s="5">
        <v>5.7</v>
      </c>
    </row>
    <row r="78" spans="1:18" x14ac:dyDescent="0.15">
      <c r="A78" s="4" t="s">
        <v>259</v>
      </c>
      <c r="B78" s="5">
        <v>-4.5</v>
      </c>
      <c r="C78" s="5">
        <v>-7.8</v>
      </c>
      <c r="D78" s="5">
        <v>-8.1999999999999993</v>
      </c>
      <c r="E78" s="5">
        <v>-20.3</v>
      </c>
      <c r="F78" s="5">
        <v>-10.8</v>
      </c>
      <c r="G78" s="5">
        <v>-6.2</v>
      </c>
      <c r="H78" s="5">
        <v>-5.6</v>
      </c>
      <c r="I78" s="5">
        <v>61.2</v>
      </c>
      <c r="J78" s="5">
        <v>19.600000000000001</v>
      </c>
      <c r="K78" s="5">
        <v>26.6</v>
      </c>
      <c r="L78" s="5">
        <v>36.1</v>
      </c>
      <c r="M78" s="5">
        <v>38.299999999999997</v>
      </c>
      <c r="N78" s="5">
        <v>19.100000000000001</v>
      </c>
      <c r="O78" s="5">
        <v>44.7</v>
      </c>
      <c r="P78" s="5">
        <v>107.1</v>
      </c>
      <c r="Q78" s="5">
        <v>-20.2</v>
      </c>
      <c r="R78" s="5">
        <v>12.9</v>
      </c>
    </row>
    <row r="79" spans="1:18" x14ac:dyDescent="0.15">
      <c r="A79" s="4" t="s">
        <v>260</v>
      </c>
      <c r="B79" s="5">
        <v>352260</v>
      </c>
      <c r="C79" s="5">
        <v>323648</v>
      </c>
      <c r="D79" s="5">
        <v>291809</v>
      </c>
      <c r="E79" s="5">
        <v>303458</v>
      </c>
      <c r="F79" s="5">
        <v>404583</v>
      </c>
      <c r="G79" s="5">
        <v>654980</v>
      </c>
      <c r="H79" s="5">
        <v>337243</v>
      </c>
      <c r="I79" s="5">
        <v>370846</v>
      </c>
      <c r="J79" s="5">
        <v>319961</v>
      </c>
      <c r="K79" s="5">
        <v>298623</v>
      </c>
      <c r="L79" s="5">
        <v>299913</v>
      </c>
      <c r="M79" s="5">
        <v>308272</v>
      </c>
      <c r="N79" s="5">
        <v>344984</v>
      </c>
      <c r="O79" s="5">
        <v>339091</v>
      </c>
      <c r="P79" s="5">
        <v>285968</v>
      </c>
      <c r="Q79" s="5">
        <v>379272</v>
      </c>
      <c r="R79" s="5">
        <v>357000</v>
      </c>
    </row>
    <row r="80" spans="1:18" x14ac:dyDescent="0.15">
      <c r="A80" s="183" t="s">
        <v>261</v>
      </c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</row>
    <row r="81" spans="1:18" x14ac:dyDescent="0.15">
      <c r="A81" s="4" t="s">
        <v>262</v>
      </c>
      <c r="B81" s="5">
        <v>37.299999999999997</v>
      </c>
      <c r="C81" s="5">
        <v>24.5</v>
      </c>
      <c r="D81" s="5">
        <v>35</v>
      </c>
      <c r="E81" s="5">
        <v>13.5</v>
      </c>
      <c r="F81" s="5">
        <v>15.9</v>
      </c>
      <c r="G81" s="5">
        <v>138.6</v>
      </c>
      <c r="H81" s="5">
        <v>147.80000000000001</v>
      </c>
      <c r="I81" s="5">
        <v>179.9</v>
      </c>
      <c r="J81" s="5">
        <v>175.6</v>
      </c>
      <c r="K81" s="5">
        <v>178.2</v>
      </c>
      <c r="L81" s="5">
        <v>178.5</v>
      </c>
      <c r="M81" s="5">
        <v>147.1</v>
      </c>
      <c r="N81" s="5">
        <v>58.6</v>
      </c>
      <c r="O81" s="5">
        <v>57.8</v>
      </c>
      <c r="P81" s="5">
        <v>58.4</v>
      </c>
      <c r="Q81" s="5">
        <v>62.5</v>
      </c>
      <c r="R81" s="5">
        <v>64.7</v>
      </c>
    </row>
    <row r="82" spans="1:18" x14ac:dyDescent="0.15">
      <c r="A82" s="4" t="s">
        <v>263</v>
      </c>
      <c r="B82" s="5">
        <v>41.8</v>
      </c>
      <c r="C82" s="5">
        <v>-14.4</v>
      </c>
      <c r="D82" s="5">
        <v>4.8</v>
      </c>
      <c r="E82" s="5">
        <v>4.2</v>
      </c>
      <c r="F82" s="5">
        <v>23.6</v>
      </c>
      <c r="G82" s="5">
        <v>788.3</v>
      </c>
      <c r="H82" s="5">
        <v>281.8</v>
      </c>
      <c r="I82" s="5">
        <v>61.6</v>
      </c>
      <c r="J82" s="5">
        <v>-187.1</v>
      </c>
      <c r="K82" s="5">
        <v>-12352.7</v>
      </c>
      <c r="L82" s="5">
        <v>834.7</v>
      </c>
      <c r="M82" s="5">
        <v>234</v>
      </c>
      <c r="N82" s="5">
        <v>82.1</v>
      </c>
      <c r="O82" s="5">
        <v>271.7</v>
      </c>
      <c r="P82" s="5">
        <v>68.400000000000006</v>
      </c>
      <c r="Q82" s="5">
        <v>113.7</v>
      </c>
      <c r="R82" s="5">
        <v>63.1</v>
      </c>
    </row>
    <row r="83" spans="1:18" x14ac:dyDescent="0.15">
      <c r="A83" s="4" t="s">
        <v>264</v>
      </c>
      <c r="B83" s="5">
        <v>36.1</v>
      </c>
      <c r="C83" s="5">
        <v>11.1</v>
      </c>
      <c r="D83" s="5">
        <v>-1.4</v>
      </c>
      <c r="E83" s="5">
        <v>3.6</v>
      </c>
      <c r="F83" s="5">
        <v>35.200000000000003</v>
      </c>
      <c r="G83" s="5">
        <v>1416.7</v>
      </c>
      <c r="H83" s="5">
        <v>162.5</v>
      </c>
      <c r="I83" s="5">
        <v>32.799999999999997</v>
      </c>
      <c r="J83" s="5">
        <v>-15.7</v>
      </c>
      <c r="K83" s="5">
        <v>-1066.7</v>
      </c>
      <c r="L83" s="5">
        <v>243</v>
      </c>
      <c r="M83" s="5">
        <v>74.8</v>
      </c>
      <c r="N83" s="5">
        <v>59.3</v>
      </c>
      <c r="O83" s="5">
        <v>317.10000000000002</v>
      </c>
      <c r="P83" s="5">
        <v>102</v>
      </c>
      <c r="Q83" s="5">
        <v>176.2</v>
      </c>
      <c r="R83" s="5">
        <v>108.9</v>
      </c>
    </row>
    <row r="84" spans="1:18" x14ac:dyDescent="0.15">
      <c r="A84" s="4" t="s">
        <v>265</v>
      </c>
      <c r="B84" s="5">
        <v>22.5</v>
      </c>
      <c r="C84" s="5">
        <v>16.3</v>
      </c>
      <c r="D84" s="5">
        <v>32</v>
      </c>
      <c r="E84" s="5">
        <v>47.2</v>
      </c>
      <c r="F84" s="5">
        <v>50</v>
      </c>
      <c r="G84" s="5">
        <v>88.9</v>
      </c>
      <c r="H84" s="5">
        <v>183</v>
      </c>
      <c r="I84" s="5">
        <v>144.30000000000001</v>
      </c>
      <c r="J84" s="5">
        <v>114.7</v>
      </c>
      <c r="K84" s="5">
        <v>103.5</v>
      </c>
      <c r="L84" s="5">
        <v>59.9</v>
      </c>
      <c r="M84" s="5">
        <v>84.5</v>
      </c>
      <c r="N84" s="5">
        <v>121.2</v>
      </c>
      <c r="O84" s="5">
        <v>97.1</v>
      </c>
      <c r="P84" s="5">
        <v>107</v>
      </c>
      <c r="Q84" s="5">
        <v>107.1</v>
      </c>
      <c r="R84" s="5">
        <v>93.9</v>
      </c>
    </row>
    <row r="85" spans="1:18" x14ac:dyDescent="0.15">
      <c r="A85" s="4" t="s">
        <v>266</v>
      </c>
      <c r="B85" s="5">
        <v>79.5</v>
      </c>
      <c r="C85" s="5">
        <v>134.6</v>
      </c>
      <c r="D85" s="5">
        <v>0</v>
      </c>
      <c r="E85" s="5">
        <v>1305.5999999999999</v>
      </c>
      <c r="F85" s="5">
        <v>145.6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30</v>
      </c>
      <c r="M85" s="5">
        <v>99</v>
      </c>
      <c r="N85" s="5">
        <v>178.1</v>
      </c>
      <c r="O85" s="5">
        <v>30.5</v>
      </c>
      <c r="P85" s="5">
        <v>105.3</v>
      </c>
      <c r="Q85" s="5">
        <v>60.3</v>
      </c>
      <c r="R85" s="5">
        <v>86.3</v>
      </c>
    </row>
    <row r="86" spans="1:18" x14ac:dyDescent="0.15">
      <c r="A86" s="4" t="s">
        <v>267</v>
      </c>
      <c r="B86" s="5">
        <v>57.6</v>
      </c>
      <c r="C86" s="5">
        <v>48.3</v>
      </c>
      <c r="D86" s="5">
        <v>70.3</v>
      </c>
      <c r="E86" s="5">
        <v>97.5</v>
      </c>
      <c r="F86" s="5">
        <v>74.599999999999994</v>
      </c>
      <c r="G86" s="5">
        <v>88.9</v>
      </c>
      <c r="H86" s="5">
        <v>129.4</v>
      </c>
      <c r="I86" s="5">
        <v>156.6</v>
      </c>
      <c r="J86" s="5">
        <v>213.6</v>
      </c>
      <c r="K86" s="5">
        <v>177.5</v>
      </c>
      <c r="L86" s="5">
        <v>168.4</v>
      </c>
      <c r="M86" s="5">
        <v>358.8</v>
      </c>
      <c r="N86" s="5">
        <v>149.5</v>
      </c>
      <c r="O86" s="5">
        <v>128.19999999999999</v>
      </c>
      <c r="P86" s="5">
        <v>112.8</v>
      </c>
      <c r="Q86" s="5">
        <v>107.4</v>
      </c>
      <c r="R86" s="5">
        <v>87.2</v>
      </c>
    </row>
    <row r="87" spans="1:18" x14ac:dyDescent="0.15">
      <c r="A87" s="4" t="s">
        <v>268</v>
      </c>
      <c r="B87" s="5">
        <v>63.5</v>
      </c>
      <c r="C87" s="5">
        <v>52.1</v>
      </c>
      <c r="D87" s="5">
        <v>80.599999999999994</v>
      </c>
      <c r="E87" s="5">
        <v>211.7</v>
      </c>
      <c r="F87" s="5">
        <v>194.2</v>
      </c>
      <c r="G87" s="5">
        <v>102</v>
      </c>
      <c r="H87" s="5">
        <v>126.9</v>
      </c>
      <c r="I87" s="5">
        <v>143.6</v>
      </c>
      <c r="J87" s="5">
        <v>224.8</v>
      </c>
      <c r="K87" s="5">
        <v>212.8</v>
      </c>
      <c r="L87" s="5">
        <v>157.6</v>
      </c>
      <c r="M87" s="5">
        <v>210.5</v>
      </c>
      <c r="N87" s="5">
        <v>145.6</v>
      </c>
      <c r="O87" s="5">
        <v>145.1</v>
      </c>
      <c r="P87" s="5">
        <v>124.4</v>
      </c>
      <c r="Q87" s="5">
        <v>115.6</v>
      </c>
      <c r="R87" s="5">
        <v>94.7</v>
      </c>
    </row>
    <row r="88" spans="1:18" x14ac:dyDescent="0.15">
      <c r="A88" s="4" t="s">
        <v>269</v>
      </c>
      <c r="B88" s="5">
        <v>47.6</v>
      </c>
      <c r="C88" s="5">
        <v>63</v>
      </c>
      <c r="D88" s="5">
        <v>88.1</v>
      </c>
      <c r="E88" s="5">
        <v>302.10000000000002</v>
      </c>
      <c r="F88" s="5">
        <v>149.4</v>
      </c>
      <c r="G88" s="5">
        <v>109.9</v>
      </c>
      <c r="H88" s="5">
        <v>159.5</v>
      </c>
      <c r="I88" s="5">
        <v>77.5</v>
      </c>
      <c r="J88" s="5">
        <v>152.69999999999999</v>
      </c>
      <c r="K88" s="5">
        <v>141</v>
      </c>
      <c r="L88" s="5">
        <v>90.4</v>
      </c>
      <c r="M88" s="5">
        <v>197.1</v>
      </c>
      <c r="N88" s="5">
        <v>130.19999999999999</v>
      </c>
      <c r="O88" s="5">
        <v>99.3</v>
      </c>
      <c r="P88" s="5">
        <v>120.4</v>
      </c>
      <c r="Q88" s="5">
        <v>101.3</v>
      </c>
      <c r="R88" s="5">
        <v>100.5</v>
      </c>
    </row>
    <row r="89" spans="1:18" x14ac:dyDescent="0.15">
      <c r="A89" s="4" t="s">
        <v>270</v>
      </c>
      <c r="B89" s="5">
        <v>17.5</v>
      </c>
      <c r="C89" s="5">
        <v>9.1</v>
      </c>
      <c r="D89" s="5">
        <v>24.9</v>
      </c>
      <c r="E89" s="5">
        <v>127.8</v>
      </c>
      <c r="F89" s="5">
        <v>78.2</v>
      </c>
      <c r="G89" s="5">
        <v>70.400000000000006</v>
      </c>
      <c r="H89" s="5">
        <v>75.2</v>
      </c>
      <c r="I89" s="5">
        <v>358.4</v>
      </c>
      <c r="J89" s="5">
        <v>230.3</v>
      </c>
      <c r="K89" s="5">
        <v>288</v>
      </c>
      <c r="L89" s="5">
        <v>-1548.9</v>
      </c>
      <c r="M89" s="5">
        <v>-46.2</v>
      </c>
      <c r="N89" s="5">
        <v>57.5</v>
      </c>
      <c r="O89" s="5">
        <v>212.6</v>
      </c>
      <c r="P89" s="5">
        <v>208.7</v>
      </c>
      <c r="Q89" s="5">
        <v>76.2</v>
      </c>
      <c r="R89" s="5">
        <v>71.7</v>
      </c>
    </row>
    <row r="90" spans="1:18" x14ac:dyDescent="0.15">
      <c r="A90" s="4" t="s">
        <v>271</v>
      </c>
      <c r="B90" s="5">
        <v>189.6</v>
      </c>
      <c r="C90" s="5">
        <v>217</v>
      </c>
      <c r="D90" s="5">
        <v>176.3</v>
      </c>
      <c r="E90" s="5">
        <v>80</v>
      </c>
      <c r="F90" s="5">
        <v>55.1</v>
      </c>
      <c r="G90" s="5">
        <v>91.2</v>
      </c>
      <c r="H90" s="5">
        <v>113.6</v>
      </c>
      <c r="I90" s="5">
        <v>102.1</v>
      </c>
      <c r="J90" s="5">
        <v>82.4</v>
      </c>
      <c r="K90" s="5">
        <v>89.7</v>
      </c>
      <c r="L90" s="5">
        <v>74.8</v>
      </c>
      <c r="M90" s="5">
        <v>158</v>
      </c>
      <c r="N90" s="5">
        <v>113.2</v>
      </c>
      <c r="O90" s="5">
        <v>87</v>
      </c>
      <c r="P90" s="5">
        <v>105.1</v>
      </c>
      <c r="Q90" s="5">
        <v>108.4</v>
      </c>
      <c r="R90" s="5">
        <v>97.7</v>
      </c>
    </row>
    <row r="91" spans="1:18" x14ac:dyDescent="0.15">
      <c r="A91" s="4" t="s">
        <v>272</v>
      </c>
      <c r="B91" s="5">
        <v>27.3</v>
      </c>
      <c r="C91" s="5">
        <v>16.7</v>
      </c>
      <c r="D91" s="5">
        <v>40</v>
      </c>
      <c r="E91" s="5">
        <v>42.9</v>
      </c>
      <c r="F91" s="5">
        <v>25</v>
      </c>
      <c r="G91" s="5">
        <v>100</v>
      </c>
      <c r="H91" s="5">
        <v>300</v>
      </c>
      <c r="I91" s="5">
        <v>150</v>
      </c>
      <c r="J91" s="5">
        <v>50</v>
      </c>
      <c r="K91" s="5">
        <v>100</v>
      </c>
      <c r="L91" s="5">
        <v>100</v>
      </c>
      <c r="M91" s="5">
        <v>140</v>
      </c>
      <c r="N91" s="5">
        <v>166.7</v>
      </c>
      <c r="O91" s="5">
        <v>120</v>
      </c>
      <c r="P91" s="5">
        <v>120</v>
      </c>
      <c r="Q91" s="5">
        <v>137.5</v>
      </c>
      <c r="R91" s="5">
        <v>100</v>
      </c>
    </row>
    <row r="92" spans="1:18" x14ac:dyDescent="0.15">
      <c r="A92" s="4" t="s">
        <v>273</v>
      </c>
      <c r="B92" s="5">
        <v>120.9</v>
      </c>
      <c r="C92" s="5">
        <v>134.69999999999999</v>
      </c>
      <c r="D92" s="5">
        <v>122</v>
      </c>
      <c r="E92" s="5">
        <v>145.80000000000001</v>
      </c>
      <c r="F92" s="5">
        <v>143.4</v>
      </c>
      <c r="G92" s="5">
        <v>67.5</v>
      </c>
      <c r="H92" s="5">
        <v>77</v>
      </c>
      <c r="I92" s="5">
        <v>101.5</v>
      </c>
      <c r="J92" s="5">
        <v>121.6</v>
      </c>
      <c r="K92" s="5">
        <v>115.9</v>
      </c>
      <c r="L92" s="5">
        <v>115.9</v>
      </c>
      <c r="M92" s="5">
        <v>109.8</v>
      </c>
      <c r="N92" s="5">
        <v>115.8</v>
      </c>
      <c r="O92" s="5">
        <v>93.2</v>
      </c>
      <c r="P92" s="5">
        <v>158.9</v>
      </c>
      <c r="Q92" s="5">
        <v>99.5</v>
      </c>
      <c r="R92" s="5">
        <v>79.2</v>
      </c>
    </row>
    <row r="93" spans="1:18" x14ac:dyDescent="0.15">
      <c r="A93" s="4" t="s">
        <v>274</v>
      </c>
      <c r="B93" s="5">
        <v>127.2</v>
      </c>
      <c r="C93" s="5">
        <v>30</v>
      </c>
      <c r="D93" s="5">
        <v>49.5</v>
      </c>
      <c r="E93" s="5">
        <v>72</v>
      </c>
      <c r="F93" s="5">
        <v>165.5</v>
      </c>
      <c r="G93" s="5">
        <v>754.8</v>
      </c>
      <c r="H93" s="5">
        <v>358.2</v>
      </c>
      <c r="I93" s="5">
        <v>20</v>
      </c>
      <c r="J93" s="5">
        <v>1000</v>
      </c>
      <c r="K93" s="5">
        <v>479.2</v>
      </c>
      <c r="L93" s="5">
        <v>194.9</v>
      </c>
      <c r="M93" s="5">
        <v>190.1</v>
      </c>
      <c r="N93" s="5">
        <v>120.7</v>
      </c>
      <c r="O93" s="5">
        <v>382.1</v>
      </c>
      <c r="P93" s="5">
        <v>108.4</v>
      </c>
      <c r="Q93" s="5">
        <v>152.80000000000001</v>
      </c>
      <c r="R93" s="5">
        <v>102.6</v>
      </c>
    </row>
    <row r="94" spans="1:18" x14ac:dyDescent="0.15">
      <c r="A94" s="4" t="s">
        <v>275</v>
      </c>
      <c r="B94" s="5">
        <v>110.6</v>
      </c>
      <c r="C94" s="5">
        <v>0</v>
      </c>
      <c r="D94" s="5">
        <v>13.5</v>
      </c>
      <c r="E94" s="5">
        <v>31</v>
      </c>
      <c r="F94" s="5">
        <v>148.80000000000001</v>
      </c>
      <c r="G94" s="5">
        <v>1175</v>
      </c>
      <c r="H94" s="5">
        <v>191.3</v>
      </c>
      <c r="I94" s="5">
        <v>34.299999999999997</v>
      </c>
      <c r="J94" s="5">
        <v>-107.3</v>
      </c>
      <c r="K94" s="5">
        <v>-7300</v>
      </c>
      <c r="L94" s="5">
        <v>465</v>
      </c>
      <c r="M94" s="5">
        <v>159.1</v>
      </c>
      <c r="N94" s="5">
        <v>136.69999999999999</v>
      </c>
      <c r="O94" s="5">
        <v>464.7</v>
      </c>
      <c r="P94" s="5">
        <v>117.2</v>
      </c>
      <c r="Q94" s="5">
        <v>177.6</v>
      </c>
      <c r="R94" s="5">
        <v>107</v>
      </c>
    </row>
    <row r="95" spans="1:18" x14ac:dyDescent="0.15">
      <c r="A95" s="4" t="s">
        <v>276</v>
      </c>
      <c r="B95" s="5">
        <v>111.5</v>
      </c>
      <c r="C95" s="5">
        <v>-59.1</v>
      </c>
      <c r="D95" s="5">
        <v>13.5</v>
      </c>
      <c r="E95" s="5">
        <v>31</v>
      </c>
      <c r="F95" s="5">
        <v>148.80000000000001</v>
      </c>
      <c r="G95" s="5">
        <v>587.5</v>
      </c>
      <c r="H95" s="5">
        <v>191.3</v>
      </c>
      <c r="I95" s="5">
        <v>34.299999999999997</v>
      </c>
      <c r="J95" s="5">
        <v>-107.3</v>
      </c>
      <c r="K95" s="5">
        <v>-7300</v>
      </c>
      <c r="L95" s="5">
        <v>465</v>
      </c>
      <c r="M95" s="5">
        <v>159.1</v>
      </c>
      <c r="N95" s="5">
        <v>140.30000000000001</v>
      </c>
      <c r="O95" s="5">
        <v>464.7</v>
      </c>
      <c r="P95" s="5">
        <v>117.2</v>
      </c>
      <c r="Q95" s="5">
        <v>181.8</v>
      </c>
      <c r="R95" s="5">
        <v>97.4</v>
      </c>
    </row>
    <row r="96" spans="1:18" x14ac:dyDescent="0.15">
      <c r="A96" s="4" t="s">
        <v>277</v>
      </c>
      <c r="B96" s="5">
        <v>100.8</v>
      </c>
      <c r="C96" s="5">
        <v>0</v>
      </c>
      <c r="D96" s="5">
        <v>11.5</v>
      </c>
      <c r="E96" s="5">
        <v>14.2</v>
      </c>
      <c r="F96" s="5">
        <v>57.1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496.1</v>
      </c>
      <c r="M96" s="5">
        <v>270.8</v>
      </c>
      <c r="N96" s="5">
        <v>144</v>
      </c>
      <c r="O96" s="5">
        <v>411.5</v>
      </c>
      <c r="P96" s="5">
        <v>106.1</v>
      </c>
      <c r="Q96" s="5">
        <v>168.8</v>
      </c>
      <c r="R96" s="5">
        <v>89.8</v>
      </c>
    </row>
    <row r="97" spans="1:18" x14ac:dyDescent="0.15">
      <c r="A97" s="4" t="s">
        <v>278</v>
      </c>
      <c r="B97" s="5">
        <v>139.30000000000001</v>
      </c>
      <c r="C97" s="5">
        <v>155.6</v>
      </c>
      <c r="D97" s="5">
        <v>142.30000000000001</v>
      </c>
      <c r="E97" s="5">
        <v>96.8</v>
      </c>
      <c r="F97" s="5">
        <v>74.400000000000006</v>
      </c>
      <c r="G97" s="5">
        <v>117.6</v>
      </c>
      <c r="H97" s="5">
        <v>115.4</v>
      </c>
      <c r="I97" s="5">
        <v>119.4</v>
      </c>
      <c r="J97" s="5">
        <v>110.3</v>
      </c>
      <c r="K97" s="5">
        <v>94.7</v>
      </c>
      <c r="L97" s="5">
        <v>84</v>
      </c>
      <c r="M97" s="5">
        <v>170.8</v>
      </c>
      <c r="N97" s="5">
        <v>100</v>
      </c>
      <c r="O97" s="5">
        <v>97.3</v>
      </c>
      <c r="P97" s="5">
        <v>102.8</v>
      </c>
      <c r="Q97" s="5">
        <v>102.4</v>
      </c>
      <c r="R97" s="5">
        <v>97.1</v>
      </c>
    </row>
  </sheetData>
  <mergeCells count="39">
    <mergeCell ref="A54:F54"/>
    <mergeCell ref="A70:F70"/>
    <mergeCell ref="A80:F80"/>
    <mergeCell ref="A30:F30"/>
    <mergeCell ref="A3:F3"/>
    <mergeCell ref="A15:F15"/>
    <mergeCell ref="A24:F24"/>
    <mergeCell ref="A37:F37"/>
    <mergeCell ref="A42:F42"/>
    <mergeCell ref="G2:K2"/>
    <mergeCell ref="G3:K3"/>
    <mergeCell ref="G15:K15"/>
    <mergeCell ref="G24:K24"/>
    <mergeCell ref="G30:K30"/>
    <mergeCell ref="L2:P2"/>
    <mergeCell ref="L3:P3"/>
    <mergeCell ref="L15:P15"/>
    <mergeCell ref="L24:P24"/>
    <mergeCell ref="L30:P30"/>
    <mergeCell ref="Q37:R37"/>
    <mergeCell ref="G42:K42"/>
    <mergeCell ref="G54:K54"/>
    <mergeCell ref="G70:K70"/>
    <mergeCell ref="G80:K80"/>
    <mergeCell ref="L37:P37"/>
    <mergeCell ref="G37:K37"/>
    <mergeCell ref="Q42:R42"/>
    <mergeCell ref="Q54:R54"/>
    <mergeCell ref="Q70:R70"/>
    <mergeCell ref="Q80:R80"/>
    <mergeCell ref="L42:P42"/>
    <mergeCell ref="L54:P54"/>
    <mergeCell ref="L70:P70"/>
    <mergeCell ref="L80:P80"/>
    <mergeCell ref="Q2:R2"/>
    <mergeCell ref="Q3:R3"/>
    <mergeCell ref="Q15:R15"/>
    <mergeCell ref="Q24:R24"/>
    <mergeCell ref="Q30:R30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8"/>
  <sheetViews>
    <sheetView topLeftCell="AB1" zoomScaleNormal="100" workbookViewId="0">
      <selection activeCell="AI3" sqref="AI3:AS11"/>
    </sheetView>
  </sheetViews>
  <sheetFormatPr defaultColWidth="9" defaultRowHeight="15" x14ac:dyDescent="0.15"/>
  <cols>
    <col min="1" max="1" width="9" style="8"/>
    <col min="2" max="2" width="9" style="8" customWidth="1"/>
    <col min="3" max="3" width="9" style="8"/>
    <col min="4" max="4" width="8.375" style="8" customWidth="1"/>
    <col min="5" max="5" width="9" style="8"/>
    <col min="6" max="6" width="11.125" style="8" customWidth="1"/>
    <col min="7" max="7" width="1.25" style="8" customWidth="1"/>
    <col min="8" max="8" width="12.375" style="8" customWidth="1"/>
    <col min="9" max="10" width="11.125" style="8" customWidth="1"/>
    <col min="11" max="11" width="5" style="8" customWidth="1"/>
    <col min="12" max="12" width="1.25" style="8" customWidth="1"/>
    <col min="13" max="13" width="1.25" style="33" customWidth="1"/>
    <col min="14" max="14" width="1.25" style="8" customWidth="1"/>
    <col min="15" max="15" width="26.25" style="8" customWidth="1"/>
    <col min="16" max="17" width="9" style="8"/>
    <col min="18" max="18" width="1.25" style="8" customWidth="1"/>
    <col min="19" max="19" width="1.25" style="33" customWidth="1"/>
    <col min="20" max="20" width="1.25" style="8" customWidth="1"/>
    <col min="21" max="21" width="13.25" style="8" customWidth="1"/>
    <col min="22" max="22" width="16.25" style="8" customWidth="1"/>
    <col min="23" max="23" width="9" style="8"/>
    <col min="24" max="24" width="10.125" style="8" customWidth="1"/>
    <col min="25" max="25" width="1.25" style="8" customWidth="1"/>
    <col min="26" max="31" width="9" style="8"/>
    <col min="32" max="32" width="1.25" style="8" customWidth="1"/>
    <col min="33" max="33" width="1.25" style="33" customWidth="1"/>
    <col min="34" max="34" width="1.25" style="8" customWidth="1"/>
    <col min="35" max="35" width="12.625" style="8" customWidth="1"/>
    <col min="36" max="36" width="7.625" style="8" bestFit="1" customWidth="1"/>
    <col min="37" max="37" width="12.25" style="8" bestFit="1" customWidth="1"/>
    <col min="38" max="38" width="10.625" style="8" bestFit="1" customWidth="1"/>
    <col min="39" max="39" width="15.875" style="8" customWidth="1"/>
    <col min="40" max="40" width="7.625" style="8" bestFit="1" customWidth="1"/>
    <col min="41" max="41" width="17.75" style="8" customWidth="1"/>
    <col min="42" max="42" width="12.75" style="8" bestFit="1" customWidth="1"/>
    <col min="43" max="45" width="7.625" style="8" bestFit="1" customWidth="1"/>
    <col min="46" max="46" width="1.25" style="8" customWidth="1"/>
    <col min="47" max="47" width="1.25" style="33" customWidth="1"/>
    <col min="48" max="48" width="1.25" style="8" customWidth="1"/>
    <col min="49" max="16384" width="9" style="8"/>
  </cols>
  <sheetData>
    <row r="1" spans="1:51" ht="23.25" x14ac:dyDescent="0.15">
      <c r="A1" s="186" t="s">
        <v>311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O1" s="186" t="s">
        <v>332</v>
      </c>
      <c r="P1" s="186"/>
      <c r="Q1" s="186"/>
      <c r="U1" s="186" t="s">
        <v>378</v>
      </c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I1" s="186" t="s">
        <v>415</v>
      </c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W1" s="186" t="s">
        <v>331</v>
      </c>
      <c r="AX1" s="186"/>
      <c r="AY1" s="186"/>
    </row>
    <row r="2" spans="1:51" x14ac:dyDescent="0.15">
      <c r="O2" s="9"/>
      <c r="P2" s="9"/>
      <c r="Q2" s="9"/>
      <c r="R2" s="9"/>
    </row>
    <row r="3" spans="1:51" x14ac:dyDescent="0.15">
      <c r="A3" s="11" t="s">
        <v>281</v>
      </c>
      <c r="B3" s="12"/>
      <c r="C3" s="12"/>
      <c r="D3" s="12"/>
      <c r="E3" s="12"/>
      <c r="F3" s="13"/>
      <c r="G3" s="9"/>
      <c r="H3" s="11" t="s">
        <v>322</v>
      </c>
      <c r="I3" s="12"/>
      <c r="J3" s="12"/>
      <c r="K3" s="13"/>
      <c r="O3" s="11" t="s">
        <v>528</v>
      </c>
      <c r="P3" s="12"/>
      <c r="Q3" s="13"/>
      <c r="R3" s="9"/>
      <c r="U3" s="11" t="s">
        <v>343</v>
      </c>
      <c r="V3" s="12"/>
      <c r="W3" s="12"/>
      <c r="X3" s="13"/>
      <c r="Z3" s="11" t="s">
        <v>373</v>
      </c>
      <c r="AA3" s="12"/>
      <c r="AB3" s="12"/>
      <c r="AC3" s="13"/>
      <c r="AI3" s="11" t="s">
        <v>380</v>
      </c>
      <c r="AJ3" s="12"/>
      <c r="AK3" s="12"/>
      <c r="AL3" s="12"/>
      <c r="AM3" s="12"/>
      <c r="AN3" s="12"/>
      <c r="AO3" s="12"/>
      <c r="AP3" s="12"/>
      <c r="AQ3" s="12"/>
      <c r="AR3" s="12"/>
      <c r="AS3" s="13"/>
      <c r="AW3" s="8" t="s">
        <v>416</v>
      </c>
    </row>
    <row r="4" spans="1:51" x14ac:dyDescent="0.15">
      <c r="A4" s="14" t="s">
        <v>282</v>
      </c>
      <c r="B4" s="9"/>
      <c r="C4" s="9"/>
      <c r="D4" s="9"/>
      <c r="E4" s="9"/>
      <c r="F4" s="15"/>
      <c r="G4" s="9"/>
      <c r="H4" s="14" t="s">
        <v>323</v>
      </c>
      <c r="I4" s="9"/>
      <c r="J4" s="9"/>
      <c r="K4" s="15"/>
      <c r="O4" s="14" t="s">
        <v>312</v>
      </c>
      <c r="P4" s="9"/>
      <c r="Q4" s="15"/>
      <c r="R4" s="9"/>
      <c r="U4" s="14"/>
      <c r="V4" s="9"/>
      <c r="W4" s="9">
        <v>2012</v>
      </c>
      <c r="X4" s="15">
        <v>2011</v>
      </c>
      <c r="Z4" s="14"/>
      <c r="AA4" s="9"/>
      <c r="AB4" s="9"/>
      <c r="AC4" s="15"/>
      <c r="AI4" s="14"/>
      <c r="AJ4" s="9"/>
      <c r="AK4" s="9"/>
      <c r="AL4" s="9"/>
      <c r="AM4" s="9"/>
      <c r="AN4" s="9"/>
      <c r="AO4" s="9"/>
      <c r="AP4" s="9"/>
      <c r="AQ4" s="9"/>
      <c r="AR4" s="9"/>
      <c r="AS4" s="15"/>
      <c r="AW4"/>
    </row>
    <row r="5" spans="1:51" x14ac:dyDescent="0.15">
      <c r="A5" s="14"/>
      <c r="B5" s="9"/>
      <c r="C5" s="9"/>
      <c r="D5" s="9"/>
      <c r="E5" s="9"/>
      <c r="F5" s="15"/>
      <c r="G5" s="9"/>
      <c r="H5" s="39"/>
      <c r="I5" s="9"/>
      <c r="J5" s="9"/>
      <c r="K5" s="15"/>
      <c r="O5" s="34"/>
      <c r="P5" s="9"/>
      <c r="Q5" s="15"/>
      <c r="R5" s="9"/>
      <c r="U5" s="14" t="s">
        <v>333</v>
      </c>
      <c r="V5" s="9"/>
      <c r="W5" s="55">
        <f>'Balance Sheet'!R4</f>
        <v>427</v>
      </c>
      <c r="X5" s="15">
        <f>'Balance Sheet'!Q4</f>
        <v>443.4</v>
      </c>
      <c r="Z5" s="14"/>
      <c r="AA5" s="9"/>
      <c r="AB5" s="9"/>
      <c r="AC5" s="15">
        <v>2012</v>
      </c>
      <c r="AI5" s="14"/>
      <c r="AJ5" s="9">
        <v>2003</v>
      </c>
      <c r="AK5" s="9">
        <v>2004</v>
      </c>
      <c r="AL5" s="9">
        <v>2005</v>
      </c>
      <c r="AM5" s="9">
        <v>2006</v>
      </c>
      <c r="AN5" s="9">
        <v>2007</v>
      </c>
      <c r="AO5" s="9">
        <v>2008</v>
      </c>
      <c r="AP5" s="9">
        <v>2009</v>
      </c>
      <c r="AQ5" s="9">
        <v>2010</v>
      </c>
      <c r="AR5" s="9">
        <v>2011</v>
      </c>
      <c r="AS5" s="15">
        <v>2012</v>
      </c>
    </row>
    <row r="6" spans="1:51" x14ac:dyDescent="0.15">
      <c r="A6" s="14" t="s">
        <v>289</v>
      </c>
      <c r="B6" s="16">
        <f>INTERCEPT(E12:E71,F12:F71)</f>
        <v>-6.6796296393226012E-3</v>
      </c>
      <c r="C6" s="9"/>
      <c r="D6" s="9"/>
      <c r="E6" s="9"/>
      <c r="F6" s="15"/>
      <c r="G6" s="9"/>
      <c r="H6" s="14"/>
      <c r="I6" s="9"/>
      <c r="J6" s="9"/>
      <c r="K6" s="15"/>
      <c r="O6" s="34"/>
      <c r="P6" s="9"/>
      <c r="Q6" s="15"/>
      <c r="R6" s="9"/>
      <c r="U6" s="14"/>
      <c r="V6" s="9"/>
      <c r="W6" s="9"/>
      <c r="X6" s="15"/>
      <c r="Z6" s="14" t="s">
        <v>379</v>
      </c>
      <c r="AA6" s="9"/>
      <c r="AB6" s="9"/>
      <c r="AC6" s="71" t="s">
        <v>366</v>
      </c>
      <c r="AI6" s="14" t="s">
        <v>381</v>
      </c>
      <c r="AJ6" s="49">
        <f>'Balance Sheet'!I55</f>
        <v>4309.2</v>
      </c>
      <c r="AK6" s="49">
        <f>'Balance Sheet'!J55</f>
        <v>4205.8</v>
      </c>
      <c r="AL6" s="49">
        <f>'Balance Sheet'!K55</f>
        <v>4799.7</v>
      </c>
      <c r="AM6" s="49">
        <f>'Balance Sheet'!L55</f>
        <v>5119.5</v>
      </c>
      <c r="AN6" s="49">
        <f>'Balance Sheet'!M55</f>
        <v>5307.8</v>
      </c>
      <c r="AO6" s="49">
        <f>'Balance Sheet'!N55</f>
        <v>5274</v>
      </c>
      <c r="AP6" s="49">
        <f>'Balance Sheet'!O55</f>
        <v>5063.1000000000004</v>
      </c>
      <c r="AQ6" s="49">
        <f>'Balance Sheet'!P55</f>
        <v>6364</v>
      </c>
      <c r="AR6" s="49">
        <f>'Balance Sheet'!Q55</f>
        <v>8177.7</v>
      </c>
      <c r="AS6" s="56">
        <f>'Balance Sheet'!R55</f>
        <v>7373</v>
      </c>
    </row>
    <row r="7" spans="1:51" x14ac:dyDescent="0.15">
      <c r="A7" s="14" t="s">
        <v>290</v>
      </c>
      <c r="B7" s="17">
        <f>SLOPE(E12:E71,F12:F71)</f>
        <v>0.68097785285459422</v>
      </c>
      <c r="C7" s="9"/>
      <c r="D7" s="9"/>
      <c r="E7" s="9"/>
      <c r="F7" s="15"/>
      <c r="G7" s="9"/>
      <c r="H7" s="14"/>
      <c r="I7" s="9"/>
      <c r="J7" s="9"/>
      <c r="K7" s="15"/>
      <c r="O7" s="14"/>
      <c r="P7" s="9"/>
      <c r="Q7" s="15"/>
      <c r="R7" s="9"/>
      <c r="U7" s="14" t="s">
        <v>334</v>
      </c>
      <c r="V7" s="9"/>
      <c r="W7" s="9">
        <f>'Balance Sheet'!R41</f>
        <v>451</v>
      </c>
      <c r="X7" s="15">
        <f>'Balance Sheet'!Q41</f>
        <v>0.6</v>
      </c>
      <c r="Z7" s="14" t="s">
        <v>374</v>
      </c>
      <c r="AA7" s="9"/>
      <c r="AB7" s="9"/>
      <c r="AC7" s="24">
        <v>3.4000000000000002E-2</v>
      </c>
      <c r="AI7" s="14" t="s">
        <v>382</v>
      </c>
      <c r="AJ7" s="49">
        <f>'Balance Sheet'!I66</f>
        <v>2495.1</v>
      </c>
      <c r="AK7" s="49">
        <f>'Balance Sheet'!J66</f>
        <v>2492</v>
      </c>
      <c r="AL7" s="49">
        <f>'Balance Sheet'!K66</f>
        <v>2053.1</v>
      </c>
      <c r="AM7" s="49">
        <f>'Balance Sheet'!L66</f>
        <v>1809.7</v>
      </c>
      <c r="AN7" s="49">
        <f>'Balance Sheet'!M66</f>
        <v>1994</v>
      </c>
      <c r="AO7" s="49">
        <f>'Balance Sheet'!N66</f>
        <v>2255.1999999999998</v>
      </c>
      <c r="AP7" s="49">
        <f>'Balance Sheet'!O66</f>
        <v>2498</v>
      </c>
      <c r="AQ7" s="49">
        <f>'Balance Sheet'!P66</f>
        <v>2770.5</v>
      </c>
      <c r="AR7" s="49">
        <f>'Balance Sheet'!Q66</f>
        <v>3216.9</v>
      </c>
      <c r="AS7" s="56">
        <f>'Balance Sheet'!R66</f>
        <v>3754</v>
      </c>
      <c r="AW7" s="8" t="s">
        <v>417</v>
      </c>
      <c r="AY7" s="38">
        <v>6.7699999999999996E-2</v>
      </c>
    </row>
    <row r="8" spans="1:51" x14ac:dyDescent="0.15">
      <c r="A8" s="14" t="s">
        <v>291</v>
      </c>
      <c r="B8" s="18">
        <f>RSQ(E12:E71,F12:F71)</f>
        <v>0.40274222912409091</v>
      </c>
      <c r="C8" s="9"/>
      <c r="D8" s="9"/>
      <c r="E8" s="9"/>
      <c r="F8" s="15"/>
      <c r="G8" s="9"/>
      <c r="H8" s="14"/>
      <c r="I8" s="9"/>
      <c r="J8" s="9"/>
      <c r="K8" s="15"/>
      <c r="O8" s="14" t="s">
        <v>313</v>
      </c>
      <c r="P8" s="9"/>
      <c r="Q8" s="15"/>
      <c r="R8" s="9"/>
      <c r="U8" s="14" t="s">
        <v>335</v>
      </c>
      <c r="V8" s="9"/>
      <c r="W8" s="9">
        <f>'Balance Sheet'!R44</f>
        <v>157</v>
      </c>
      <c r="X8" s="15">
        <f>'Balance Sheet'!Q44</f>
        <v>154.6</v>
      </c>
      <c r="Z8" s="14" t="s">
        <v>375</v>
      </c>
      <c r="AA8" s="9"/>
      <c r="AB8" s="9"/>
      <c r="AC8" s="24">
        <v>3.8399999999999997E-2</v>
      </c>
      <c r="AI8" s="14" t="s">
        <v>383</v>
      </c>
      <c r="AJ8" s="17">
        <f>AJ6/AJ7</f>
        <v>1.7270650474930864</v>
      </c>
      <c r="AK8" s="17">
        <f t="shared" ref="AK8:AS8" si="0">AK6/AK7</f>
        <v>1.6877207062600321</v>
      </c>
      <c r="AL8" s="17">
        <f t="shared" si="0"/>
        <v>2.3377818907992793</v>
      </c>
      <c r="AM8" s="17">
        <f t="shared" si="0"/>
        <v>2.8289219207603469</v>
      </c>
      <c r="AN8" s="17">
        <f t="shared" si="0"/>
        <v>2.6618856569709126</v>
      </c>
      <c r="AO8" s="17">
        <f t="shared" si="0"/>
        <v>2.3385952465413271</v>
      </c>
      <c r="AP8" s="17">
        <f t="shared" si="0"/>
        <v>2.0268614891913534</v>
      </c>
      <c r="AQ8" s="17">
        <f t="shared" si="0"/>
        <v>2.2970582927269447</v>
      </c>
      <c r="AR8" s="17">
        <f t="shared" si="0"/>
        <v>2.5421057539867573</v>
      </c>
      <c r="AS8" s="74">
        <f t="shared" si="0"/>
        <v>1.9640383590836441</v>
      </c>
      <c r="AT8" s="73"/>
      <c r="AW8" s="8" t="s">
        <v>420</v>
      </c>
      <c r="AY8" s="38">
        <v>5.3400000000000003E-2</v>
      </c>
    </row>
    <row r="9" spans="1:51" x14ac:dyDescent="0.15">
      <c r="A9" s="14"/>
      <c r="B9" s="9"/>
      <c r="C9" s="9"/>
      <c r="D9" s="9"/>
      <c r="E9" s="9"/>
      <c r="F9" s="15"/>
      <c r="G9" s="9"/>
      <c r="H9" s="14" t="s">
        <v>324</v>
      </c>
      <c r="I9" s="17">
        <f>Q72/(1+(1-Q79)*1.96)</f>
        <v>0.28201725282017254</v>
      </c>
      <c r="J9" s="9"/>
      <c r="K9" s="15"/>
      <c r="O9" s="14" t="s">
        <v>314</v>
      </c>
      <c r="P9" s="9"/>
      <c r="Q9" s="15">
        <v>24.45</v>
      </c>
      <c r="R9" s="9"/>
      <c r="U9" s="14" t="s">
        <v>336</v>
      </c>
      <c r="V9" s="9"/>
      <c r="W9" s="49">
        <f>'Balance Sheet'!R48</f>
        <v>4812</v>
      </c>
      <c r="X9" s="56">
        <f>'Balance Sheet'!Q48</f>
        <v>5256</v>
      </c>
      <c r="Z9" s="14"/>
      <c r="AA9" s="9"/>
      <c r="AB9" s="9"/>
      <c r="AC9" s="15"/>
      <c r="AI9" s="14"/>
      <c r="AJ9" s="9"/>
      <c r="AK9" s="9"/>
      <c r="AL9" s="9"/>
      <c r="AM9" s="9"/>
      <c r="AN9" s="9"/>
      <c r="AO9" s="9"/>
      <c r="AP9" s="9"/>
      <c r="AQ9" s="9"/>
      <c r="AR9" s="9"/>
      <c r="AS9" s="15"/>
      <c r="AT9" s="9"/>
      <c r="AV9" s="9"/>
      <c r="AW9" s="9" t="s">
        <v>421</v>
      </c>
      <c r="AY9" s="38">
        <v>8.3199999999999996E-2</v>
      </c>
    </row>
    <row r="10" spans="1:51" x14ac:dyDescent="0.15">
      <c r="A10" s="14"/>
      <c r="B10" s="20" t="s">
        <v>283</v>
      </c>
      <c r="C10" s="20"/>
      <c r="D10" s="9"/>
      <c r="E10" s="20" t="s">
        <v>287</v>
      </c>
      <c r="F10" s="21"/>
      <c r="G10" s="20"/>
      <c r="H10" s="14"/>
      <c r="I10" s="9"/>
      <c r="J10" s="9"/>
      <c r="K10" s="15"/>
      <c r="O10" s="14" t="s">
        <v>315</v>
      </c>
      <c r="P10" s="9"/>
      <c r="Q10" s="37">
        <v>1.7</v>
      </c>
      <c r="R10" s="9"/>
      <c r="U10" s="14"/>
      <c r="V10" s="9"/>
      <c r="W10" s="9"/>
      <c r="X10" s="15"/>
      <c r="Z10" s="52" t="s">
        <v>376</v>
      </c>
      <c r="AA10" s="53"/>
      <c r="AB10" s="53"/>
      <c r="AC10" s="72">
        <f>AC7+AC8</f>
        <v>7.2399999999999992E-2</v>
      </c>
      <c r="AI10" s="14" t="s">
        <v>384</v>
      </c>
      <c r="AJ10" s="9">
        <v>2</v>
      </c>
      <c r="AK10" s="9"/>
      <c r="AL10" s="9"/>
      <c r="AM10" s="9"/>
      <c r="AN10" s="9"/>
      <c r="AO10" s="9"/>
      <c r="AP10" s="9"/>
      <c r="AQ10" s="9"/>
      <c r="AR10" s="9"/>
      <c r="AS10" s="15"/>
      <c r="AT10" s="9"/>
      <c r="AV10" s="9"/>
      <c r="AW10" s="9"/>
    </row>
    <row r="11" spans="1:51" x14ac:dyDescent="0.15">
      <c r="A11" s="19" t="s">
        <v>284</v>
      </c>
      <c r="B11" s="20" t="s">
        <v>285</v>
      </c>
      <c r="C11" s="20" t="s">
        <v>286</v>
      </c>
      <c r="D11" s="9"/>
      <c r="E11" s="20" t="s">
        <v>285</v>
      </c>
      <c r="F11" s="21" t="s">
        <v>288</v>
      </c>
      <c r="G11" s="20"/>
      <c r="H11" s="14" t="s">
        <v>325</v>
      </c>
      <c r="I11" s="9"/>
      <c r="J11" s="9"/>
      <c r="K11" s="15"/>
      <c r="O11" s="14" t="s">
        <v>316</v>
      </c>
      <c r="P11" s="9"/>
      <c r="Q11" s="35">
        <v>0.02</v>
      </c>
      <c r="U11" s="14" t="s">
        <v>337</v>
      </c>
      <c r="V11" s="9"/>
      <c r="W11" s="9">
        <f>'Income Statement'!R28</f>
        <v>330</v>
      </c>
      <c r="X11" s="15">
        <f>'Income Statement'!Q28</f>
        <v>335.1</v>
      </c>
      <c r="AI11" s="27" t="s">
        <v>385</v>
      </c>
      <c r="AJ11" s="45">
        <f>STDEV(AJ8:AS8)</f>
        <v>0.38417378095110538</v>
      </c>
      <c r="AK11" s="10"/>
      <c r="AL11" s="10"/>
      <c r="AM11" s="10"/>
      <c r="AN11" s="10"/>
      <c r="AO11" s="10"/>
      <c r="AP11" s="10"/>
      <c r="AQ11" s="10"/>
      <c r="AR11" s="10"/>
      <c r="AS11" s="28"/>
      <c r="AT11" s="9"/>
      <c r="AV11" s="9"/>
      <c r="AW11" s="9"/>
    </row>
    <row r="12" spans="1:51" x14ac:dyDescent="0.15">
      <c r="A12" s="22">
        <v>41246</v>
      </c>
      <c r="B12" s="9">
        <v>22.74</v>
      </c>
      <c r="C12" s="9">
        <v>12433.53</v>
      </c>
      <c r="D12" s="9"/>
      <c r="E12" s="23">
        <v>-1.2999999999999999E-2</v>
      </c>
      <c r="F12" s="24">
        <v>-1.0999999999999999E-2</v>
      </c>
      <c r="G12" s="23"/>
      <c r="H12" s="14" t="s">
        <v>326</v>
      </c>
      <c r="I12" s="20" t="s">
        <v>327</v>
      </c>
      <c r="J12" s="20" t="s">
        <v>328</v>
      </c>
      <c r="K12" s="15"/>
      <c r="O12" s="27" t="s">
        <v>317</v>
      </c>
      <c r="P12" s="10"/>
      <c r="Q12" s="36">
        <f>Q10*(1+Q11)/Q9+Q11</f>
        <v>9.0920245398773011E-2</v>
      </c>
      <c r="U12" s="14"/>
      <c r="V12" s="9"/>
      <c r="W12" s="9"/>
      <c r="X12" s="15"/>
      <c r="AT12" s="9"/>
      <c r="AV12" s="9"/>
      <c r="AW12" s="9"/>
    </row>
    <row r="13" spans="1:51" x14ac:dyDescent="0.15">
      <c r="A13" s="22">
        <v>41214</v>
      </c>
      <c r="B13" s="9">
        <v>21.67</v>
      </c>
      <c r="C13" s="9">
        <v>12239.36</v>
      </c>
      <c r="D13" s="9"/>
      <c r="E13" s="25">
        <f t="shared" ref="E13:E44" si="1">LN(B13/B12)</f>
        <v>-4.8196672774122123E-2</v>
      </c>
      <c r="F13" s="24">
        <v>-2.3E-2</v>
      </c>
      <c r="G13" s="23"/>
      <c r="H13" s="40">
        <v>0</v>
      </c>
      <c r="I13" s="41">
        <v>0</v>
      </c>
      <c r="J13" s="17">
        <f>I9</f>
        <v>0.28201725282017254</v>
      </c>
      <c r="K13" s="15"/>
      <c r="O13" s="9"/>
      <c r="P13" s="9"/>
      <c r="Q13" s="9"/>
      <c r="U13" s="14" t="s">
        <v>338</v>
      </c>
      <c r="V13" s="9"/>
      <c r="W13" s="50">
        <f>SUM(W7:W9)-W5</f>
        <v>4993</v>
      </c>
      <c r="X13" s="51">
        <f>SUM(X7:X9)-X5</f>
        <v>4967.8</v>
      </c>
      <c r="AI13" s="11" t="s">
        <v>386</v>
      </c>
      <c r="AJ13" s="12"/>
      <c r="AK13" s="12"/>
      <c r="AL13" s="12"/>
      <c r="AM13" s="12"/>
      <c r="AN13" s="12"/>
      <c r="AO13" s="12"/>
      <c r="AP13" s="12"/>
      <c r="AQ13" s="12"/>
      <c r="AR13" s="13"/>
      <c r="AS13" s="9"/>
      <c r="AT13" s="9"/>
      <c r="AV13" s="9"/>
      <c r="AW13" s="9"/>
    </row>
    <row r="14" spans="1:51" x14ac:dyDescent="0.15">
      <c r="A14" s="22">
        <v>41183</v>
      </c>
      <c r="B14" s="9">
        <v>21.45</v>
      </c>
      <c r="C14" s="9">
        <v>12422.91</v>
      </c>
      <c r="D14" s="9"/>
      <c r="E14" s="25">
        <f t="shared" si="1"/>
        <v>-1.0204170174241847E-2</v>
      </c>
      <c r="F14" s="26">
        <f t="shared" ref="F14:F45" si="2">LN(C13/C12)</f>
        <v>-1.5739867415494345E-2</v>
      </c>
      <c r="G14" s="25"/>
      <c r="H14" s="40">
        <v>0.1</v>
      </c>
      <c r="I14" s="23">
        <f>H14/(1-H14)</f>
        <v>0.11111111111111112</v>
      </c>
      <c r="J14" s="17">
        <f t="shared" ref="J14:J45" si="3">$J$13*(1+(1-$Q$79)*(I14))</f>
        <v>0.30457863304578636</v>
      </c>
      <c r="K14" s="15"/>
      <c r="O14" s="11" t="s">
        <v>455</v>
      </c>
      <c r="P14" s="12"/>
      <c r="Q14" s="13"/>
      <c r="U14" s="52" t="s">
        <v>377</v>
      </c>
      <c r="V14" s="53"/>
      <c r="W14" s="54">
        <f>W11/AVERAGE(W13:X13)</f>
        <v>6.625973817364067E-2</v>
      </c>
      <c r="X14" s="28"/>
      <c r="AI14" s="14"/>
      <c r="AJ14" s="9"/>
      <c r="AK14" s="9"/>
      <c r="AL14" s="9"/>
      <c r="AM14" s="9"/>
      <c r="AN14" s="9"/>
      <c r="AO14" s="9"/>
      <c r="AP14" s="9"/>
      <c r="AQ14" s="9"/>
      <c r="AR14" s="15"/>
      <c r="AS14" s="9"/>
      <c r="AT14" s="9"/>
      <c r="AV14" s="9"/>
      <c r="AW14" s="9"/>
    </row>
    <row r="15" spans="1:51" x14ac:dyDescent="0.15">
      <c r="A15" s="22">
        <v>41156</v>
      </c>
      <c r="B15" s="9">
        <v>20.059999999999999</v>
      </c>
      <c r="C15" s="9">
        <v>12317.46</v>
      </c>
      <c r="D15" s="9"/>
      <c r="E15" s="25">
        <f t="shared" si="1"/>
        <v>-6.6996862840236482E-2</v>
      </c>
      <c r="F15" s="26">
        <f t="shared" si="2"/>
        <v>1.4885360442958167E-2</v>
      </c>
      <c r="G15" s="25"/>
      <c r="H15" s="40">
        <v>0.2</v>
      </c>
      <c r="I15" s="23">
        <f t="shared" ref="I15:I77" si="4">H15/(1-H15)</f>
        <v>0.25</v>
      </c>
      <c r="J15" s="17">
        <f t="shared" si="3"/>
        <v>0.33278035832780356</v>
      </c>
      <c r="K15" s="15"/>
      <c r="O15" s="14"/>
      <c r="P15" s="9"/>
      <c r="Q15" s="15"/>
      <c r="AI15" s="14" t="s">
        <v>387</v>
      </c>
      <c r="AJ15" s="9"/>
      <c r="AK15" s="9"/>
      <c r="AL15" s="9"/>
      <c r="AM15" s="9"/>
      <c r="AN15" s="9"/>
      <c r="AO15" s="9"/>
      <c r="AP15" s="9"/>
      <c r="AQ15" s="9"/>
      <c r="AR15" s="15"/>
      <c r="AS15" s="9"/>
      <c r="AT15" s="9"/>
      <c r="AV15" s="9"/>
      <c r="AW15" s="9"/>
    </row>
    <row r="16" spans="1:51" ht="15" hidden="1" customHeight="1" x14ac:dyDescent="0.15">
      <c r="A16" s="22">
        <v>41122</v>
      </c>
      <c r="B16" s="9">
        <v>19.940000000000001</v>
      </c>
      <c r="C16" s="9">
        <v>11949.26</v>
      </c>
      <c r="D16" s="9"/>
      <c r="E16" s="25">
        <f t="shared" si="1"/>
        <v>-6.0000180000970337E-3</v>
      </c>
      <c r="F16" s="26">
        <f t="shared" si="2"/>
        <v>-8.5245805599058998E-3</v>
      </c>
      <c r="G16" s="25"/>
      <c r="H16" s="40">
        <v>0.2</v>
      </c>
      <c r="I16" s="23">
        <f t="shared" si="4"/>
        <v>0.25</v>
      </c>
      <c r="J16" s="17">
        <f t="shared" si="3"/>
        <v>0.33278035832780356</v>
      </c>
      <c r="K16" s="15"/>
      <c r="O16" s="14"/>
      <c r="P16" s="9"/>
      <c r="Q16" s="15"/>
      <c r="U16" s="14" t="s">
        <v>339</v>
      </c>
      <c r="V16" s="9"/>
      <c r="W16" s="9">
        <v>4328</v>
      </c>
      <c r="X16" s="15">
        <v>4424</v>
      </c>
      <c r="AI16" s="14"/>
      <c r="AJ16" s="9"/>
      <c r="AK16" s="9"/>
      <c r="AL16" s="9"/>
      <c r="AM16" s="9"/>
      <c r="AN16" s="9"/>
      <c r="AO16" s="9"/>
      <c r="AP16" s="9"/>
      <c r="AQ16" s="9"/>
      <c r="AR16" s="15"/>
      <c r="AS16" s="9"/>
      <c r="AT16" s="9"/>
      <c r="AV16" s="9"/>
      <c r="AW16" s="9"/>
    </row>
    <row r="17" spans="1:49" ht="15" hidden="1" customHeight="1" x14ac:dyDescent="0.15">
      <c r="A17" s="22">
        <v>41092</v>
      </c>
      <c r="B17" s="9">
        <v>18.95</v>
      </c>
      <c r="C17" s="9">
        <v>11664.71</v>
      </c>
      <c r="D17" s="9"/>
      <c r="E17" s="25">
        <f t="shared" si="1"/>
        <v>-5.092383300525704E-2</v>
      </c>
      <c r="F17" s="26">
        <f t="shared" si="2"/>
        <v>-3.0348416244575099E-2</v>
      </c>
      <c r="G17" s="25"/>
      <c r="H17" s="40">
        <v>0.2</v>
      </c>
      <c r="I17" s="23">
        <f t="shared" si="4"/>
        <v>0.25</v>
      </c>
      <c r="J17" s="17">
        <f t="shared" si="3"/>
        <v>0.33278035832780356</v>
      </c>
      <c r="K17" s="15"/>
      <c r="O17" s="14"/>
      <c r="P17" s="9"/>
      <c r="Q17" s="15"/>
      <c r="U17" s="14" t="s">
        <v>340</v>
      </c>
      <c r="V17" s="9"/>
      <c r="W17" s="9"/>
      <c r="X17" s="15"/>
      <c r="AI17" s="14"/>
      <c r="AJ17" s="9"/>
      <c r="AK17" s="9"/>
      <c r="AL17" s="9"/>
      <c r="AM17" s="9"/>
      <c r="AN17" s="9"/>
      <c r="AO17" s="9"/>
      <c r="AP17" s="9"/>
      <c r="AQ17" s="9"/>
      <c r="AR17" s="15"/>
      <c r="AS17" s="9"/>
      <c r="AT17" s="9"/>
      <c r="AV17" s="9"/>
      <c r="AW17" s="9"/>
    </row>
    <row r="18" spans="1:49" ht="15" hidden="1" customHeight="1" x14ac:dyDescent="0.15">
      <c r="A18" s="22">
        <v>41061</v>
      </c>
      <c r="B18" s="9">
        <v>18.28</v>
      </c>
      <c r="C18" s="9">
        <v>11513.21</v>
      </c>
      <c r="D18" s="9"/>
      <c r="E18" s="25">
        <f t="shared" si="1"/>
        <v>-3.59963655024313E-2</v>
      </c>
      <c r="F18" s="26">
        <f t="shared" si="2"/>
        <v>-2.4101307303938609E-2</v>
      </c>
      <c r="G18" s="25"/>
      <c r="H18" s="40">
        <v>0.2</v>
      </c>
      <c r="I18" s="23">
        <f t="shared" si="4"/>
        <v>0.25</v>
      </c>
      <c r="J18" s="17">
        <f t="shared" si="3"/>
        <v>0.33278035832780356</v>
      </c>
      <c r="K18" s="15"/>
      <c r="O18" s="14"/>
      <c r="P18" s="9"/>
      <c r="Q18" s="15"/>
      <c r="U18" s="14" t="s">
        <v>341</v>
      </c>
      <c r="V18" s="9"/>
      <c r="W18" s="9">
        <v>362</v>
      </c>
      <c r="X18" s="15"/>
      <c r="AI18" s="14"/>
      <c r="AJ18" s="9"/>
      <c r="AK18" s="9"/>
      <c r="AL18" s="9"/>
      <c r="AM18" s="9"/>
      <c r="AN18" s="9"/>
      <c r="AO18" s="9"/>
      <c r="AP18" s="9"/>
      <c r="AQ18" s="9"/>
      <c r="AR18" s="15"/>
      <c r="AS18" s="9"/>
      <c r="AT18" s="9"/>
      <c r="AV18" s="9"/>
      <c r="AW18" s="9"/>
    </row>
    <row r="19" spans="1:49" ht="15" hidden="1" customHeight="1" x14ac:dyDescent="0.15">
      <c r="A19" s="22">
        <v>41030</v>
      </c>
      <c r="B19" s="9">
        <v>18.36</v>
      </c>
      <c r="C19" s="9">
        <v>12292.69</v>
      </c>
      <c r="D19" s="9"/>
      <c r="E19" s="25">
        <f t="shared" si="1"/>
        <v>4.3668191663403895E-3</v>
      </c>
      <c r="F19" s="26">
        <f t="shared" si="2"/>
        <v>-1.3072972694648093E-2</v>
      </c>
      <c r="G19" s="25"/>
      <c r="H19" s="40">
        <v>0.2</v>
      </c>
      <c r="I19" s="23">
        <f t="shared" si="4"/>
        <v>0.25</v>
      </c>
      <c r="J19" s="17">
        <f t="shared" si="3"/>
        <v>0.33278035832780356</v>
      </c>
      <c r="K19" s="15"/>
      <c r="O19" s="14"/>
      <c r="P19" s="9"/>
      <c r="Q19" s="15"/>
      <c r="U19" s="14"/>
      <c r="V19" s="9"/>
      <c r="W19" s="9"/>
      <c r="X19" s="15"/>
      <c r="AI19" s="14"/>
      <c r="AJ19" s="9"/>
      <c r="AK19" s="9"/>
      <c r="AL19" s="9"/>
      <c r="AM19" s="9"/>
      <c r="AN19" s="9"/>
      <c r="AO19" s="9"/>
      <c r="AP19" s="9"/>
      <c r="AQ19" s="9"/>
      <c r="AR19" s="15"/>
      <c r="AS19" s="9"/>
      <c r="AT19" s="9"/>
      <c r="AV19" s="9"/>
      <c r="AW19" s="9"/>
    </row>
    <row r="20" spans="1:49" ht="15" hidden="1" customHeight="1" x14ac:dyDescent="0.15">
      <c r="A20" s="22">
        <v>41001</v>
      </c>
      <c r="B20" s="9">
        <v>19.760000000000002</v>
      </c>
      <c r="C20" s="9">
        <v>12392.18</v>
      </c>
      <c r="D20" s="9"/>
      <c r="E20" s="25">
        <f t="shared" si="1"/>
        <v>7.3485307127377372E-2</v>
      </c>
      <c r="F20" s="26">
        <f t="shared" si="2"/>
        <v>6.5509704988392731E-2</v>
      </c>
      <c r="G20" s="25"/>
      <c r="H20" s="40">
        <v>0.2</v>
      </c>
      <c r="I20" s="23">
        <f t="shared" si="4"/>
        <v>0.25</v>
      </c>
      <c r="J20" s="17">
        <f t="shared" si="3"/>
        <v>0.33278035832780356</v>
      </c>
      <c r="K20" s="15"/>
      <c r="O20" s="14"/>
      <c r="P20" s="9"/>
      <c r="Q20" s="15"/>
      <c r="U20" s="52" t="s">
        <v>342</v>
      </c>
      <c r="V20" s="53"/>
      <c r="W20" s="54">
        <f>W18/AVERAGE(W16:X16)</f>
        <v>8.2723948811700185E-2</v>
      </c>
      <c r="X20" s="28"/>
      <c r="AI20" s="14"/>
      <c r="AJ20" s="9"/>
      <c r="AK20" s="9"/>
      <c r="AL20" s="9"/>
      <c r="AM20" s="9"/>
      <c r="AN20" s="9"/>
      <c r="AO20" s="9"/>
      <c r="AP20" s="9"/>
      <c r="AQ20" s="9"/>
      <c r="AR20" s="15"/>
      <c r="AS20" s="9"/>
      <c r="AT20" s="9"/>
      <c r="AV20" s="9"/>
      <c r="AW20" s="9"/>
    </row>
    <row r="21" spans="1:49" ht="15" hidden="1" customHeight="1" x14ac:dyDescent="0.15">
      <c r="A21" s="22">
        <v>40969</v>
      </c>
      <c r="B21" s="9">
        <v>20.190000000000001</v>
      </c>
      <c r="C21" s="9">
        <v>12644.01</v>
      </c>
      <c r="D21" s="9"/>
      <c r="E21" s="25">
        <f t="shared" si="1"/>
        <v>2.1527740005024342E-2</v>
      </c>
      <c r="F21" s="26">
        <f t="shared" si="2"/>
        <v>8.0608517456755447E-3</v>
      </c>
      <c r="G21" s="25"/>
      <c r="H21" s="40">
        <v>0.2</v>
      </c>
      <c r="I21" s="23">
        <f t="shared" si="4"/>
        <v>0.25</v>
      </c>
      <c r="J21" s="17">
        <f t="shared" si="3"/>
        <v>0.33278035832780356</v>
      </c>
      <c r="K21" s="15"/>
      <c r="O21" s="14"/>
      <c r="P21" s="9"/>
      <c r="Q21" s="15"/>
      <c r="AI21" s="14"/>
      <c r="AJ21" s="9"/>
      <c r="AK21" s="9"/>
      <c r="AL21" s="9"/>
      <c r="AM21" s="9"/>
      <c r="AN21" s="9"/>
      <c r="AO21" s="9"/>
      <c r="AP21" s="9"/>
      <c r="AQ21" s="9"/>
      <c r="AR21" s="15"/>
      <c r="AS21" s="9"/>
      <c r="AT21" s="9"/>
      <c r="AV21" s="9"/>
      <c r="AW21" s="9"/>
    </row>
    <row r="22" spans="1:49" ht="15" hidden="1" customHeight="1" x14ac:dyDescent="0.15">
      <c r="A22" s="22">
        <v>40940</v>
      </c>
      <c r="B22" s="9">
        <v>19.48</v>
      </c>
      <c r="C22" s="9">
        <v>12452.15</v>
      </c>
      <c r="D22" s="9"/>
      <c r="E22" s="25">
        <f t="shared" si="1"/>
        <v>-3.5799134110357074E-2</v>
      </c>
      <c r="F22" s="26">
        <f t="shared" si="2"/>
        <v>2.0117956732621414E-2</v>
      </c>
      <c r="G22" s="25"/>
      <c r="H22" s="40">
        <v>0.2</v>
      </c>
      <c r="I22" s="23">
        <f t="shared" si="4"/>
        <v>0.25</v>
      </c>
      <c r="J22" s="17">
        <f t="shared" si="3"/>
        <v>0.33278035832780356</v>
      </c>
      <c r="K22" s="28"/>
      <c r="O22" s="14"/>
      <c r="P22" s="9"/>
      <c r="Q22" s="15"/>
      <c r="AI22" s="14"/>
      <c r="AJ22" s="9"/>
      <c r="AK22" s="9"/>
      <c r="AL22" s="9"/>
      <c r="AM22" s="9"/>
      <c r="AN22" s="9"/>
      <c r="AO22" s="9"/>
      <c r="AP22" s="9"/>
      <c r="AQ22" s="9"/>
      <c r="AR22" s="15"/>
      <c r="AS22" s="9"/>
      <c r="AT22" s="9"/>
      <c r="AV22" s="9"/>
      <c r="AW22" s="9"/>
    </row>
    <row r="23" spans="1:49" ht="15" hidden="1" customHeight="1" x14ac:dyDescent="0.15">
      <c r="A23" s="22">
        <v>40911</v>
      </c>
      <c r="B23" s="9">
        <v>18.78</v>
      </c>
      <c r="C23" s="9">
        <v>11955.09</v>
      </c>
      <c r="D23" s="9"/>
      <c r="E23" s="25">
        <f t="shared" si="1"/>
        <v>-3.6595824434272201E-2</v>
      </c>
      <c r="F23" s="26">
        <f t="shared" si="2"/>
        <v>-1.5290286477582337E-2</v>
      </c>
      <c r="G23" s="25"/>
      <c r="H23" s="40">
        <v>0.2</v>
      </c>
      <c r="I23" s="23">
        <f t="shared" si="4"/>
        <v>0.25</v>
      </c>
      <c r="J23" s="17">
        <f t="shared" si="3"/>
        <v>0.33278035832780356</v>
      </c>
      <c r="K23" s="26"/>
      <c r="O23" s="14"/>
      <c r="P23" s="9"/>
      <c r="Q23" s="15"/>
      <c r="AI23" s="14"/>
      <c r="AJ23" s="9"/>
      <c r="AK23" s="9"/>
      <c r="AL23" s="9"/>
      <c r="AM23" s="9"/>
      <c r="AN23" s="9"/>
      <c r="AO23" s="9"/>
      <c r="AP23" s="9"/>
      <c r="AQ23" s="9"/>
      <c r="AR23" s="15"/>
      <c r="AS23" s="9"/>
      <c r="AT23" s="9"/>
      <c r="AV23" s="9"/>
      <c r="AW23" s="9"/>
    </row>
    <row r="24" spans="1:49" ht="15" hidden="1" customHeight="1" x14ac:dyDescent="0.15">
      <c r="A24" s="22">
        <v>40878</v>
      </c>
      <c r="B24" s="9">
        <v>18.75</v>
      </c>
      <c r="C24" s="9">
        <v>11732.5</v>
      </c>
      <c r="D24" s="9"/>
      <c r="E24" s="25">
        <f t="shared" si="1"/>
        <v>-1.5987213636971041E-3</v>
      </c>
      <c r="F24" s="26">
        <f t="shared" si="2"/>
        <v>-4.0736169651618553E-2</v>
      </c>
      <c r="G24" s="25"/>
      <c r="H24" s="40">
        <v>0.2</v>
      </c>
      <c r="I24" s="23">
        <f t="shared" si="4"/>
        <v>0.25</v>
      </c>
      <c r="J24" s="17">
        <f t="shared" si="3"/>
        <v>0.33278035832780356</v>
      </c>
      <c r="K24" s="26"/>
      <c r="O24" s="14"/>
      <c r="P24" s="9"/>
      <c r="Q24" s="15"/>
      <c r="AI24" s="14"/>
      <c r="AJ24" s="9"/>
      <c r="AK24" s="9"/>
      <c r="AL24" s="9"/>
      <c r="AM24" s="9"/>
      <c r="AN24" s="9"/>
      <c r="AO24" s="9"/>
      <c r="AP24" s="9"/>
      <c r="AQ24" s="9"/>
      <c r="AR24" s="15"/>
      <c r="AS24" s="9"/>
      <c r="AT24" s="9"/>
      <c r="AV24" s="9"/>
      <c r="AW24" s="9"/>
    </row>
    <row r="25" spans="1:49" ht="15" hidden="1" customHeight="1" x14ac:dyDescent="0.15">
      <c r="A25" s="22">
        <v>40848</v>
      </c>
      <c r="B25" s="9">
        <v>19.39</v>
      </c>
      <c r="C25" s="9">
        <v>12252.06</v>
      </c>
      <c r="D25" s="9"/>
      <c r="E25" s="25">
        <f t="shared" si="1"/>
        <v>3.3563716838140627E-2</v>
      </c>
      <c r="F25" s="26">
        <f t="shared" si="2"/>
        <v>-1.8794360426381145E-2</v>
      </c>
      <c r="G25" s="25"/>
      <c r="H25" s="40">
        <v>0.2</v>
      </c>
      <c r="I25" s="23">
        <f t="shared" si="4"/>
        <v>0.25</v>
      </c>
      <c r="J25" s="17">
        <f t="shared" si="3"/>
        <v>0.33278035832780356</v>
      </c>
      <c r="K25" s="26"/>
      <c r="O25" s="14"/>
      <c r="P25" s="9"/>
      <c r="Q25" s="15"/>
      <c r="AI25" s="14"/>
      <c r="AJ25" s="9"/>
      <c r="AK25" s="9"/>
      <c r="AL25" s="9"/>
      <c r="AM25" s="9"/>
      <c r="AN25" s="9"/>
      <c r="AO25" s="9"/>
      <c r="AP25" s="9"/>
      <c r="AQ25" s="9"/>
      <c r="AR25" s="15"/>
      <c r="AS25" s="9"/>
      <c r="AT25" s="9"/>
      <c r="AV25" s="9"/>
      <c r="AW25" s="9"/>
    </row>
    <row r="26" spans="1:49" ht="15" hidden="1" customHeight="1" x14ac:dyDescent="0.15">
      <c r="A26" s="22">
        <v>40819</v>
      </c>
      <c r="B26" s="9">
        <v>18.98</v>
      </c>
      <c r="C26" s="9">
        <v>11623.84</v>
      </c>
      <c r="D26" s="9"/>
      <c r="E26" s="25">
        <f t="shared" si="1"/>
        <v>-2.1371676072778678E-2</v>
      </c>
      <c r="F26" s="26">
        <f t="shared" si="2"/>
        <v>4.333131743174945E-2</v>
      </c>
      <c r="G26" s="25"/>
      <c r="H26" s="40">
        <v>0.2</v>
      </c>
      <c r="I26" s="23">
        <f t="shared" si="4"/>
        <v>0.25</v>
      </c>
      <c r="J26" s="17">
        <f t="shared" si="3"/>
        <v>0.33278035832780356</v>
      </c>
      <c r="K26" s="26"/>
      <c r="O26" s="14"/>
      <c r="P26" s="9"/>
      <c r="Q26" s="15"/>
      <c r="AI26" s="14"/>
      <c r="AJ26" s="9"/>
      <c r="AK26" s="9"/>
      <c r="AL26" s="9"/>
      <c r="AM26" s="9"/>
      <c r="AN26" s="9"/>
      <c r="AO26" s="9"/>
      <c r="AP26" s="9"/>
      <c r="AQ26" s="9"/>
      <c r="AR26" s="15"/>
      <c r="AS26" s="9"/>
      <c r="AT26" s="9"/>
      <c r="AV26" s="9"/>
      <c r="AW26" s="9"/>
    </row>
    <row r="27" spans="1:49" ht="15" hidden="1" customHeight="1" x14ac:dyDescent="0.15">
      <c r="A27" s="22">
        <v>40787</v>
      </c>
      <c r="B27" s="9">
        <v>18.850000000000001</v>
      </c>
      <c r="C27" s="9">
        <v>12768.7</v>
      </c>
      <c r="D27" s="9"/>
      <c r="E27" s="25">
        <f t="shared" si="1"/>
        <v>-6.8728792877619524E-3</v>
      </c>
      <c r="F27" s="26">
        <f t="shared" si="2"/>
        <v>-5.263592456985057E-2</v>
      </c>
      <c r="G27" s="25"/>
      <c r="H27" s="40">
        <v>0.2</v>
      </c>
      <c r="I27" s="23">
        <f t="shared" si="4"/>
        <v>0.25</v>
      </c>
      <c r="J27" s="17">
        <f t="shared" si="3"/>
        <v>0.33278035832780356</v>
      </c>
      <c r="K27" s="26"/>
      <c r="O27" s="14"/>
      <c r="P27" s="9"/>
      <c r="Q27" s="15"/>
      <c r="AI27" s="14"/>
      <c r="AJ27" s="9"/>
      <c r="AK27" s="9"/>
      <c r="AL27" s="9"/>
      <c r="AM27" s="9"/>
      <c r="AN27" s="9"/>
      <c r="AO27" s="9"/>
      <c r="AP27" s="9"/>
      <c r="AQ27" s="9"/>
      <c r="AR27" s="15"/>
      <c r="AS27" s="9"/>
      <c r="AT27" s="9"/>
      <c r="AV27" s="9"/>
      <c r="AW27" s="9"/>
    </row>
    <row r="28" spans="1:49" ht="15" hidden="1" customHeight="1" x14ac:dyDescent="0.15">
      <c r="A28" s="22">
        <v>40756</v>
      </c>
      <c r="B28" s="9">
        <v>21.22</v>
      </c>
      <c r="C28" s="9">
        <v>12945.63</v>
      </c>
      <c r="D28" s="9"/>
      <c r="E28" s="25">
        <f t="shared" si="1"/>
        <v>0.11843121929181726</v>
      </c>
      <c r="F28" s="26">
        <f t="shared" si="2"/>
        <v>9.3938702217710654E-2</v>
      </c>
      <c r="G28" s="25"/>
      <c r="H28" s="40">
        <v>0.2</v>
      </c>
      <c r="I28" s="23">
        <f t="shared" si="4"/>
        <v>0.25</v>
      </c>
      <c r="J28" s="17">
        <f t="shared" si="3"/>
        <v>0.33278035832780356</v>
      </c>
      <c r="K28" s="26"/>
      <c r="O28" s="14"/>
      <c r="P28" s="9"/>
      <c r="Q28" s="15"/>
      <c r="AI28" s="14"/>
      <c r="AJ28" s="9"/>
      <c r="AK28" s="9"/>
      <c r="AL28" s="9"/>
      <c r="AM28" s="9"/>
      <c r="AN28" s="9"/>
      <c r="AO28" s="9"/>
      <c r="AP28" s="9"/>
      <c r="AQ28" s="9"/>
      <c r="AR28" s="15"/>
      <c r="AS28" s="9"/>
      <c r="AT28" s="9"/>
      <c r="AV28" s="9"/>
      <c r="AW28" s="9"/>
    </row>
    <row r="29" spans="1:49" ht="15" hidden="1" customHeight="1" x14ac:dyDescent="0.15">
      <c r="A29" s="22">
        <v>40725</v>
      </c>
      <c r="B29" s="9">
        <v>20.88</v>
      </c>
      <c r="C29" s="9">
        <v>13300.87</v>
      </c>
      <c r="D29" s="9"/>
      <c r="E29" s="25">
        <f t="shared" si="1"/>
        <v>-1.6152370171399113E-2</v>
      </c>
      <c r="F29" s="26">
        <f t="shared" si="2"/>
        <v>1.3761415692400027E-2</v>
      </c>
      <c r="G29" s="25"/>
      <c r="H29" s="40">
        <v>0.2</v>
      </c>
      <c r="I29" s="23">
        <f t="shared" si="4"/>
        <v>0.25</v>
      </c>
      <c r="J29" s="17">
        <f t="shared" si="3"/>
        <v>0.33278035832780356</v>
      </c>
      <c r="K29" s="26"/>
      <c r="O29" s="14"/>
      <c r="P29" s="9"/>
      <c r="Q29" s="15"/>
      <c r="AI29" s="14"/>
      <c r="AJ29" s="9"/>
      <c r="AK29" s="9"/>
      <c r="AL29" s="9"/>
      <c r="AM29" s="9"/>
      <c r="AN29" s="9"/>
      <c r="AO29" s="9"/>
      <c r="AP29" s="9"/>
      <c r="AQ29" s="9"/>
      <c r="AR29" s="15"/>
      <c r="AS29" s="9"/>
      <c r="AT29" s="9"/>
      <c r="AV29" s="9"/>
      <c r="AW29" s="9"/>
    </row>
    <row r="30" spans="1:49" ht="15" hidden="1" customHeight="1" x14ac:dyDescent="0.15">
      <c r="A30" s="22">
        <v>40695</v>
      </c>
      <c r="B30" s="9">
        <v>21.07</v>
      </c>
      <c r="C30" s="9">
        <v>13802.88</v>
      </c>
      <c r="D30" s="9"/>
      <c r="E30" s="25">
        <f t="shared" si="1"/>
        <v>9.0584648016597165E-3</v>
      </c>
      <c r="F30" s="26">
        <f t="shared" si="2"/>
        <v>2.7071167163725617E-2</v>
      </c>
      <c r="G30" s="25"/>
      <c r="H30" s="40">
        <v>0.2</v>
      </c>
      <c r="I30" s="23">
        <f t="shared" si="4"/>
        <v>0.25</v>
      </c>
      <c r="J30" s="17">
        <f t="shared" si="3"/>
        <v>0.33278035832780356</v>
      </c>
      <c r="K30" s="26"/>
      <c r="O30" s="14"/>
      <c r="P30" s="9"/>
      <c r="Q30" s="15"/>
      <c r="AI30" s="14"/>
      <c r="AJ30" s="9"/>
      <c r="AK30" s="9"/>
      <c r="AL30" s="9"/>
      <c r="AM30" s="9"/>
      <c r="AN30" s="9"/>
      <c r="AO30" s="9"/>
      <c r="AP30" s="9"/>
      <c r="AQ30" s="9"/>
      <c r="AR30" s="15"/>
      <c r="AS30" s="9"/>
      <c r="AT30" s="9"/>
      <c r="AV30" s="9"/>
      <c r="AW30" s="9"/>
    </row>
    <row r="31" spans="1:49" ht="15" hidden="1" customHeight="1" x14ac:dyDescent="0.15">
      <c r="A31" s="22">
        <v>40665</v>
      </c>
      <c r="B31" s="9">
        <v>19.7</v>
      </c>
      <c r="C31" s="9">
        <v>13944.79</v>
      </c>
      <c r="D31" s="9"/>
      <c r="E31" s="25">
        <f t="shared" si="1"/>
        <v>-6.7231592072154941E-2</v>
      </c>
      <c r="F31" s="26">
        <f t="shared" si="2"/>
        <v>3.7047819419253732E-2</v>
      </c>
      <c r="G31" s="25"/>
      <c r="H31" s="40">
        <v>0.2</v>
      </c>
      <c r="I31" s="23">
        <f t="shared" si="4"/>
        <v>0.25</v>
      </c>
      <c r="J31" s="17">
        <f t="shared" si="3"/>
        <v>0.33278035832780356</v>
      </c>
      <c r="K31" s="26"/>
      <c r="O31" s="14"/>
      <c r="P31" s="9"/>
      <c r="Q31" s="15"/>
      <c r="AI31" s="14"/>
      <c r="AJ31" s="9"/>
      <c r="AK31" s="9"/>
      <c r="AL31" s="9"/>
      <c r="AM31" s="9"/>
      <c r="AN31" s="9"/>
      <c r="AO31" s="9"/>
      <c r="AP31" s="9"/>
      <c r="AQ31" s="9"/>
      <c r="AR31" s="15"/>
      <c r="AS31" s="9"/>
      <c r="AT31" s="9"/>
      <c r="AV31" s="9"/>
      <c r="AW31" s="9"/>
    </row>
    <row r="32" spans="1:49" ht="15" hidden="1" customHeight="1" x14ac:dyDescent="0.15">
      <c r="A32" s="22">
        <v>40634</v>
      </c>
      <c r="B32" s="9">
        <v>19.38</v>
      </c>
      <c r="C32" s="9">
        <v>14116.1</v>
      </c>
      <c r="D32" s="9"/>
      <c r="E32" s="25">
        <f t="shared" si="1"/>
        <v>-1.6377029281322654E-2</v>
      </c>
      <c r="F32" s="26">
        <f t="shared" si="2"/>
        <v>1.0228695763647749E-2</v>
      </c>
      <c r="G32" s="25"/>
      <c r="H32" s="40">
        <v>0.2</v>
      </c>
      <c r="I32" s="23">
        <f t="shared" si="4"/>
        <v>0.25</v>
      </c>
      <c r="J32" s="17">
        <f t="shared" si="3"/>
        <v>0.33278035832780356</v>
      </c>
      <c r="K32" s="26"/>
      <c r="O32" s="14"/>
      <c r="P32" s="9"/>
      <c r="Q32" s="15"/>
      <c r="AI32" s="14"/>
      <c r="AJ32" s="9"/>
      <c r="AK32" s="9"/>
      <c r="AL32" s="9"/>
      <c r="AM32" s="9"/>
      <c r="AN32" s="9"/>
      <c r="AO32" s="9"/>
      <c r="AP32" s="9"/>
      <c r="AQ32" s="9"/>
      <c r="AR32" s="15"/>
      <c r="AS32" s="9"/>
      <c r="AT32" s="9"/>
      <c r="AV32" s="9"/>
      <c r="AW32" s="9"/>
    </row>
    <row r="33" spans="1:49" ht="15" hidden="1" customHeight="1" x14ac:dyDescent="0.15">
      <c r="A33" s="22">
        <v>40603</v>
      </c>
      <c r="B33" s="9">
        <v>19.23</v>
      </c>
      <c r="C33" s="9">
        <v>14136.5</v>
      </c>
      <c r="D33" s="9"/>
      <c r="E33" s="25">
        <f t="shared" si="1"/>
        <v>-7.7700468619317882E-3</v>
      </c>
      <c r="F33" s="26">
        <f t="shared" si="2"/>
        <v>1.2210028142677399E-2</v>
      </c>
      <c r="G33" s="25"/>
      <c r="H33" s="40">
        <v>0.2</v>
      </c>
      <c r="I33" s="23">
        <f t="shared" si="4"/>
        <v>0.25</v>
      </c>
      <c r="J33" s="17">
        <f t="shared" si="3"/>
        <v>0.33278035832780356</v>
      </c>
      <c r="K33" s="26"/>
      <c r="O33" s="14"/>
      <c r="P33" s="9"/>
      <c r="Q33" s="15"/>
      <c r="AI33" s="14"/>
      <c r="AJ33" s="9"/>
      <c r="AK33" s="9"/>
      <c r="AL33" s="9"/>
      <c r="AM33" s="9"/>
      <c r="AN33" s="9"/>
      <c r="AO33" s="9"/>
      <c r="AP33" s="9"/>
      <c r="AQ33" s="9"/>
      <c r="AR33" s="15"/>
      <c r="AS33" s="9"/>
      <c r="AT33" s="9"/>
      <c r="AV33" s="9"/>
      <c r="AW33" s="9"/>
    </row>
    <row r="34" spans="1:49" ht="15" hidden="1" customHeight="1" x14ac:dyDescent="0.15">
      <c r="A34" s="22">
        <v>40575</v>
      </c>
      <c r="B34" s="9">
        <v>19.399999999999999</v>
      </c>
      <c r="C34" s="9">
        <v>13551.99</v>
      </c>
      <c r="D34" s="9"/>
      <c r="E34" s="25">
        <f t="shared" si="1"/>
        <v>8.80150646859389E-3</v>
      </c>
      <c r="F34" s="26">
        <f t="shared" si="2"/>
        <v>1.4441151288940271E-3</v>
      </c>
      <c r="G34" s="25"/>
      <c r="H34" s="40">
        <v>0.2</v>
      </c>
      <c r="I34" s="23">
        <f t="shared" si="4"/>
        <v>0.25</v>
      </c>
      <c r="J34" s="17">
        <f t="shared" si="3"/>
        <v>0.33278035832780356</v>
      </c>
      <c r="K34" s="26"/>
      <c r="O34" s="14"/>
      <c r="P34" s="9"/>
      <c r="Q34" s="15"/>
      <c r="AI34" s="14"/>
      <c r="AJ34" s="9"/>
      <c r="AK34" s="9"/>
      <c r="AL34" s="9"/>
      <c r="AM34" s="9"/>
      <c r="AN34" s="9"/>
      <c r="AO34" s="9"/>
      <c r="AP34" s="9"/>
      <c r="AQ34" s="9"/>
      <c r="AR34" s="15"/>
      <c r="AS34" s="9"/>
      <c r="AT34" s="9"/>
      <c r="AV34" s="9"/>
      <c r="AW34" s="9"/>
    </row>
    <row r="35" spans="1:49" ht="15" hidden="1" customHeight="1" x14ac:dyDescent="0.15">
      <c r="A35" s="22">
        <v>40546</v>
      </c>
      <c r="B35" s="9">
        <v>19.13</v>
      </c>
      <c r="C35" s="9">
        <v>13443.22</v>
      </c>
      <c r="D35" s="9"/>
      <c r="E35" s="25">
        <f t="shared" si="1"/>
        <v>-1.401528261712089E-2</v>
      </c>
      <c r="F35" s="26">
        <f t="shared" si="2"/>
        <v>-4.2226705065682629E-2</v>
      </c>
      <c r="G35" s="25"/>
      <c r="H35" s="40">
        <v>0.2</v>
      </c>
      <c r="I35" s="23">
        <f t="shared" si="4"/>
        <v>0.25</v>
      </c>
      <c r="J35" s="17">
        <f t="shared" si="3"/>
        <v>0.33278035832780356</v>
      </c>
      <c r="K35" s="26"/>
      <c r="O35" s="14"/>
      <c r="P35" s="9"/>
      <c r="Q35" s="15"/>
      <c r="AI35" s="14"/>
      <c r="AJ35" s="9"/>
      <c r="AK35" s="9"/>
      <c r="AL35" s="9"/>
      <c r="AM35" s="9"/>
      <c r="AN35" s="9"/>
      <c r="AO35" s="9"/>
      <c r="AP35" s="9"/>
      <c r="AQ35" s="9"/>
      <c r="AR35" s="15"/>
      <c r="AS35" s="9"/>
      <c r="AT35" s="9"/>
      <c r="AV35" s="9"/>
      <c r="AW35" s="9"/>
    </row>
    <row r="36" spans="1:49" ht="15" hidden="1" customHeight="1" x14ac:dyDescent="0.15">
      <c r="A36" s="22">
        <v>40513</v>
      </c>
      <c r="B36" s="9">
        <v>19.3</v>
      </c>
      <c r="C36" s="9">
        <v>12952.88</v>
      </c>
      <c r="D36" s="9"/>
      <c r="E36" s="25">
        <f t="shared" si="1"/>
        <v>8.8473124586784125E-3</v>
      </c>
      <c r="F36" s="26">
        <f t="shared" si="2"/>
        <v>-8.058510278127937E-3</v>
      </c>
      <c r="G36" s="25"/>
      <c r="H36" s="40">
        <v>0.2</v>
      </c>
      <c r="I36" s="23">
        <f t="shared" si="4"/>
        <v>0.25</v>
      </c>
      <c r="J36" s="17">
        <f t="shared" si="3"/>
        <v>0.33278035832780356</v>
      </c>
      <c r="K36" s="26"/>
      <c r="O36" s="14"/>
      <c r="P36" s="9"/>
      <c r="Q36" s="15"/>
      <c r="AI36" s="14"/>
      <c r="AJ36" s="9"/>
      <c r="AK36" s="9"/>
      <c r="AL36" s="9"/>
      <c r="AM36" s="9"/>
      <c r="AN36" s="9"/>
      <c r="AO36" s="9"/>
      <c r="AP36" s="9"/>
      <c r="AQ36" s="9"/>
      <c r="AR36" s="15"/>
      <c r="AS36" s="9"/>
      <c r="AT36" s="9"/>
      <c r="AV36" s="9"/>
      <c r="AW36" s="9"/>
    </row>
    <row r="37" spans="1:49" ht="15" hidden="1" customHeight="1" x14ac:dyDescent="0.15">
      <c r="A37" s="22">
        <v>40483</v>
      </c>
      <c r="B37" s="9">
        <v>18.04</v>
      </c>
      <c r="C37" s="9">
        <v>12676.24</v>
      </c>
      <c r="D37" s="9"/>
      <c r="E37" s="25">
        <f t="shared" si="1"/>
        <v>-6.7513581276362297E-2</v>
      </c>
      <c r="F37" s="26">
        <f t="shared" si="2"/>
        <v>-3.7156732490732924E-2</v>
      </c>
      <c r="G37" s="25"/>
      <c r="H37" s="40">
        <v>0.2</v>
      </c>
      <c r="I37" s="23">
        <f t="shared" si="4"/>
        <v>0.25</v>
      </c>
      <c r="J37" s="17">
        <f t="shared" si="3"/>
        <v>0.33278035832780356</v>
      </c>
      <c r="K37" s="26"/>
      <c r="O37" s="14"/>
      <c r="P37" s="9"/>
      <c r="Q37" s="15"/>
      <c r="AI37" s="14"/>
      <c r="AJ37" s="9"/>
      <c r="AK37" s="9"/>
      <c r="AL37" s="9"/>
      <c r="AM37" s="9"/>
      <c r="AN37" s="9"/>
      <c r="AO37" s="9"/>
      <c r="AP37" s="9"/>
      <c r="AQ37" s="9"/>
      <c r="AR37" s="15"/>
      <c r="AS37" s="9"/>
      <c r="AT37" s="9"/>
      <c r="AV37" s="9"/>
      <c r="AW37" s="9"/>
    </row>
    <row r="38" spans="1:49" ht="15" hidden="1" customHeight="1" x14ac:dyDescent="0.15">
      <c r="A38" s="22">
        <v>40452</v>
      </c>
      <c r="B38" s="9">
        <v>19.170000000000002</v>
      </c>
      <c r="C38" s="9">
        <v>12368.65</v>
      </c>
      <c r="D38" s="9"/>
      <c r="E38" s="25">
        <f t="shared" si="1"/>
        <v>6.0755042423075618E-2</v>
      </c>
      <c r="F38" s="26">
        <f t="shared" si="2"/>
        <v>-2.1588782175178935E-2</v>
      </c>
      <c r="G38" s="25"/>
      <c r="H38" s="40">
        <v>0.2</v>
      </c>
      <c r="I38" s="23">
        <f t="shared" si="4"/>
        <v>0.25</v>
      </c>
      <c r="J38" s="17">
        <f t="shared" si="3"/>
        <v>0.33278035832780356</v>
      </c>
      <c r="K38" s="26"/>
      <c r="O38" s="14"/>
      <c r="P38" s="9"/>
      <c r="Q38" s="15"/>
      <c r="AI38" s="14"/>
      <c r="AJ38" s="9"/>
      <c r="AK38" s="9"/>
      <c r="AL38" s="9"/>
      <c r="AM38" s="9"/>
      <c r="AN38" s="9"/>
      <c r="AO38" s="9"/>
      <c r="AP38" s="9"/>
      <c r="AQ38" s="9"/>
      <c r="AR38" s="15"/>
      <c r="AS38" s="9"/>
      <c r="AT38" s="9"/>
      <c r="AV38" s="9"/>
      <c r="AW38" s="9"/>
    </row>
    <row r="39" spans="1:49" ht="15" hidden="1" customHeight="1" x14ac:dyDescent="0.15">
      <c r="A39" s="22">
        <v>40422</v>
      </c>
      <c r="B39" s="9">
        <v>19.670000000000002</v>
      </c>
      <c r="C39" s="9">
        <v>11913.86</v>
      </c>
      <c r="D39" s="9"/>
      <c r="E39" s="25">
        <f t="shared" si="1"/>
        <v>2.574807534341458E-2</v>
      </c>
      <c r="F39" s="26">
        <f t="shared" si="2"/>
        <v>-2.4564329622224716E-2</v>
      </c>
      <c r="G39" s="25"/>
      <c r="H39" s="40">
        <v>0.2</v>
      </c>
      <c r="I39" s="23">
        <f t="shared" si="4"/>
        <v>0.25</v>
      </c>
      <c r="J39" s="17">
        <f t="shared" si="3"/>
        <v>0.33278035832780356</v>
      </c>
      <c r="K39" s="26"/>
      <c r="O39" s="14"/>
      <c r="P39" s="9"/>
      <c r="Q39" s="15"/>
      <c r="AI39" s="14"/>
      <c r="AJ39" s="9"/>
      <c r="AK39" s="9"/>
      <c r="AL39" s="9"/>
      <c r="AM39" s="9"/>
      <c r="AN39" s="9"/>
      <c r="AO39" s="9"/>
      <c r="AP39" s="9"/>
      <c r="AQ39" s="9"/>
      <c r="AR39" s="15"/>
      <c r="AS39" s="9"/>
      <c r="AT39" s="9"/>
      <c r="AV39" s="9"/>
      <c r="AW39" s="9"/>
    </row>
    <row r="40" spans="1:49" ht="15" hidden="1" customHeight="1" x14ac:dyDescent="0.15">
      <c r="A40" s="22">
        <v>40392</v>
      </c>
      <c r="B40" s="9">
        <v>18.3</v>
      </c>
      <c r="C40" s="9">
        <v>11713.43</v>
      </c>
      <c r="D40" s="9"/>
      <c r="E40" s="25">
        <f t="shared" si="1"/>
        <v>-7.2193572553592475E-2</v>
      </c>
      <c r="F40" s="26">
        <f t="shared" si="2"/>
        <v>-3.7462617188559102E-2</v>
      </c>
      <c r="G40" s="25"/>
      <c r="H40" s="40">
        <v>0.2</v>
      </c>
      <c r="I40" s="23">
        <f t="shared" si="4"/>
        <v>0.25</v>
      </c>
      <c r="J40" s="17">
        <f t="shared" si="3"/>
        <v>0.33278035832780356</v>
      </c>
      <c r="K40" s="26"/>
      <c r="O40" s="14"/>
      <c r="P40" s="9"/>
      <c r="Q40" s="15"/>
      <c r="AI40" s="14"/>
      <c r="AJ40" s="9"/>
      <c r="AK40" s="9"/>
      <c r="AL40" s="9"/>
      <c r="AM40" s="9"/>
      <c r="AN40" s="9"/>
      <c r="AO40" s="9"/>
      <c r="AP40" s="9"/>
      <c r="AQ40" s="9"/>
      <c r="AR40" s="15"/>
      <c r="AS40" s="9"/>
      <c r="AT40" s="9"/>
      <c r="AV40" s="9"/>
      <c r="AW40" s="9"/>
    </row>
    <row r="41" spans="1:49" ht="15" hidden="1" customHeight="1" x14ac:dyDescent="0.15">
      <c r="A41" s="22">
        <v>40360</v>
      </c>
      <c r="B41" s="9">
        <v>17.39</v>
      </c>
      <c r="C41" s="9">
        <v>11294.42</v>
      </c>
      <c r="D41" s="9"/>
      <c r="E41" s="25">
        <f t="shared" si="1"/>
        <v>-5.1005731481183605E-2</v>
      </c>
      <c r="F41" s="26">
        <f t="shared" si="2"/>
        <v>-1.6966381495877526E-2</v>
      </c>
      <c r="G41" s="25"/>
      <c r="H41" s="40">
        <v>0.2</v>
      </c>
      <c r="I41" s="23">
        <f t="shared" si="4"/>
        <v>0.25</v>
      </c>
      <c r="J41" s="17">
        <f t="shared" si="3"/>
        <v>0.33278035832780356</v>
      </c>
      <c r="K41" s="26"/>
      <c r="O41" s="14"/>
      <c r="P41" s="9"/>
      <c r="Q41" s="15"/>
      <c r="AI41" s="14"/>
      <c r="AJ41" s="9"/>
      <c r="AK41" s="9"/>
      <c r="AL41" s="9"/>
      <c r="AM41" s="9"/>
      <c r="AN41" s="9"/>
      <c r="AO41" s="9"/>
      <c r="AP41" s="9"/>
      <c r="AQ41" s="9"/>
      <c r="AR41" s="15"/>
      <c r="AS41" s="9"/>
      <c r="AT41" s="9"/>
      <c r="AV41" s="9"/>
      <c r="AW41" s="9"/>
    </row>
    <row r="42" spans="1:49" ht="15" hidden="1" customHeight="1" x14ac:dyDescent="0.15">
      <c r="A42" s="22">
        <v>40330</v>
      </c>
      <c r="B42" s="9">
        <v>15.94</v>
      </c>
      <c r="C42" s="9">
        <v>11762.99</v>
      </c>
      <c r="D42" s="9"/>
      <c r="E42" s="25">
        <f t="shared" si="1"/>
        <v>-8.7063655004122734E-2</v>
      </c>
      <c r="F42" s="26">
        <f t="shared" si="2"/>
        <v>-3.6427248313693483E-2</v>
      </c>
      <c r="G42" s="25"/>
      <c r="H42" s="40">
        <v>0.2</v>
      </c>
      <c r="I42" s="23">
        <f t="shared" si="4"/>
        <v>0.25</v>
      </c>
      <c r="J42" s="17">
        <f t="shared" si="3"/>
        <v>0.33278035832780356</v>
      </c>
      <c r="K42" s="26"/>
      <c r="O42" s="14"/>
      <c r="P42" s="9"/>
      <c r="Q42" s="15"/>
      <c r="AI42" s="14"/>
      <c r="AJ42" s="9"/>
      <c r="AK42" s="9"/>
      <c r="AL42" s="9"/>
      <c r="AM42" s="9"/>
      <c r="AN42" s="9"/>
      <c r="AO42" s="9"/>
      <c r="AP42" s="9"/>
      <c r="AQ42" s="9"/>
      <c r="AR42" s="15"/>
      <c r="AS42" s="9"/>
      <c r="AT42" s="9"/>
      <c r="AV42" s="9"/>
      <c r="AW42" s="9"/>
    </row>
    <row r="43" spans="1:49" ht="15" hidden="1" customHeight="1" x14ac:dyDescent="0.15">
      <c r="A43" s="22">
        <v>40301</v>
      </c>
      <c r="B43" s="9">
        <v>16.09</v>
      </c>
      <c r="C43" s="9">
        <v>12210.7</v>
      </c>
      <c r="D43" s="9"/>
      <c r="E43" s="25">
        <f t="shared" si="1"/>
        <v>9.3662876422228539E-3</v>
      </c>
      <c r="F43" s="26">
        <f t="shared" si="2"/>
        <v>4.0649363408108506E-2</v>
      </c>
      <c r="G43" s="25"/>
      <c r="H43" s="40">
        <v>0.2</v>
      </c>
      <c r="I43" s="23">
        <f t="shared" si="4"/>
        <v>0.25</v>
      </c>
      <c r="J43" s="17">
        <f t="shared" si="3"/>
        <v>0.33278035832780356</v>
      </c>
      <c r="K43" s="26"/>
      <c r="O43" s="14"/>
      <c r="P43" s="9"/>
      <c r="Q43" s="15"/>
      <c r="AI43" s="14"/>
      <c r="AJ43" s="9"/>
      <c r="AK43" s="9"/>
      <c r="AL43" s="9"/>
      <c r="AM43" s="9"/>
      <c r="AN43" s="9"/>
      <c r="AO43" s="9"/>
      <c r="AP43" s="9"/>
      <c r="AQ43" s="9"/>
      <c r="AR43" s="15"/>
      <c r="AS43" s="9"/>
      <c r="AT43" s="9"/>
      <c r="AV43" s="9"/>
      <c r="AW43" s="9"/>
    </row>
    <row r="44" spans="1:49" ht="15" hidden="1" customHeight="1" x14ac:dyDescent="0.15">
      <c r="A44" s="22">
        <v>40269</v>
      </c>
      <c r="B44" s="9">
        <v>16.510000000000002</v>
      </c>
      <c r="C44" s="9">
        <v>12037.73</v>
      </c>
      <c r="D44" s="9"/>
      <c r="E44" s="25">
        <f t="shared" si="1"/>
        <v>2.5768296927744828E-2</v>
      </c>
      <c r="F44" s="26">
        <f t="shared" si="2"/>
        <v>3.7354454681963474E-2</v>
      </c>
      <c r="G44" s="25"/>
      <c r="H44" s="40">
        <v>0.2</v>
      </c>
      <c r="I44" s="23">
        <f t="shared" si="4"/>
        <v>0.25</v>
      </c>
      <c r="J44" s="17">
        <f t="shared" si="3"/>
        <v>0.33278035832780356</v>
      </c>
      <c r="K44" s="26"/>
      <c r="O44" s="14"/>
      <c r="P44" s="9"/>
      <c r="Q44" s="15"/>
      <c r="AI44" s="14"/>
      <c r="AJ44" s="9"/>
      <c r="AK44" s="9"/>
      <c r="AL44" s="9"/>
      <c r="AM44" s="9"/>
      <c r="AN44" s="9"/>
      <c r="AO44" s="9"/>
      <c r="AP44" s="9"/>
      <c r="AQ44" s="9"/>
      <c r="AR44" s="15"/>
      <c r="AS44" s="9"/>
      <c r="AT44" s="9"/>
      <c r="AV44" s="9"/>
      <c r="AW44" s="9"/>
    </row>
    <row r="45" spans="1:49" ht="15" hidden="1" customHeight="1" x14ac:dyDescent="0.15">
      <c r="A45" s="22">
        <v>40238</v>
      </c>
      <c r="B45" s="9">
        <v>17.37</v>
      </c>
      <c r="C45" s="9">
        <v>11629.63</v>
      </c>
      <c r="D45" s="9"/>
      <c r="E45" s="25">
        <f t="shared" ref="E45:E71" si="5">LN(B45/B44)</f>
        <v>5.0778322320976906E-2</v>
      </c>
      <c r="F45" s="26">
        <f t="shared" si="2"/>
        <v>-1.426673263750541E-2</v>
      </c>
      <c r="G45" s="25"/>
      <c r="H45" s="40">
        <v>0.2</v>
      </c>
      <c r="I45" s="23">
        <f t="shared" si="4"/>
        <v>0.25</v>
      </c>
      <c r="J45" s="17">
        <f t="shared" si="3"/>
        <v>0.33278035832780356</v>
      </c>
      <c r="K45" s="26"/>
      <c r="O45" s="14"/>
      <c r="P45" s="9"/>
      <c r="Q45" s="15"/>
      <c r="AI45" s="14"/>
      <c r="AJ45" s="9"/>
      <c r="AK45" s="9"/>
      <c r="AL45" s="9"/>
      <c r="AM45" s="9"/>
      <c r="AN45" s="9"/>
      <c r="AO45" s="9"/>
      <c r="AP45" s="9"/>
      <c r="AQ45" s="9"/>
      <c r="AR45" s="15"/>
      <c r="AS45" s="9"/>
      <c r="AT45" s="9"/>
      <c r="AV45" s="9"/>
      <c r="AW45" s="9"/>
    </row>
    <row r="46" spans="1:49" ht="15" hidden="1" customHeight="1" x14ac:dyDescent="0.15">
      <c r="A46" s="22">
        <v>40210</v>
      </c>
      <c r="B46" s="9">
        <v>16.47</v>
      </c>
      <c r="C46" s="9">
        <v>11094.31</v>
      </c>
      <c r="D46" s="9"/>
      <c r="E46" s="25">
        <f t="shared" si="5"/>
        <v>-5.3204036063464688E-2</v>
      </c>
      <c r="F46" s="26">
        <f t="shared" ref="F46:F71" si="6">LN(C45/C44)</f>
        <v>-3.4489732148075519E-2</v>
      </c>
      <c r="G46" s="25"/>
      <c r="H46" s="40">
        <v>0.2</v>
      </c>
      <c r="I46" s="23">
        <f t="shared" si="4"/>
        <v>0.25</v>
      </c>
      <c r="J46" s="17">
        <f t="shared" ref="J46:J77" si="7">$J$13*(1+(1-$Q$79)*(I46))</f>
        <v>0.33278035832780356</v>
      </c>
      <c r="K46" s="26"/>
      <c r="O46" s="14"/>
      <c r="P46" s="9"/>
      <c r="Q46" s="15"/>
      <c r="AI46" s="14"/>
      <c r="AJ46" s="9"/>
      <c r="AK46" s="9"/>
      <c r="AL46" s="9"/>
      <c r="AM46" s="9"/>
      <c r="AN46" s="9"/>
      <c r="AO46" s="9"/>
      <c r="AP46" s="9"/>
      <c r="AQ46" s="9"/>
      <c r="AR46" s="15"/>
      <c r="AS46" s="9"/>
      <c r="AT46" s="9"/>
      <c r="AV46" s="9"/>
      <c r="AW46" s="9"/>
    </row>
    <row r="47" spans="1:49" ht="15" hidden="1" customHeight="1" x14ac:dyDescent="0.15">
      <c r="A47" s="22">
        <v>40182</v>
      </c>
      <c r="B47" s="9">
        <v>16.170000000000002</v>
      </c>
      <c r="C47" s="9">
        <v>11746.11</v>
      </c>
      <c r="D47" s="9"/>
      <c r="E47" s="25">
        <f t="shared" si="5"/>
        <v>-1.838287060053331E-2</v>
      </c>
      <c r="F47" s="26">
        <f t="shared" si="6"/>
        <v>-4.7123787476144242E-2</v>
      </c>
      <c r="G47" s="25"/>
      <c r="H47" s="40">
        <v>0.2</v>
      </c>
      <c r="I47" s="23">
        <f t="shared" si="4"/>
        <v>0.25</v>
      </c>
      <c r="J47" s="17">
        <f t="shared" si="7"/>
        <v>0.33278035832780356</v>
      </c>
      <c r="K47" s="26"/>
      <c r="O47" s="14"/>
      <c r="P47" s="9"/>
      <c r="Q47" s="15"/>
      <c r="AI47" s="14"/>
      <c r="AJ47" s="9"/>
      <c r="AK47" s="9"/>
      <c r="AL47" s="9"/>
      <c r="AM47" s="9"/>
      <c r="AN47" s="9"/>
      <c r="AO47" s="9"/>
      <c r="AP47" s="9"/>
      <c r="AQ47" s="9"/>
      <c r="AR47" s="15"/>
      <c r="AS47" s="9"/>
      <c r="AT47" s="9"/>
      <c r="AV47" s="9"/>
      <c r="AW47" s="9"/>
    </row>
    <row r="48" spans="1:49" ht="15" hidden="1" customHeight="1" x14ac:dyDescent="0.15">
      <c r="A48" s="22">
        <v>40148</v>
      </c>
      <c r="B48" s="9">
        <v>17.8</v>
      </c>
      <c r="C48" s="9">
        <v>11447.2</v>
      </c>
      <c r="D48" s="9"/>
      <c r="E48" s="25">
        <f t="shared" si="5"/>
        <v>9.6040783709023872E-2</v>
      </c>
      <c r="F48" s="26">
        <f t="shared" si="6"/>
        <v>5.7089757671739627E-2</v>
      </c>
      <c r="G48" s="25"/>
      <c r="H48" s="40">
        <v>0.2</v>
      </c>
      <c r="I48" s="23">
        <f t="shared" si="4"/>
        <v>0.25</v>
      </c>
      <c r="J48" s="17">
        <f t="shared" si="7"/>
        <v>0.33278035832780356</v>
      </c>
      <c r="K48" s="26"/>
      <c r="O48" s="14"/>
      <c r="P48" s="9"/>
      <c r="Q48" s="15"/>
      <c r="AI48" s="14"/>
      <c r="AJ48" s="9"/>
      <c r="AK48" s="9"/>
      <c r="AL48" s="9"/>
      <c r="AM48" s="9"/>
      <c r="AN48" s="9"/>
      <c r="AO48" s="9"/>
      <c r="AP48" s="9"/>
      <c r="AQ48" s="9"/>
      <c r="AR48" s="15"/>
      <c r="AS48" s="9"/>
      <c r="AT48" s="9"/>
      <c r="AV48" s="9"/>
      <c r="AW48" s="9"/>
    </row>
    <row r="49" spans="1:49" ht="15" hidden="1" customHeight="1" x14ac:dyDescent="0.15">
      <c r="A49" s="22">
        <v>40119</v>
      </c>
      <c r="B49" s="9">
        <v>16.66</v>
      </c>
      <c r="C49" s="9">
        <v>10910.75</v>
      </c>
      <c r="D49" s="9"/>
      <c r="E49" s="25">
        <f t="shared" si="5"/>
        <v>-6.6187820559342858E-2</v>
      </c>
      <c r="F49" s="26">
        <f t="shared" si="6"/>
        <v>-2.5776963336264679E-2</v>
      </c>
      <c r="G49" s="25"/>
      <c r="H49" s="40">
        <v>0.2</v>
      </c>
      <c r="I49" s="23">
        <f t="shared" si="4"/>
        <v>0.25</v>
      </c>
      <c r="J49" s="17">
        <f t="shared" si="7"/>
        <v>0.33278035832780356</v>
      </c>
      <c r="K49" s="26"/>
      <c r="O49" s="14"/>
      <c r="P49" s="9"/>
      <c r="Q49" s="15"/>
      <c r="AI49" s="14"/>
      <c r="AJ49" s="9"/>
      <c r="AK49" s="9"/>
      <c r="AL49" s="9"/>
      <c r="AM49" s="9"/>
      <c r="AN49" s="9"/>
      <c r="AO49" s="9"/>
      <c r="AP49" s="9"/>
      <c r="AQ49" s="9"/>
      <c r="AR49" s="15"/>
      <c r="AS49" s="9"/>
      <c r="AT49" s="9"/>
      <c r="AV49" s="9"/>
      <c r="AW49" s="9"/>
    </row>
    <row r="50" spans="1:49" ht="15" hidden="1" customHeight="1" x14ac:dyDescent="0.15">
      <c r="A50" s="22">
        <v>40087</v>
      </c>
      <c r="B50" s="9">
        <v>15.26</v>
      </c>
      <c r="C50" s="9">
        <v>11394.96</v>
      </c>
      <c r="D50" s="9"/>
      <c r="E50" s="25">
        <f t="shared" si="5"/>
        <v>-8.7775610882385724E-2</v>
      </c>
      <c r="F50" s="26">
        <f t="shared" si="6"/>
        <v>-4.7996616856877235E-2</v>
      </c>
      <c r="G50" s="25"/>
      <c r="H50" s="40">
        <v>0.2</v>
      </c>
      <c r="I50" s="23">
        <f t="shared" si="4"/>
        <v>0.25</v>
      </c>
      <c r="J50" s="17">
        <f t="shared" si="7"/>
        <v>0.33278035832780356</v>
      </c>
      <c r="K50" s="26"/>
      <c r="O50" s="14"/>
      <c r="P50" s="9"/>
      <c r="Q50" s="15"/>
      <c r="AI50" s="14"/>
      <c r="AJ50" s="9"/>
      <c r="AK50" s="9"/>
      <c r="AL50" s="9"/>
      <c r="AM50" s="9"/>
      <c r="AN50" s="9"/>
      <c r="AO50" s="9"/>
      <c r="AP50" s="9"/>
      <c r="AQ50" s="9"/>
      <c r="AR50" s="15"/>
      <c r="AS50" s="9"/>
      <c r="AT50" s="9"/>
      <c r="AV50" s="9"/>
      <c r="AW50" s="9"/>
    </row>
    <row r="51" spans="1:49" ht="15" hidden="1" customHeight="1" x14ac:dyDescent="0.15">
      <c r="A51" s="22">
        <v>40057</v>
      </c>
      <c r="B51" s="9">
        <v>15.43</v>
      </c>
      <c r="C51" s="9">
        <v>10868.21</v>
      </c>
      <c r="D51" s="9"/>
      <c r="E51" s="25">
        <f t="shared" si="5"/>
        <v>1.1078640518758506E-2</v>
      </c>
      <c r="F51" s="26">
        <f t="shared" si="6"/>
        <v>4.3422610626435251E-2</v>
      </c>
      <c r="G51" s="25"/>
      <c r="H51" s="40">
        <v>0.2</v>
      </c>
      <c r="I51" s="23">
        <f t="shared" si="4"/>
        <v>0.25</v>
      </c>
      <c r="J51" s="17">
        <f t="shared" si="7"/>
        <v>0.33278035832780356</v>
      </c>
      <c r="K51" s="26"/>
      <c r="O51" s="14"/>
      <c r="P51" s="9"/>
      <c r="Q51" s="15"/>
      <c r="AI51" s="14"/>
      <c r="AJ51" s="9"/>
      <c r="AK51" s="9"/>
      <c r="AL51" s="9"/>
      <c r="AM51" s="9"/>
      <c r="AN51" s="9"/>
      <c r="AO51" s="9"/>
      <c r="AP51" s="9"/>
      <c r="AQ51" s="9"/>
      <c r="AR51" s="15"/>
      <c r="AS51" s="9"/>
      <c r="AT51" s="9"/>
      <c r="AV51" s="9"/>
      <c r="AW51" s="9"/>
    </row>
    <row r="52" spans="1:49" ht="15" hidden="1" customHeight="1" x14ac:dyDescent="0.15">
      <c r="A52" s="22">
        <v>40028</v>
      </c>
      <c r="B52" s="9">
        <v>14.63</v>
      </c>
      <c r="C52" s="9">
        <v>10787.15</v>
      </c>
      <c r="D52" s="9"/>
      <c r="E52" s="25">
        <f t="shared" si="5"/>
        <v>-5.3239451343036516E-2</v>
      </c>
      <c r="F52" s="26">
        <f t="shared" si="6"/>
        <v>-4.7329138220046814E-2</v>
      </c>
      <c r="G52" s="25"/>
      <c r="H52" s="40">
        <v>0.2</v>
      </c>
      <c r="I52" s="23">
        <f t="shared" si="4"/>
        <v>0.25</v>
      </c>
      <c r="J52" s="17">
        <f t="shared" si="7"/>
        <v>0.33278035832780356</v>
      </c>
      <c r="K52" s="26"/>
      <c r="O52" s="14"/>
      <c r="P52" s="9"/>
      <c r="Q52" s="15"/>
      <c r="AI52" s="14"/>
      <c r="AJ52" s="9"/>
      <c r="AK52" s="9"/>
      <c r="AL52" s="9"/>
      <c r="AM52" s="9"/>
      <c r="AN52" s="9"/>
      <c r="AO52" s="9"/>
      <c r="AP52" s="9"/>
      <c r="AQ52" s="9"/>
      <c r="AR52" s="15"/>
      <c r="AS52" s="9"/>
      <c r="AT52" s="9"/>
      <c r="AV52" s="9"/>
      <c r="AW52" s="9"/>
    </row>
    <row r="53" spans="1:49" ht="15" hidden="1" customHeight="1" x14ac:dyDescent="0.15">
      <c r="A53" s="22">
        <v>39995</v>
      </c>
      <c r="B53" s="9">
        <v>14.9</v>
      </c>
      <c r="C53" s="9">
        <v>10374.91</v>
      </c>
      <c r="D53" s="9"/>
      <c r="E53" s="25">
        <f t="shared" si="5"/>
        <v>1.828699791938047E-2</v>
      </c>
      <c r="F53" s="26">
        <f t="shared" si="6"/>
        <v>-7.4864032361459344E-3</v>
      </c>
      <c r="G53" s="25"/>
      <c r="H53" s="40">
        <v>0.2</v>
      </c>
      <c r="I53" s="23">
        <f t="shared" si="4"/>
        <v>0.25</v>
      </c>
      <c r="J53" s="17">
        <f t="shared" si="7"/>
        <v>0.33278035832780356</v>
      </c>
      <c r="K53" s="26"/>
      <c r="O53" s="14"/>
      <c r="P53" s="9"/>
      <c r="Q53" s="15"/>
      <c r="AI53" s="14"/>
      <c r="AJ53" s="9"/>
      <c r="AK53" s="9"/>
      <c r="AL53" s="9"/>
      <c r="AM53" s="9"/>
      <c r="AN53" s="9"/>
      <c r="AO53" s="9"/>
      <c r="AP53" s="9"/>
      <c r="AQ53" s="9"/>
      <c r="AR53" s="15"/>
      <c r="AS53" s="9"/>
      <c r="AT53" s="9"/>
      <c r="AV53" s="9"/>
      <c r="AW53" s="9"/>
    </row>
    <row r="54" spans="1:49" ht="15" hidden="1" customHeight="1" x14ac:dyDescent="0.15">
      <c r="A54" s="22">
        <v>39965</v>
      </c>
      <c r="B54" s="9">
        <v>14.28</v>
      </c>
      <c r="C54" s="9">
        <v>10370.07</v>
      </c>
      <c r="D54" s="9"/>
      <c r="E54" s="25">
        <f t="shared" si="5"/>
        <v>-4.2501256039975156E-2</v>
      </c>
      <c r="F54" s="26">
        <f t="shared" si="6"/>
        <v>-3.8965219543412075E-2</v>
      </c>
      <c r="G54" s="25"/>
      <c r="H54" s="40">
        <v>0.2</v>
      </c>
      <c r="I54" s="23">
        <f t="shared" si="4"/>
        <v>0.25</v>
      </c>
      <c r="J54" s="17">
        <f t="shared" si="7"/>
        <v>0.33278035832780356</v>
      </c>
      <c r="K54" s="26"/>
      <c r="O54" s="14"/>
      <c r="P54" s="9"/>
      <c r="Q54" s="15"/>
      <c r="AI54" s="14"/>
      <c r="AJ54" s="9"/>
      <c r="AK54" s="9"/>
      <c r="AL54" s="9"/>
      <c r="AM54" s="9"/>
      <c r="AN54" s="9"/>
      <c r="AO54" s="9"/>
      <c r="AP54" s="9"/>
      <c r="AQ54" s="9"/>
      <c r="AR54" s="15"/>
      <c r="AS54" s="9"/>
      <c r="AT54" s="9"/>
      <c r="AV54" s="9"/>
      <c r="AW54" s="9"/>
    </row>
    <row r="55" spans="1:49" ht="15" hidden="1" customHeight="1" x14ac:dyDescent="0.15">
      <c r="A55" s="22">
        <v>39934</v>
      </c>
      <c r="B55" s="9">
        <v>14.67</v>
      </c>
      <c r="C55" s="9">
        <v>9324.83</v>
      </c>
      <c r="D55" s="9"/>
      <c r="E55" s="25">
        <f t="shared" si="5"/>
        <v>2.6944635243452142E-2</v>
      </c>
      <c r="F55" s="26">
        <f t="shared" si="6"/>
        <v>-4.6661892060822916E-4</v>
      </c>
      <c r="G55" s="25"/>
      <c r="H55" s="40">
        <v>0.2</v>
      </c>
      <c r="I55" s="23">
        <f t="shared" si="4"/>
        <v>0.25</v>
      </c>
      <c r="J55" s="17">
        <f t="shared" si="7"/>
        <v>0.33278035832780356</v>
      </c>
      <c r="K55" s="26"/>
      <c r="O55" s="14"/>
      <c r="P55" s="9"/>
      <c r="Q55" s="15"/>
      <c r="AI55" s="14"/>
      <c r="AJ55" s="9"/>
      <c r="AK55" s="9"/>
      <c r="AL55" s="9"/>
      <c r="AM55" s="9"/>
      <c r="AN55" s="9"/>
      <c r="AO55" s="9"/>
      <c r="AP55" s="9"/>
      <c r="AQ55" s="9"/>
      <c r="AR55" s="15"/>
      <c r="AS55" s="9"/>
      <c r="AT55" s="9"/>
      <c r="AV55" s="9"/>
      <c r="AW55" s="9"/>
    </row>
    <row r="56" spans="1:49" ht="15" hidden="1" customHeight="1" x14ac:dyDescent="0.15">
      <c r="A56" s="22">
        <v>39904</v>
      </c>
      <c r="B56" s="9">
        <v>12.96</v>
      </c>
      <c r="C56" s="9">
        <v>8720.39</v>
      </c>
      <c r="D56" s="9"/>
      <c r="E56" s="25">
        <f t="shared" si="5"/>
        <v>-0.12393690123076158</v>
      </c>
      <c r="F56" s="26">
        <f t="shared" si="6"/>
        <v>-0.10624303765903532</v>
      </c>
      <c r="G56" s="25"/>
      <c r="H56" s="40">
        <v>0.2</v>
      </c>
      <c r="I56" s="23">
        <f t="shared" si="4"/>
        <v>0.25</v>
      </c>
      <c r="J56" s="17">
        <f t="shared" si="7"/>
        <v>0.33278035832780356</v>
      </c>
      <c r="K56" s="26"/>
      <c r="O56" s="14"/>
      <c r="P56" s="9"/>
      <c r="Q56" s="15"/>
      <c r="AI56" s="14"/>
      <c r="AJ56" s="9"/>
      <c r="AK56" s="9"/>
      <c r="AL56" s="9"/>
      <c r="AM56" s="9"/>
      <c r="AN56" s="9"/>
      <c r="AO56" s="9"/>
      <c r="AP56" s="9"/>
      <c r="AQ56" s="9"/>
      <c r="AR56" s="15"/>
      <c r="AS56" s="9"/>
      <c r="AT56" s="9"/>
      <c r="AV56" s="9"/>
      <c r="AW56" s="9"/>
    </row>
    <row r="57" spans="1:49" ht="15" hidden="1" customHeight="1" x14ac:dyDescent="0.15">
      <c r="A57" s="22">
        <v>39874</v>
      </c>
      <c r="B57" s="9">
        <v>12.69</v>
      </c>
      <c r="C57" s="9">
        <v>8123.02</v>
      </c>
      <c r="D57" s="9"/>
      <c r="E57" s="25">
        <f t="shared" si="5"/>
        <v>-2.1053409197832492E-2</v>
      </c>
      <c r="F57" s="26">
        <f t="shared" si="6"/>
        <v>-6.7016773109290217E-2</v>
      </c>
      <c r="G57" s="25"/>
      <c r="H57" s="40">
        <v>0.2</v>
      </c>
      <c r="I57" s="23">
        <f t="shared" si="4"/>
        <v>0.25</v>
      </c>
      <c r="J57" s="17">
        <f t="shared" si="7"/>
        <v>0.33278035832780356</v>
      </c>
      <c r="K57" s="26"/>
      <c r="O57" s="14"/>
      <c r="P57" s="9"/>
      <c r="Q57" s="15"/>
      <c r="AI57" s="14"/>
      <c r="AJ57" s="9"/>
      <c r="AK57" s="9"/>
      <c r="AL57" s="9"/>
      <c r="AM57" s="9"/>
      <c r="AN57" s="9"/>
      <c r="AO57" s="9"/>
      <c r="AP57" s="9"/>
      <c r="AQ57" s="9"/>
      <c r="AR57" s="15"/>
      <c r="AS57" s="9"/>
      <c r="AT57" s="9"/>
      <c r="AV57" s="9"/>
      <c r="AW57" s="9"/>
    </row>
    <row r="58" spans="1:49" ht="15" hidden="1" customHeight="1" x14ac:dyDescent="0.15">
      <c r="A58" s="22">
        <v>39846</v>
      </c>
      <c r="B58" s="9">
        <v>12.28</v>
      </c>
      <c r="C58" s="9">
        <v>8624.83</v>
      </c>
      <c r="D58" s="9"/>
      <c r="E58" s="25">
        <f t="shared" si="5"/>
        <v>-3.284235900729994E-2</v>
      </c>
      <c r="F58" s="26">
        <f t="shared" si="6"/>
        <v>-7.0961955481094005E-2</v>
      </c>
      <c r="G58" s="25"/>
      <c r="H58" s="40">
        <v>0.2</v>
      </c>
      <c r="I58" s="23">
        <f t="shared" si="4"/>
        <v>0.25</v>
      </c>
      <c r="J58" s="17">
        <f t="shared" si="7"/>
        <v>0.33278035832780356</v>
      </c>
      <c r="K58" s="26"/>
      <c r="O58" s="14"/>
      <c r="P58" s="9"/>
      <c r="Q58" s="15"/>
      <c r="AI58" s="14"/>
      <c r="AJ58" s="9"/>
      <c r="AK58" s="9"/>
      <c r="AL58" s="9"/>
      <c r="AM58" s="9"/>
      <c r="AN58" s="9"/>
      <c r="AO58" s="9"/>
      <c r="AP58" s="9"/>
      <c r="AQ58" s="9"/>
      <c r="AR58" s="15"/>
      <c r="AS58" s="9"/>
      <c r="AT58" s="9"/>
      <c r="AV58" s="9"/>
      <c r="AW58" s="9"/>
    </row>
    <row r="59" spans="1:49" ht="15" hidden="1" customHeight="1" x14ac:dyDescent="0.15">
      <c r="A59" s="22">
        <v>39815</v>
      </c>
      <c r="B59" s="9">
        <v>13.43</v>
      </c>
      <c r="C59" s="9">
        <v>8700.0400000000009</v>
      </c>
      <c r="D59" s="9"/>
      <c r="E59" s="25">
        <f t="shared" si="5"/>
        <v>8.9519087816149742E-2</v>
      </c>
      <c r="F59" s="26">
        <f t="shared" si="6"/>
        <v>5.9943246367934855E-2</v>
      </c>
      <c r="G59" s="25"/>
      <c r="H59" s="40">
        <v>0.2</v>
      </c>
      <c r="I59" s="23">
        <f t="shared" si="4"/>
        <v>0.25</v>
      </c>
      <c r="J59" s="17">
        <f t="shared" si="7"/>
        <v>0.33278035832780356</v>
      </c>
      <c r="K59" s="26"/>
      <c r="O59" s="14"/>
      <c r="P59" s="9"/>
      <c r="Q59" s="15"/>
      <c r="AI59" s="14"/>
      <c r="AJ59" s="9"/>
      <c r="AK59" s="9"/>
      <c r="AL59" s="9"/>
      <c r="AM59" s="9"/>
      <c r="AN59" s="9"/>
      <c r="AO59" s="9"/>
      <c r="AP59" s="9"/>
      <c r="AQ59" s="9"/>
      <c r="AR59" s="15"/>
      <c r="AS59" s="9"/>
      <c r="AT59" s="9"/>
      <c r="AV59" s="9"/>
      <c r="AW59" s="9"/>
    </row>
    <row r="60" spans="1:49" ht="15" hidden="1" customHeight="1" x14ac:dyDescent="0.15">
      <c r="A60" s="22">
        <v>39783</v>
      </c>
      <c r="B60" s="9">
        <v>14.65</v>
      </c>
      <c r="C60" s="9">
        <v>8406.2099999999991</v>
      </c>
      <c r="D60" s="9"/>
      <c r="E60" s="25">
        <f t="shared" si="5"/>
        <v>8.6949324927930186E-2</v>
      </c>
      <c r="F60" s="26">
        <f t="shared" si="6"/>
        <v>8.6823707728697509E-3</v>
      </c>
      <c r="G60" s="25"/>
      <c r="H60" s="40">
        <v>0.2</v>
      </c>
      <c r="I60" s="23">
        <f t="shared" si="4"/>
        <v>0.25</v>
      </c>
      <c r="J60" s="17">
        <f t="shared" si="7"/>
        <v>0.33278035832780356</v>
      </c>
      <c r="K60" s="26"/>
      <c r="O60" s="14"/>
      <c r="P60" s="9"/>
      <c r="Q60" s="15"/>
      <c r="AI60" s="14"/>
      <c r="AJ60" s="9"/>
      <c r="AK60" s="9"/>
      <c r="AL60" s="9"/>
      <c r="AM60" s="9"/>
      <c r="AN60" s="9"/>
      <c r="AO60" s="9"/>
      <c r="AP60" s="9"/>
      <c r="AQ60" s="9"/>
      <c r="AR60" s="15"/>
      <c r="AS60" s="9"/>
      <c r="AT60" s="9"/>
      <c r="AV60" s="9"/>
      <c r="AW60" s="9"/>
    </row>
    <row r="61" spans="1:49" ht="15" hidden="1" customHeight="1" x14ac:dyDescent="0.15">
      <c r="A61" s="22">
        <v>39755</v>
      </c>
      <c r="B61" s="9">
        <v>14.12</v>
      </c>
      <c r="C61" s="9">
        <v>9721.26</v>
      </c>
      <c r="D61" s="9"/>
      <c r="E61" s="25">
        <f t="shared" si="5"/>
        <v>-3.6848103397980371E-2</v>
      </c>
      <c r="F61" s="26">
        <f t="shared" si="6"/>
        <v>-3.4356904924639005E-2</v>
      </c>
      <c r="G61" s="25"/>
      <c r="H61" s="40">
        <v>0.2</v>
      </c>
      <c r="I61" s="23">
        <f t="shared" si="4"/>
        <v>0.25</v>
      </c>
      <c r="J61" s="17">
        <f t="shared" si="7"/>
        <v>0.33278035832780356</v>
      </c>
      <c r="K61" s="26"/>
      <c r="O61" s="14"/>
      <c r="P61" s="9"/>
      <c r="Q61" s="15"/>
      <c r="AI61" s="14"/>
      <c r="AJ61" s="9"/>
      <c r="AK61" s="9"/>
      <c r="AL61" s="9"/>
      <c r="AM61" s="9"/>
      <c r="AN61" s="9"/>
      <c r="AO61" s="9"/>
      <c r="AP61" s="9"/>
      <c r="AQ61" s="9"/>
      <c r="AR61" s="15"/>
      <c r="AS61" s="9"/>
      <c r="AT61" s="9"/>
      <c r="AV61" s="9"/>
      <c r="AW61" s="9"/>
    </row>
    <row r="62" spans="1:49" ht="15" hidden="1" customHeight="1" x14ac:dyDescent="0.15">
      <c r="A62" s="22">
        <v>39722</v>
      </c>
      <c r="B62" s="9">
        <v>14.65</v>
      </c>
      <c r="C62" s="9">
        <v>11714.51</v>
      </c>
      <c r="D62" s="9"/>
      <c r="E62" s="25">
        <f t="shared" si="5"/>
        <v>3.6848103397980426E-2</v>
      </c>
      <c r="F62" s="26">
        <f t="shared" si="6"/>
        <v>0.14534452127430378</v>
      </c>
      <c r="G62" s="25"/>
      <c r="H62" s="40">
        <v>0.2</v>
      </c>
      <c r="I62" s="23">
        <f t="shared" si="4"/>
        <v>0.25</v>
      </c>
      <c r="J62" s="17">
        <f t="shared" si="7"/>
        <v>0.33278035832780356</v>
      </c>
      <c r="K62" s="26"/>
      <c r="O62" s="14"/>
      <c r="P62" s="9"/>
      <c r="Q62" s="15"/>
      <c r="AI62" s="14"/>
      <c r="AJ62" s="9"/>
      <c r="AK62" s="9"/>
      <c r="AL62" s="9"/>
      <c r="AM62" s="9"/>
      <c r="AN62" s="9"/>
      <c r="AO62" s="9"/>
      <c r="AP62" s="9"/>
      <c r="AQ62" s="9"/>
      <c r="AR62" s="15"/>
      <c r="AS62" s="9"/>
      <c r="AT62" s="9"/>
      <c r="AV62" s="9"/>
      <c r="AW62" s="9"/>
    </row>
    <row r="63" spans="1:49" ht="15" hidden="1" customHeight="1" x14ac:dyDescent="0.15">
      <c r="A63" s="22">
        <v>39693</v>
      </c>
      <c r="B63" s="9">
        <v>16.68</v>
      </c>
      <c r="C63" s="9">
        <v>13299.54</v>
      </c>
      <c r="D63" s="9"/>
      <c r="E63" s="25">
        <f t="shared" si="5"/>
        <v>0.12977006146752432</v>
      </c>
      <c r="F63" s="26">
        <f t="shared" si="6"/>
        <v>0.18651300466633142</v>
      </c>
      <c r="G63" s="25"/>
      <c r="H63" s="40">
        <v>0.2</v>
      </c>
      <c r="I63" s="23">
        <f t="shared" si="4"/>
        <v>0.25</v>
      </c>
      <c r="J63" s="17">
        <f t="shared" si="7"/>
        <v>0.33278035832780356</v>
      </c>
      <c r="K63" s="26"/>
      <c r="O63" s="14"/>
      <c r="P63" s="9"/>
      <c r="Q63" s="15"/>
      <c r="AI63" s="14"/>
      <c r="AJ63" s="9"/>
      <c r="AK63" s="9"/>
      <c r="AL63" s="9"/>
      <c r="AM63" s="9"/>
      <c r="AN63" s="9"/>
      <c r="AO63" s="9"/>
      <c r="AP63" s="9"/>
      <c r="AQ63" s="9"/>
      <c r="AR63" s="15"/>
      <c r="AS63" s="9"/>
      <c r="AT63" s="9"/>
      <c r="AV63" s="9"/>
      <c r="AW63" s="9"/>
    </row>
    <row r="64" spans="1:49" ht="15" hidden="1" customHeight="1" x14ac:dyDescent="0.15">
      <c r="A64" s="22">
        <v>39661</v>
      </c>
      <c r="B64" s="9">
        <v>17.600000000000001</v>
      </c>
      <c r="C64" s="9">
        <v>13496.53</v>
      </c>
      <c r="D64" s="9"/>
      <c r="E64" s="25">
        <f t="shared" si="5"/>
        <v>5.3688505113505494E-2</v>
      </c>
      <c r="F64" s="26">
        <f t="shared" si="6"/>
        <v>0.12690120379630282</v>
      </c>
      <c r="G64" s="25"/>
      <c r="H64" s="40">
        <v>0.2</v>
      </c>
      <c r="I64" s="23">
        <f t="shared" si="4"/>
        <v>0.25</v>
      </c>
      <c r="J64" s="17">
        <f t="shared" si="7"/>
        <v>0.33278035832780356</v>
      </c>
      <c r="K64" s="26"/>
      <c r="O64" s="14"/>
      <c r="P64" s="9"/>
      <c r="Q64" s="15"/>
      <c r="AI64" s="14"/>
      <c r="AJ64" s="9"/>
      <c r="AK64" s="9"/>
      <c r="AL64" s="9"/>
      <c r="AM64" s="9"/>
      <c r="AN64" s="9"/>
      <c r="AO64" s="9"/>
      <c r="AP64" s="9"/>
      <c r="AQ64" s="9"/>
      <c r="AR64" s="15"/>
      <c r="AS64" s="9"/>
      <c r="AT64" s="9"/>
      <c r="AV64" s="9"/>
      <c r="AW64" s="9"/>
    </row>
    <row r="65" spans="1:51" ht="15" hidden="1" customHeight="1" x14ac:dyDescent="0.15">
      <c r="A65" s="22">
        <v>39630</v>
      </c>
      <c r="B65" s="9">
        <v>17.11</v>
      </c>
      <c r="C65" s="9">
        <v>14034.11</v>
      </c>
      <c r="D65" s="9"/>
      <c r="E65" s="25">
        <f t="shared" si="5"/>
        <v>-2.8235814140004093E-2</v>
      </c>
      <c r="F65" s="26">
        <f t="shared" si="6"/>
        <v>1.4703167204248824E-2</v>
      </c>
      <c r="G65" s="25"/>
      <c r="H65" s="40">
        <v>0.2</v>
      </c>
      <c r="I65" s="23">
        <f t="shared" si="4"/>
        <v>0.25</v>
      </c>
      <c r="J65" s="17">
        <f t="shared" si="7"/>
        <v>0.33278035832780356</v>
      </c>
      <c r="K65" s="26"/>
      <c r="O65" s="14"/>
      <c r="P65" s="9"/>
      <c r="Q65" s="15"/>
      <c r="AI65" s="14"/>
      <c r="AJ65" s="9"/>
      <c r="AK65" s="9"/>
      <c r="AL65" s="9"/>
      <c r="AM65" s="9"/>
      <c r="AN65" s="9"/>
      <c r="AO65" s="9"/>
      <c r="AP65" s="9"/>
      <c r="AQ65" s="9"/>
      <c r="AR65" s="15"/>
      <c r="AS65" s="9"/>
      <c r="AT65" s="9"/>
      <c r="AV65" s="9"/>
      <c r="AW65" s="9"/>
    </row>
    <row r="66" spans="1:51" ht="15" hidden="1" customHeight="1" x14ac:dyDescent="0.15">
      <c r="A66" s="22">
        <v>39601</v>
      </c>
      <c r="B66" s="9">
        <v>16.559999999999999</v>
      </c>
      <c r="C66" s="9">
        <v>14814.18</v>
      </c>
      <c r="D66" s="9"/>
      <c r="E66" s="25">
        <f t="shared" si="5"/>
        <v>-3.2672938946988576E-2</v>
      </c>
      <c r="F66" s="26">
        <f t="shared" si="6"/>
        <v>3.9058179539166682E-2</v>
      </c>
      <c r="G66" s="25"/>
      <c r="H66" s="40">
        <v>0.2</v>
      </c>
      <c r="I66" s="23">
        <f t="shared" si="4"/>
        <v>0.25</v>
      </c>
      <c r="J66" s="17">
        <f t="shared" si="7"/>
        <v>0.33278035832780356</v>
      </c>
      <c r="K66" s="26"/>
      <c r="O66" s="14"/>
      <c r="P66" s="9"/>
      <c r="Q66" s="15"/>
      <c r="AI66" s="14"/>
      <c r="AJ66" s="9"/>
      <c r="AK66" s="9"/>
      <c r="AL66" s="9"/>
      <c r="AM66" s="9"/>
      <c r="AN66" s="9"/>
      <c r="AO66" s="9"/>
      <c r="AP66" s="9"/>
      <c r="AQ66" s="9"/>
      <c r="AR66" s="15"/>
      <c r="AS66" s="9"/>
      <c r="AT66" s="9"/>
      <c r="AV66" s="9"/>
      <c r="AW66" s="9"/>
    </row>
    <row r="67" spans="1:51" ht="15" hidden="1" customHeight="1" x14ac:dyDescent="0.15">
      <c r="A67" s="22">
        <v>39569</v>
      </c>
      <c r="B67" s="9">
        <v>16.809999999999999</v>
      </c>
      <c r="C67" s="9">
        <v>14065.81</v>
      </c>
      <c r="D67" s="9"/>
      <c r="E67" s="25">
        <f t="shared" si="5"/>
        <v>1.4983798463410563E-2</v>
      </c>
      <c r="F67" s="26">
        <f t="shared" si="6"/>
        <v>5.4094035278732987E-2</v>
      </c>
      <c r="G67" s="25"/>
      <c r="H67" s="40">
        <v>0.2</v>
      </c>
      <c r="I67" s="23">
        <f t="shared" si="4"/>
        <v>0.25</v>
      </c>
      <c r="J67" s="17">
        <f t="shared" si="7"/>
        <v>0.33278035832780356</v>
      </c>
      <c r="K67" s="26"/>
      <c r="O67" s="14"/>
      <c r="P67" s="9"/>
      <c r="Q67" s="15"/>
      <c r="AI67" s="14"/>
      <c r="AJ67" s="9"/>
      <c r="AK67" s="9"/>
      <c r="AL67" s="9"/>
      <c r="AM67" s="9"/>
      <c r="AN67" s="9"/>
      <c r="AO67" s="9"/>
      <c r="AP67" s="9"/>
      <c r="AQ67" s="9"/>
      <c r="AR67" s="15"/>
      <c r="AS67" s="9"/>
      <c r="AT67" s="9"/>
      <c r="AV67" s="9"/>
      <c r="AW67" s="9"/>
    </row>
    <row r="68" spans="1:51" ht="15" hidden="1" customHeight="1" x14ac:dyDescent="0.15">
      <c r="A68" s="22">
        <v>39539</v>
      </c>
      <c r="B68" s="9">
        <v>17.18</v>
      </c>
      <c r="C68" s="9">
        <v>13440.72</v>
      </c>
      <c r="D68" s="9"/>
      <c r="E68" s="25">
        <f t="shared" si="5"/>
        <v>2.1771969135585045E-2</v>
      </c>
      <c r="F68" s="26">
        <f t="shared" si="6"/>
        <v>-5.1837800140151907E-2</v>
      </c>
      <c r="G68" s="25"/>
      <c r="H68" s="40">
        <v>0.2</v>
      </c>
      <c r="I68" s="23">
        <f t="shared" si="4"/>
        <v>0.25</v>
      </c>
      <c r="J68" s="17">
        <f t="shared" si="7"/>
        <v>0.33278035832780356</v>
      </c>
      <c r="K68" s="26"/>
      <c r="O68" s="14"/>
      <c r="P68" s="9"/>
      <c r="Q68" s="15"/>
      <c r="AI68" s="14"/>
      <c r="AJ68" s="9"/>
      <c r="AK68" s="9"/>
      <c r="AL68" s="9"/>
      <c r="AM68" s="9"/>
      <c r="AN68" s="9"/>
      <c r="AO68" s="9"/>
      <c r="AP68" s="9"/>
      <c r="AQ68" s="9"/>
      <c r="AR68" s="15"/>
      <c r="AS68" s="9"/>
      <c r="AT68" s="9"/>
      <c r="AV68" s="9"/>
      <c r="AW68" s="9"/>
    </row>
    <row r="69" spans="1:51" ht="15" hidden="1" customHeight="1" x14ac:dyDescent="0.15">
      <c r="A69" s="22">
        <v>39510</v>
      </c>
      <c r="B69" s="9">
        <v>14.66</v>
      </c>
      <c r="C69" s="9">
        <v>13544.38</v>
      </c>
      <c r="D69" s="9"/>
      <c r="E69" s="25">
        <f t="shared" si="5"/>
        <v>-0.1586232200976038</v>
      </c>
      <c r="F69" s="26">
        <f t="shared" si="6"/>
        <v>-4.5458124956736422E-2</v>
      </c>
      <c r="G69" s="25"/>
      <c r="H69" s="40">
        <v>0.2</v>
      </c>
      <c r="I69" s="23">
        <f t="shared" si="4"/>
        <v>0.25</v>
      </c>
      <c r="J69" s="17">
        <f t="shared" si="7"/>
        <v>0.33278035832780356</v>
      </c>
      <c r="K69" s="26"/>
      <c r="O69" s="14"/>
      <c r="P69" s="9"/>
      <c r="Q69" s="15"/>
      <c r="AI69" s="14"/>
      <c r="AJ69" s="9"/>
      <c r="AK69" s="9"/>
      <c r="AL69" s="9"/>
      <c r="AM69" s="9"/>
      <c r="AN69" s="9"/>
      <c r="AO69" s="9"/>
      <c r="AP69" s="9"/>
      <c r="AQ69" s="9"/>
      <c r="AR69" s="15"/>
      <c r="AS69" s="9"/>
      <c r="AT69" s="9"/>
      <c r="AV69" s="9"/>
      <c r="AW69" s="9"/>
    </row>
    <row r="70" spans="1:51" ht="15" hidden="1" customHeight="1" x14ac:dyDescent="0.15">
      <c r="A70" s="22">
        <v>39479</v>
      </c>
      <c r="B70" s="9">
        <v>15.66</v>
      </c>
      <c r="C70" s="9">
        <v>13318.37</v>
      </c>
      <c r="D70" s="9"/>
      <c r="E70" s="25">
        <f t="shared" si="5"/>
        <v>6.5986994104151667E-2</v>
      </c>
      <c r="F70" s="26">
        <f t="shared" si="6"/>
        <v>7.6827960526506507E-3</v>
      </c>
      <c r="G70" s="25"/>
      <c r="H70" s="40">
        <v>0.2</v>
      </c>
      <c r="I70" s="23">
        <f t="shared" si="4"/>
        <v>0.25</v>
      </c>
      <c r="J70" s="17">
        <f t="shared" si="7"/>
        <v>0.33278035832780356</v>
      </c>
      <c r="K70" s="26"/>
      <c r="O70" s="14"/>
      <c r="P70" s="9"/>
      <c r="Q70" s="15"/>
      <c r="AI70" s="14"/>
      <c r="AJ70" s="9"/>
      <c r="AK70" s="9"/>
      <c r="AL70" s="9"/>
      <c r="AM70" s="9"/>
      <c r="AN70" s="9"/>
      <c r="AO70" s="9"/>
      <c r="AP70" s="9"/>
      <c r="AQ70" s="9"/>
      <c r="AR70" s="15"/>
      <c r="AS70" s="9"/>
      <c r="AT70" s="9"/>
      <c r="AV70" s="9"/>
      <c r="AW70" s="9"/>
    </row>
    <row r="71" spans="1:51" x14ac:dyDescent="0.15">
      <c r="A71" s="22">
        <v>39449</v>
      </c>
      <c r="B71" s="9">
        <v>15.8</v>
      </c>
      <c r="C71" s="9">
        <v>13926.76</v>
      </c>
      <c r="D71" s="9"/>
      <c r="E71" s="25">
        <f t="shared" si="5"/>
        <v>8.9002494702640784E-3</v>
      </c>
      <c r="F71" s="26">
        <f t="shared" si="6"/>
        <v>-1.6827415889566703E-2</v>
      </c>
      <c r="G71" s="25"/>
      <c r="H71" s="40">
        <v>0.3</v>
      </c>
      <c r="I71" s="23">
        <f t="shared" si="4"/>
        <v>0.4285714285714286</v>
      </c>
      <c r="J71" s="17">
        <f t="shared" si="7"/>
        <v>0.36903971940468294</v>
      </c>
      <c r="K71" s="26"/>
      <c r="O71" s="14" t="s">
        <v>318</v>
      </c>
      <c r="P71" s="9"/>
      <c r="Q71" s="15"/>
      <c r="U71" s="63" t="s">
        <v>352</v>
      </c>
      <c r="V71" s="62"/>
      <c r="W71" s="62"/>
      <c r="X71" s="62"/>
      <c r="Y71" s="62"/>
      <c r="Z71" s="62"/>
      <c r="AA71" s="62"/>
      <c r="AB71" s="62"/>
      <c r="AC71" s="62"/>
      <c r="AD71" s="62"/>
      <c r="AE71" s="60"/>
      <c r="AI71" s="14"/>
      <c r="AJ71" s="9"/>
      <c r="AK71" s="9"/>
      <c r="AL71" s="9"/>
      <c r="AM71" s="9"/>
      <c r="AN71" s="9"/>
      <c r="AO71" s="9"/>
      <c r="AP71" s="9"/>
      <c r="AQ71" s="9"/>
      <c r="AR71" s="15"/>
      <c r="AS71" s="9"/>
      <c r="AT71" s="9"/>
      <c r="AV71" s="9"/>
      <c r="AW71" s="9"/>
    </row>
    <row r="72" spans="1:51" x14ac:dyDescent="0.15">
      <c r="A72" s="29"/>
      <c r="B72" s="30"/>
      <c r="C72" s="30"/>
      <c r="D72" s="30"/>
      <c r="E72" s="30"/>
      <c r="F72" s="31"/>
      <c r="G72" s="25"/>
      <c r="H72" s="43">
        <v>0.4</v>
      </c>
      <c r="I72" s="23">
        <f t="shared" si="4"/>
        <v>0.66666666666666674</v>
      </c>
      <c r="J72" s="17">
        <f t="shared" si="7"/>
        <v>0.41738553417385538</v>
      </c>
      <c r="K72" s="26"/>
      <c r="O72" s="14" t="s">
        <v>454</v>
      </c>
      <c r="P72" s="9"/>
      <c r="Q72" s="15">
        <v>0.68</v>
      </c>
      <c r="U72" s="59" t="s">
        <v>351</v>
      </c>
      <c r="V72" s="60"/>
      <c r="W72" s="61"/>
      <c r="X72" s="59" t="s">
        <v>344</v>
      </c>
      <c r="Y72" s="62"/>
      <c r="Z72" s="62"/>
      <c r="AA72" s="62"/>
      <c r="AB72" s="62"/>
      <c r="AC72" s="62"/>
      <c r="AD72" s="62"/>
      <c r="AE72" s="60"/>
      <c r="AI72" s="14"/>
      <c r="AJ72" s="9"/>
      <c r="AK72" s="9"/>
      <c r="AL72" s="9"/>
      <c r="AM72" s="9"/>
      <c r="AN72" s="9"/>
      <c r="AO72" s="9"/>
      <c r="AP72" s="9"/>
      <c r="AQ72" s="9"/>
      <c r="AR72" s="15"/>
      <c r="AS72" s="9"/>
      <c r="AT72" s="9"/>
      <c r="AV72" s="9"/>
      <c r="AW72" s="9"/>
    </row>
    <row r="73" spans="1:51" x14ac:dyDescent="0.15">
      <c r="A73" s="14" t="s">
        <v>294</v>
      </c>
      <c r="B73" s="9"/>
      <c r="C73" s="9"/>
      <c r="D73" s="9"/>
      <c r="E73" s="9"/>
      <c r="F73" s="15"/>
      <c r="G73" s="9"/>
      <c r="H73" s="40">
        <v>0.5</v>
      </c>
      <c r="I73" s="23">
        <f t="shared" si="4"/>
        <v>1</v>
      </c>
      <c r="J73" s="17">
        <f t="shared" si="7"/>
        <v>0.48506967485069674</v>
      </c>
      <c r="K73" s="15"/>
      <c r="O73" s="14" t="s">
        <v>319</v>
      </c>
      <c r="P73" s="9"/>
      <c r="Q73" s="24">
        <v>3.8399999999999997E-2</v>
      </c>
      <c r="U73" s="11" t="s">
        <v>345</v>
      </c>
      <c r="V73" s="13"/>
      <c r="W73" s="66">
        <f>('Income Statement'!R27+'Income Statement'!R28)/'Income Statement'!R28</f>
        <v>4.9545454545454541</v>
      </c>
      <c r="X73" s="11"/>
      <c r="Y73" s="12"/>
      <c r="Z73" s="12"/>
      <c r="AA73" s="12"/>
      <c r="AB73" s="12"/>
      <c r="AC73" s="12"/>
      <c r="AD73" s="12"/>
      <c r="AE73" s="13"/>
      <c r="AI73" s="14"/>
      <c r="AJ73" s="9"/>
      <c r="AK73" s="9"/>
      <c r="AL73" s="9"/>
      <c r="AM73" s="9"/>
      <c r="AN73" s="9"/>
      <c r="AO73" s="9"/>
      <c r="AP73" s="9"/>
      <c r="AQ73" s="9"/>
      <c r="AR73" s="15"/>
      <c r="AS73" s="9"/>
      <c r="AT73" s="9"/>
      <c r="AV73" s="9"/>
      <c r="AW73" s="9"/>
    </row>
    <row r="74" spans="1:51" x14ac:dyDescent="0.15">
      <c r="A74" s="14"/>
      <c r="B74" s="9"/>
      <c r="C74" s="9"/>
      <c r="D74" s="9"/>
      <c r="E74" s="9"/>
      <c r="F74" s="15"/>
      <c r="G74" s="9"/>
      <c r="H74" s="40">
        <v>0.6</v>
      </c>
      <c r="I74" s="23">
        <f t="shared" si="4"/>
        <v>1.4999999999999998</v>
      </c>
      <c r="J74" s="17">
        <f t="shared" si="7"/>
        <v>0.5865958858659589</v>
      </c>
      <c r="K74" s="15"/>
      <c r="O74" s="14" t="s">
        <v>320</v>
      </c>
      <c r="P74" s="9"/>
      <c r="Q74" s="24">
        <v>9.74E-2</v>
      </c>
      <c r="U74" s="27"/>
      <c r="V74" s="28"/>
      <c r="W74" s="69" t="s">
        <v>366</v>
      </c>
      <c r="X74" s="27"/>
      <c r="Y74" s="10"/>
      <c r="Z74" s="10"/>
      <c r="AA74" s="10"/>
      <c r="AB74" s="10"/>
      <c r="AC74" s="10"/>
      <c r="AD74" s="10"/>
      <c r="AE74" s="28"/>
      <c r="AI74" s="14" t="s">
        <v>388</v>
      </c>
      <c r="AJ74" s="9"/>
      <c r="AK74" s="9"/>
      <c r="AL74" s="9">
        <f>'Income Statement'!R28</f>
        <v>330</v>
      </c>
      <c r="AM74" s="9"/>
      <c r="AN74" s="9"/>
      <c r="AO74" s="9"/>
      <c r="AP74" s="9"/>
      <c r="AQ74" s="9"/>
      <c r="AR74" s="15"/>
      <c r="AS74" s="9"/>
      <c r="AT74" s="9"/>
      <c r="AV74" s="9"/>
      <c r="AW74" s="9"/>
    </row>
    <row r="75" spans="1:51" x14ac:dyDescent="0.15">
      <c r="A75" s="14" t="s">
        <v>295</v>
      </c>
      <c r="B75" s="9"/>
      <c r="C75" s="9"/>
      <c r="D75" s="9"/>
      <c r="E75" s="9"/>
      <c r="F75" s="15"/>
      <c r="G75" s="9"/>
      <c r="H75" s="40">
        <v>0.7</v>
      </c>
      <c r="I75" s="23">
        <f t="shared" si="4"/>
        <v>2.333333333333333</v>
      </c>
      <c r="J75" s="17">
        <f t="shared" si="7"/>
        <v>0.75580623755806231</v>
      </c>
      <c r="K75" s="15"/>
      <c r="O75" s="14" t="s">
        <v>419</v>
      </c>
      <c r="P75" s="9"/>
      <c r="Q75" s="26">
        <f>Q73+Q72*(Q74-Q73)</f>
        <v>7.8520000000000006E-2</v>
      </c>
      <c r="U75" s="11" t="s">
        <v>346</v>
      </c>
      <c r="V75" s="13"/>
      <c r="W75" s="66">
        <f>'Income Statement'!R14/'Income Statement'!R28</f>
        <v>6.4606060606060609</v>
      </c>
      <c r="X75" s="11"/>
      <c r="Y75" s="12"/>
      <c r="Z75" s="12"/>
      <c r="AA75" s="12"/>
      <c r="AB75" s="12"/>
      <c r="AC75" s="12"/>
      <c r="AD75" s="12"/>
      <c r="AE75" s="13"/>
      <c r="AI75" s="14" t="s">
        <v>389</v>
      </c>
      <c r="AJ75" s="9"/>
      <c r="AK75" s="9"/>
      <c r="AL75" s="23">
        <f>AC10</f>
        <v>7.2399999999999992E-2</v>
      </c>
      <c r="AM75" s="9"/>
      <c r="AN75" s="9"/>
      <c r="AO75" s="9"/>
      <c r="AP75" s="9"/>
      <c r="AQ75" s="9"/>
      <c r="AR75" s="15"/>
      <c r="AS75" s="9"/>
      <c r="AT75" s="9"/>
      <c r="AV75" s="9"/>
      <c r="AW75" s="9"/>
      <c r="AY75" s="79"/>
    </row>
    <row r="76" spans="1:51" x14ac:dyDescent="0.15">
      <c r="A76" s="14" t="s">
        <v>296</v>
      </c>
      <c r="B76" s="9"/>
      <c r="C76" s="9">
        <v>0.728302</v>
      </c>
      <c r="D76" s="9"/>
      <c r="E76" s="9"/>
      <c r="F76" s="15"/>
      <c r="G76" s="9"/>
      <c r="H76" s="40">
        <v>0.8</v>
      </c>
      <c r="I76" s="23">
        <f t="shared" si="4"/>
        <v>4.0000000000000009</v>
      </c>
      <c r="J76" s="17">
        <f t="shared" si="7"/>
        <v>1.0942269409422696</v>
      </c>
      <c r="K76" s="15"/>
      <c r="O76" s="14"/>
      <c r="P76" s="9"/>
      <c r="Q76" s="15"/>
      <c r="U76" s="27"/>
      <c r="V76" s="28"/>
      <c r="W76" s="69" t="s">
        <v>366</v>
      </c>
      <c r="X76" s="58"/>
      <c r="Y76" s="10"/>
      <c r="Z76" s="10"/>
      <c r="AA76" s="10"/>
      <c r="AB76" s="10"/>
      <c r="AC76" s="10"/>
      <c r="AD76" s="10"/>
      <c r="AE76" s="28"/>
      <c r="AI76" s="14" t="s">
        <v>390</v>
      </c>
      <c r="AJ76" s="9"/>
      <c r="AK76" s="9"/>
      <c r="AL76" s="9" t="s">
        <v>422</v>
      </c>
      <c r="AM76" s="9"/>
      <c r="AN76" s="9"/>
      <c r="AO76" s="9"/>
      <c r="AP76" s="9"/>
      <c r="AQ76" s="9"/>
      <c r="AR76" s="15"/>
      <c r="AS76" s="9"/>
      <c r="AT76" s="9"/>
      <c r="AV76" s="9"/>
      <c r="AW76" s="9"/>
    </row>
    <row r="77" spans="1:51" x14ac:dyDescent="0.15">
      <c r="A77" s="14" t="s">
        <v>329</v>
      </c>
      <c r="B77" s="9"/>
      <c r="C77" s="9">
        <v>0.40273999999999999</v>
      </c>
      <c r="D77" s="9"/>
      <c r="E77" s="9"/>
      <c r="F77" s="15"/>
      <c r="G77" s="9"/>
      <c r="H77" s="42">
        <v>0.9</v>
      </c>
      <c r="I77" s="44">
        <f t="shared" si="4"/>
        <v>9.0000000000000018</v>
      </c>
      <c r="J77" s="45">
        <f t="shared" si="7"/>
        <v>2.1094890510948909</v>
      </c>
      <c r="K77" s="28"/>
      <c r="O77" s="14" t="s">
        <v>321</v>
      </c>
      <c r="P77" s="9"/>
      <c r="Q77" s="15"/>
      <c r="S77" s="47"/>
      <c r="U77" s="11" t="s">
        <v>347</v>
      </c>
      <c r="V77" s="13"/>
      <c r="W77" s="68">
        <f>('Income Statement'!R36+'Cashflow Statement'!R6)/'Balance Sheet'!R55</f>
        <v>0.21348162213481622</v>
      </c>
      <c r="X77" s="11"/>
      <c r="Y77" s="12"/>
      <c r="Z77" s="12"/>
      <c r="AA77" s="12"/>
      <c r="AB77" s="12"/>
      <c r="AC77" s="12"/>
      <c r="AD77" s="12"/>
      <c r="AE77" s="13"/>
      <c r="AI77" s="14" t="s">
        <v>398</v>
      </c>
      <c r="AJ77" s="9"/>
      <c r="AK77" s="9"/>
      <c r="AL77" s="75">
        <f>'Balance Sheet'!R55</f>
        <v>7373</v>
      </c>
      <c r="AM77" s="9"/>
      <c r="AN77" s="9"/>
      <c r="AO77" s="9"/>
      <c r="AP77" s="9"/>
      <c r="AQ77" s="9"/>
      <c r="AR77" s="15"/>
      <c r="AS77" s="9"/>
      <c r="AT77" s="9"/>
      <c r="AV77" s="9"/>
      <c r="AW77" s="9"/>
    </row>
    <row r="78" spans="1:51" x14ac:dyDescent="0.15">
      <c r="A78" s="14" t="s">
        <v>297</v>
      </c>
      <c r="B78" s="9"/>
      <c r="C78" s="9">
        <v>0.4032</v>
      </c>
      <c r="D78" s="9"/>
      <c r="E78" s="9"/>
      <c r="F78" s="15"/>
      <c r="G78" s="9"/>
      <c r="H78" s="9"/>
      <c r="I78" s="9"/>
      <c r="J78" s="9"/>
      <c r="K78" s="9"/>
      <c r="O78" s="14" t="s">
        <v>452</v>
      </c>
      <c r="P78" s="9"/>
      <c r="Q78" s="15">
        <v>0.68</v>
      </c>
      <c r="U78" s="27"/>
      <c r="V78" s="28"/>
      <c r="W78" s="69" t="s">
        <v>371</v>
      </c>
      <c r="X78" s="27"/>
      <c r="Y78" s="10"/>
      <c r="Z78" s="10"/>
      <c r="AA78" s="10"/>
      <c r="AB78" s="10"/>
      <c r="AC78" s="10"/>
      <c r="AD78" s="10"/>
      <c r="AE78" s="28"/>
      <c r="AI78" s="14" t="s">
        <v>391</v>
      </c>
      <c r="AJ78" s="9"/>
      <c r="AK78" s="9"/>
      <c r="AL78" s="75">
        <f>10950-AL82</f>
        <v>5238.2066862644133</v>
      </c>
      <c r="AM78" s="9"/>
      <c r="AN78" s="9"/>
      <c r="AO78" s="9"/>
      <c r="AP78" s="9"/>
      <c r="AQ78" s="9"/>
      <c r="AR78" s="15"/>
      <c r="AS78" s="9"/>
      <c r="AT78" s="9"/>
      <c r="AV78" s="9"/>
      <c r="AW78" s="9"/>
    </row>
    <row r="79" spans="1:51" ht="15.75" x14ac:dyDescent="0.15">
      <c r="A79" s="14" t="s">
        <v>298</v>
      </c>
      <c r="B79" s="9"/>
      <c r="C79" s="9">
        <v>9.2700000000000005E-2</v>
      </c>
      <c r="D79" s="9"/>
      <c r="E79" s="9"/>
      <c r="F79" s="15"/>
      <c r="G79" s="9"/>
      <c r="H79" s="32" t="s">
        <v>280</v>
      </c>
      <c r="I79" s="13"/>
      <c r="J79" s="9"/>
      <c r="K79" s="9"/>
      <c r="O79" s="14" t="s">
        <v>453</v>
      </c>
      <c r="P79" s="9"/>
      <c r="Q79" s="35">
        <v>0.28000000000000003</v>
      </c>
      <c r="S79" s="48"/>
      <c r="U79" s="11" t="s">
        <v>348</v>
      </c>
      <c r="V79" s="13"/>
      <c r="W79" s="68">
        <f>694/'Balance Sheet'!R55</f>
        <v>9.4127220941272211E-2</v>
      </c>
      <c r="X79" s="11"/>
      <c r="Y79" s="57"/>
      <c r="Z79" s="12"/>
      <c r="AA79" s="12"/>
      <c r="AB79" s="12"/>
      <c r="AC79" s="12"/>
      <c r="AD79" s="12"/>
      <c r="AE79" s="13"/>
      <c r="AI79" s="14" t="s">
        <v>392</v>
      </c>
      <c r="AJ79" s="9"/>
      <c r="AK79" s="9"/>
      <c r="AL79" s="75">
        <f>AS7</f>
        <v>3754</v>
      </c>
      <c r="AM79" s="9"/>
      <c r="AN79" s="9"/>
      <c r="AO79" s="9"/>
      <c r="AP79" s="9"/>
      <c r="AQ79" s="9"/>
      <c r="AR79" s="15"/>
      <c r="AS79" s="9"/>
      <c r="AT79" s="9"/>
      <c r="AV79" s="9"/>
      <c r="AW79" s="9"/>
    </row>
    <row r="80" spans="1:51" x14ac:dyDescent="0.15">
      <c r="A80" s="14" t="s">
        <v>299</v>
      </c>
      <c r="B80" s="9"/>
      <c r="C80" s="9">
        <v>60</v>
      </c>
      <c r="D80" s="9"/>
      <c r="E80" s="9"/>
      <c r="F80" s="15"/>
      <c r="G80" s="9"/>
      <c r="H80" s="14"/>
      <c r="I80" s="15"/>
      <c r="J80" s="9"/>
      <c r="K80" s="9"/>
      <c r="O80" s="14" t="s">
        <v>319</v>
      </c>
      <c r="P80" s="9"/>
      <c r="Q80" s="24">
        <v>3.8399999999999997E-2</v>
      </c>
      <c r="U80" s="27"/>
      <c r="V80" s="28"/>
      <c r="W80" s="69" t="s">
        <v>366</v>
      </c>
      <c r="X80" s="27"/>
      <c r="Y80" s="10"/>
      <c r="Z80" s="10"/>
      <c r="AA80" s="10"/>
      <c r="AB80" s="10"/>
      <c r="AC80" s="10"/>
      <c r="AD80" s="10"/>
      <c r="AE80" s="28"/>
      <c r="AI80" s="76" t="s">
        <v>393</v>
      </c>
      <c r="AJ80" s="9"/>
      <c r="AK80" s="9"/>
      <c r="AL80" s="9"/>
      <c r="AM80" s="9"/>
      <c r="AN80" s="9"/>
      <c r="AO80" s="9"/>
      <c r="AP80" s="9"/>
      <c r="AQ80" s="9"/>
      <c r="AR80" s="15"/>
      <c r="AS80" s="9"/>
      <c r="AT80" s="9"/>
      <c r="AV80" s="9"/>
      <c r="AW80" s="9"/>
    </row>
    <row r="81" spans="1:49" x14ac:dyDescent="0.15">
      <c r="A81" s="14"/>
      <c r="B81" s="9"/>
      <c r="C81" s="9"/>
      <c r="D81" s="9"/>
      <c r="E81" s="9"/>
      <c r="F81" s="15"/>
      <c r="G81" s="9"/>
      <c r="H81" s="14" t="s">
        <v>309</v>
      </c>
      <c r="I81" s="15">
        <v>0.16</v>
      </c>
      <c r="J81" s="9"/>
      <c r="K81" s="9"/>
      <c r="O81" s="14" t="s">
        <v>320</v>
      </c>
      <c r="P81" s="9"/>
      <c r="Q81" s="24">
        <v>9.74E-2</v>
      </c>
      <c r="U81" s="11" t="s">
        <v>349</v>
      </c>
      <c r="V81" s="13"/>
      <c r="W81" s="68">
        <f>'Income Statement'!R29/'Balance Sheet'!R66</f>
        <v>0.2597229621736814</v>
      </c>
      <c r="X81" s="11"/>
      <c r="Y81" s="12"/>
      <c r="Z81" s="12"/>
      <c r="AA81" s="12"/>
      <c r="AB81" s="12"/>
      <c r="AC81" s="12"/>
      <c r="AD81" s="12"/>
      <c r="AE81" s="13"/>
      <c r="AI81" s="14"/>
      <c r="AJ81" s="9"/>
      <c r="AK81" s="9"/>
      <c r="AL81" s="9"/>
      <c r="AM81" s="9"/>
      <c r="AN81" s="9"/>
      <c r="AO81" s="9"/>
      <c r="AP81" s="9"/>
      <c r="AQ81" s="9"/>
      <c r="AR81" s="15"/>
      <c r="AS81" s="9"/>
      <c r="AT81" s="9"/>
      <c r="AV81" s="9"/>
      <c r="AW81" s="9"/>
    </row>
    <row r="82" spans="1:49" x14ac:dyDescent="0.15">
      <c r="A82" s="14" t="s">
        <v>300</v>
      </c>
      <c r="B82" s="9"/>
      <c r="C82" s="9"/>
      <c r="D82" s="9"/>
      <c r="E82" s="9"/>
      <c r="F82" s="15"/>
      <c r="G82" s="9"/>
      <c r="H82" s="14" t="s">
        <v>292</v>
      </c>
      <c r="I82" s="15">
        <v>0.45</v>
      </c>
      <c r="J82" s="9"/>
      <c r="K82" s="9"/>
      <c r="O82" s="14" t="s">
        <v>418</v>
      </c>
      <c r="P82" s="9"/>
      <c r="Q82" s="26">
        <f>Q80*(1-Q79)+Q78*((Q81-Q80*(1-Q79)))</f>
        <v>7.5079359999999998E-2</v>
      </c>
      <c r="U82" s="14"/>
      <c r="V82" s="15"/>
      <c r="W82" s="70" t="s">
        <v>364</v>
      </c>
      <c r="X82" s="14"/>
      <c r="Y82" s="9"/>
      <c r="Z82" s="9"/>
      <c r="AA82" s="9"/>
      <c r="AB82" s="9"/>
      <c r="AC82" s="9"/>
      <c r="AD82" s="9"/>
      <c r="AE82" s="15"/>
      <c r="AI82" s="14" t="s">
        <v>399</v>
      </c>
      <c r="AJ82" s="9"/>
      <c r="AK82" s="9"/>
      <c r="AL82" s="77">
        <f>AL74*((1-1/(1+AL75)^12.76)/AL75)+AL77/(1+AL75)^12.76</f>
        <v>5711.7933137355867</v>
      </c>
      <c r="AM82" s="9"/>
      <c r="AN82" s="9"/>
      <c r="AO82" s="9"/>
      <c r="AP82" s="9"/>
      <c r="AQ82" s="9"/>
      <c r="AR82" s="15"/>
      <c r="AS82" s="9"/>
      <c r="AT82" s="9"/>
      <c r="AV82" s="9"/>
      <c r="AW82" s="9"/>
    </row>
    <row r="83" spans="1:49" x14ac:dyDescent="0.15">
      <c r="A83" s="14"/>
      <c r="B83" s="9" t="s">
        <v>301</v>
      </c>
      <c r="C83" s="9" t="s">
        <v>302</v>
      </c>
      <c r="D83" s="9" t="s">
        <v>303</v>
      </c>
      <c r="E83" s="9" t="s">
        <v>304</v>
      </c>
      <c r="F83" s="15" t="s">
        <v>305</v>
      </c>
      <c r="G83" s="9"/>
      <c r="H83" s="14" t="s">
        <v>293</v>
      </c>
      <c r="I83" s="15">
        <v>0.21</v>
      </c>
      <c r="J83" s="9"/>
      <c r="K83" s="9"/>
      <c r="O83" s="27"/>
      <c r="P83" s="10"/>
      <c r="Q83" s="28"/>
      <c r="U83" s="27"/>
      <c r="V83" s="28"/>
      <c r="W83" s="69"/>
      <c r="X83" s="27"/>
      <c r="Y83" s="10"/>
      <c r="Z83" s="10"/>
      <c r="AA83" s="10"/>
      <c r="AB83" s="10"/>
      <c r="AC83" s="10"/>
      <c r="AD83" s="10"/>
      <c r="AE83" s="28"/>
      <c r="AI83" s="14"/>
      <c r="AJ83" s="9"/>
      <c r="AK83" s="9"/>
      <c r="AL83" s="9"/>
      <c r="AM83" s="9"/>
      <c r="AN83" s="9"/>
      <c r="AO83" s="9"/>
      <c r="AP83" s="9"/>
      <c r="AQ83" s="9"/>
      <c r="AR83" s="15"/>
      <c r="AS83" s="9"/>
      <c r="AT83" s="9"/>
      <c r="AV83" s="9"/>
      <c r="AW83" s="9"/>
    </row>
    <row r="84" spans="1:49" x14ac:dyDescent="0.15">
      <c r="A84" s="14" t="s">
        <v>306</v>
      </c>
      <c r="B84" s="9">
        <v>1</v>
      </c>
      <c r="C84" s="9">
        <v>0.56269999999999998</v>
      </c>
      <c r="D84" s="9">
        <v>0.56269999999999998</v>
      </c>
      <c r="E84" s="9">
        <v>65.515500000000003</v>
      </c>
      <c r="F84" s="15">
        <v>0</v>
      </c>
      <c r="G84" s="9"/>
      <c r="H84" s="29" t="s">
        <v>310</v>
      </c>
      <c r="I84" s="46">
        <v>0.68</v>
      </c>
      <c r="J84" s="9"/>
      <c r="K84" s="9"/>
      <c r="U84" s="11" t="s">
        <v>350</v>
      </c>
      <c r="V84" s="13"/>
      <c r="W84" s="68">
        <f>'Income Statement'!R27/'Income Statement'!R3</f>
        <v>0.26110444177671066</v>
      </c>
      <c r="X84" s="11"/>
      <c r="Y84" s="12"/>
      <c r="Z84" s="12"/>
      <c r="AA84" s="12"/>
      <c r="AB84" s="57"/>
      <c r="AC84" s="12"/>
      <c r="AD84" s="12"/>
      <c r="AE84" s="13"/>
      <c r="AI84" s="14"/>
      <c r="AJ84" s="9" t="s">
        <v>394</v>
      </c>
      <c r="AK84" s="20" t="s">
        <v>395</v>
      </c>
      <c r="AL84" s="9"/>
      <c r="AM84" s="9"/>
      <c r="AN84" s="9"/>
      <c r="AO84" s="9"/>
      <c r="AP84" s="9"/>
      <c r="AQ84" s="9"/>
      <c r="AR84" s="15"/>
      <c r="AS84" s="9"/>
      <c r="AT84" s="9"/>
      <c r="AV84" s="9"/>
      <c r="AW84" s="9"/>
    </row>
    <row r="85" spans="1:49" x14ac:dyDescent="0.15">
      <c r="A85" s="14" t="s">
        <v>307</v>
      </c>
      <c r="B85" s="9">
        <v>58</v>
      </c>
      <c r="C85" s="9">
        <v>0.49819999999999998</v>
      </c>
      <c r="D85" s="9">
        <v>8.6E-3</v>
      </c>
      <c r="E85" s="9"/>
      <c r="F85" s="15"/>
      <c r="G85" s="9"/>
      <c r="H85" s="27" t="s">
        <v>330</v>
      </c>
      <c r="I85" s="28">
        <v>0.68</v>
      </c>
      <c r="J85" s="9"/>
      <c r="K85" s="9"/>
      <c r="U85" s="14"/>
      <c r="V85" s="15"/>
      <c r="W85" s="70" t="s">
        <v>372</v>
      </c>
      <c r="X85" s="14"/>
      <c r="Y85" s="9"/>
      <c r="Z85" s="9"/>
      <c r="AA85" s="9"/>
      <c r="AB85" s="9"/>
      <c r="AC85" s="9"/>
      <c r="AD85" s="9"/>
      <c r="AE85" s="15"/>
      <c r="AI85" s="14" t="s">
        <v>396</v>
      </c>
      <c r="AJ85" s="25">
        <f>AL82/AL78</f>
        <v>1.0904100689102263</v>
      </c>
      <c r="AK85" s="25">
        <f>AL77/AL79</f>
        <v>1.9640383590836441</v>
      </c>
      <c r="AL85" s="9"/>
      <c r="AM85" s="9"/>
      <c r="AN85" s="9"/>
      <c r="AO85" s="9"/>
      <c r="AP85" s="9"/>
      <c r="AQ85" s="9"/>
      <c r="AR85" s="15"/>
      <c r="AS85" s="9"/>
      <c r="AT85" s="9"/>
      <c r="AV85" s="9"/>
      <c r="AW85" s="9"/>
    </row>
    <row r="86" spans="1:49" x14ac:dyDescent="0.15">
      <c r="A86" s="27" t="s">
        <v>308</v>
      </c>
      <c r="B86" s="10">
        <v>59</v>
      </c>
      <c r="C86" s="10">
        <v>1.0609</v>
      </c>
      <c r="D86" s="10"/>
      <c r="E86" s="10"/>
      <c r="F86" s="28"/>
      <c r="G86" s="9"/>
      <c r="H86" s="9"/>
      <c r="I86" s="9"/>
      <c r="J86" s="9"/>
      <c r="K86" s="9"/>
      <c r="U86" s="27"/>
      <c r="V86" s="28"/>
      <c r="W86" s="69"/>
      <c r="X86" s="27"/>
      <c r="Y86" s="10"/>
      <c r="Z86" s="10"/>
      <c r="AA86" s="10"/>
      <c r="AB86" s="10"/>
      <c r="AC86" s="10"/>
      <c r="AD86" s="10"/>
      <c r="AE86" s="28"/>
      <c r="AI86" s="27" t="s">
        <v>397</v>
      </c>
      <c r="AJ86" s="78">
        <f>AL82/(AL78+AL82)</f>
        <v>0.52162496015850102</v>
      </c>
      <c r="AK86" s="78">
        <f>AL77/(AL77+AL79)</f>
        <v>0.66262244989664776</v>
      </c>
      <c r="AL86" s="10"/>
      <c r="AM86" s="10"/>
      <c r="AN86" s="10"/>
      <c r="AO86" s="10"/>
      <c r="AP86" s="10"/>
      <c r="AQ86" s="10"/>
      <c r="AR86" s="28"/>
      <c r="AS86" s="9"/>
      <c r="AT86" s="9"/>
      <c r="AV86" s="9"/>
      <c r="AW86" s="9"/>
    </row>
    <row r="87" spans="1:49" x14ac:dyDescent="0.15">
      <c r="AS87" s="9"/>
      <c r="AT87" s="9"/>
      <c r="AV87" s="9"/>
      <c r="AW87" s="9"/>
    </row>
    <row r="88" spans="1:49" x14ac:dyDescent="0.15">
      <c r="U88" s="11" t="s">
        <v>353</v>
      </c>
      <c r="V88" s="12"/>
      <c r="W88" s="12"/>
      <c r="X88" s="12"/>
      <c r="Y88" s="12"/>
      <c r="Z88" s="12"/>
      <c r="AA88" s="12"/>
      <c r="AB88" s="12"/>
      <c r="AC88" s="12"/>
      <c r="AD88" s="13"/>
      <c r="AI88" s="11" t="s">
        <v>400</v>
      </c>
      <c r="AJ88" s="12"/>
      <c r="AK88" s="12"/>
      <c r="AL88" s="12"/>
      <c r="AM88" s="12"/>
      <c r="AN88" s="12"/>
      <c r="AO88" s="12"/>
      <c r="AP88" s="13"/>
      <c r="AS88" s="9"/>
      <c r="AT88" s="9"/>
      <c r="AV88" s="9"/>
      <c r="AW88" s="9"/>
    </row>
    <row r="89" spans="1:49" x14ac:dyDescent="0.15">
      <c r="U89" s="14"/>
      <c r="V89" s="9"/>
      <c r="W89" s="20" t="s">
        <v>363</v>
      </c>
      <c r="X89" s="20" t="s">
        <v>364</v>
      </c>
      <c r="Y89" s="9"/>
      <c r="Z89" s="20" t="s">
        <v>365</v>
      </c>
      <c r="AA89" s="20" t="s">
        <v>366</v>
      </c>
      <c r="AB89" s="20" t="s">
        <v>367</v>
      </c>
      <c r="AC89" s="20" t="s">
        <v>368</v>
      </c>
      <c r="AD89" s="15" t="s">
        <v>369</v>
      </c>
      <c r="AI89" s="14"/>
      <c r="AJ89" s="9"/>
      <c r="AK89" s="9"/>
      <c r="AL89" s="9"/>
      <c r="AM89" s="9"/>
      <c r="AN89" s="9"/>
      <c r="AO89" s="9"/>
      <c r="AP89" s="15"/>
      <c r="AS89" s="9"/>
      <c r="AT89" s="9"/>
      <c r="AV89" s="9"/>
      <c r="AW89" s="9"/>
    </row>
    <row r="90" spans="1:49" x14ac:dyDescent="0.15">
      <c r="U90" s="14" t="s">
        <v>354</v>
      </c>
      <c r="V90" s="9"/>
      <c r="W90" s="20">
        <v>17.5</v>
      </c>
      <c r="X90" s="20">
        <v>10.8</v>
      </c>
      <c r="Y90" s="20"/>
      <c r="Z90" s="20">
        <v>6.8</v>
      </c>
      <c r="AA90" s="20">
        <v>3.9</v>
      </c>
      <c r="AB90" s="20">
        <v>2.2999999999999998</v>
      </c>
      <c r="AC90" s="20">
        <v>1</v>
      </c>
      <c r="AD90" s="21">
        <v>0.2</v>
      </c>
      <c r="AI90" s="14" t="s">
        <v>401</v>
      </c>
      <c r="AJ90" s="9" t="s">
        <v>402</v>
      </c>
      <c r="AK90" s="9" t="s">
        <v>403</v>
      </c>
      <c r="AL90" s="9" t="s">
        <v>404</v>
      </c>
      <c r="AM90" s="9" t="s">
        <v>405</v>
      </c>
      <c r="AN90" s="9" t="s">
        <v>406</v>
      </c>
      <c r="AO90" s="9" t="s">
        <v>407</v>
      </c>
      <c r="AP90" s="15" t="s">
        <v>408</v>
      </c>
      <c r="AS90" s="9"/>
      <c r="AT90" s="9"/>
      <c r="AV90" s="9"/>
      <c r="AW90" s="9"/>
    </row>
    <row r="91" spans="1:49" x14ac:dyDescent="0.15">
      <c r="U91" s="14" t="s">
        <v>355</v>
      </c>
      <c r="V91" s="9"/>
      <c r="W91" s="20">
        <v>21.8</v>
      </c>
      <c r="X91" s="20">
        <v>14.6</v>
      </c>
      <c r="Y91" s="20"/>
      <c r="Z91" s="20">
        <v>9.6</v>
      </c>
      <c r="AA91" s="20">
        <v>6.1</v>
      </c>
      <c r="AB91" s="20">
        <v>3.8</v>
      </c>
      <c r="AC91" s="20">
        <v>2</v>
      </c>
      <c r="AD91" s="21">
        <v>1.4</v>
      </c>
      <c r="AI91" s="84">
        <v>0</v>
      </c>
      <c r="AJ91" s="81">
        <f>J13</f>
        <v>0.28201725282017254</v>
      </c>
      <c r="AK91" s="82">
        <f>$Q$80+AJ91*($Q$81-$Q$80)</f>
        <v>5.5039017916390182E-2</v>
      </c>
      <c r="AL91" s="20" t="s">
        <v>409</v>
      </c>
      <c r="AM91" s="83">
        <f>AC8+0.0013</f>
        <v>3.9699999999999999E-2</v>
      </c>
      <c r="AN91" s="80">
        <v>0.28000000000000003</v>
      </c>
      <c r="AO91" s="82">
        <f>AM91*(1-AN91)</f>
        <v>2.8583999999999998E-2</v>
      </c>
      <c r="AP91" s="85">
        <f>AK91</f>
        <v>5.5039017916390182E-2</v>
      </c>
    </row>
    <row r="92" spans="1:49" x14ac:dyDescent="0.15">
      <c r="U92" s="14" t="s">
        <v>356</v>
      </c>
      <c r="V92" s="9"/>
      <c r="W92" s="20">
        <v>105.8</v>
      </c>
      <c r="X92" s="20">
        <v>55.8</v>
      </c>
      <c r="Y92" s="20"/>
      <c r="Z92" s="20">
        <v>46.1</v>
      </c>
      <c r="AA92" s="20">
        <v>30.5</v>
      </c>
      <c r="AB92" s="20">
        <v>19.2</v>
      </c>
      <c r="AC92" s="20">
        <v>9.4</v>
      </c>
      <c r="AD92" s="21">
        <v>5.8</v>
      </c>
      <c r="AI92" s="84">
        <v>0.1</v>
      </c>
      <c r="AJ92" s="81">
        <f>J14</f>
        <v>0.30457863304578636</v>
      </c>
      <c r="AK92" s="82">
        <f t="shared" ref="AK92:AK100" si="8">$Q$80+AJ92*($Q$81-$Q$80)</f>
        <v>5.6370139349701393E-2</v>
      </c>
      <c r="AL92" s="20" t="s">
        <v>410</v>
      </c>
      <c r="AM92" s="83">
        <f>3.84%+0.0027</f>
        <v>4.1099999999999998E-2</v>
      </c>
      <c r="AN92" s="80">
        <v>0.28000000000000003</v>
      </c>
      <c r="AO92" s="82">
        <f t="shared" ref="AO92:AO100" si="9">AM92*(1-AN92)</f>
        <v>2.9591999999999997E-2</v>
      </c>
      <c r="AP92" s="85">
        <f>AI92*AO92+AK92*(1-AI92)</f>
        <v>5.3692325414731255E-2</v>
      </c>
    </row>
    <row r="93" spans="1:49" x14ac:dyDescent="0.15">
      <c r="U93" s="14" t="s">
        <v>357</v>
      </c>
      <c r="V93" s="9"/>
      <c r="W93" s="20">
        <v>55.4</v>
      </c>
      <c r="X93" s="20">
        <v>24.6</v>
      </c>
      <c r="Y93" s="20"/>
      <c r="Z93" s="20">
        <v>15.6</v>
      </c>
      <c r="AA93" s="20">
        <v>6.6</v>
      </c>
      <c r="AB93" s="20">
        <v>1.9</v>
      </c>
      <c r="AC93" s="20">
        <v>-4.5</v>
      </c>
      <c r="AD93" s="21">
        <v>-14</v>
      </c>
      <c r="AI93" s="84">
        <v>0.2</v>
      </c>
      <c r="AJ93" s="81">
        <f>J15</f>
        <v>0.33278035832780356</v>
      </c>
      <c r="AK93" s="82">
        <f t="shared" si="8"/>
        <v>5.8034041141340406E-2</v>
      </c>
      <c r="AL93" s="20" t="s">
        <v>411</v>
      </c>
      <c r="AM93" s="83">
        <f>3.84%+0.0097</f>
        <v>4.8099999999999997E-2</v>
      </c>
      <c r="AN93" s="80">
        <v>0.28000000000000003</v>
      </c>
      <c r="AO93" s="82">
        <f t="shared" si="9"/>
        <v>3.4631999999999996E-2</v>
      </c>
      <c r="AP93" s="85">
        <f t="shared" ref="AP93:AP100" si="10">AI93*AO93+AK93*(1-AI93)</f>
        <v>5.3353632913072324E-2</v>
      </c>
    </row>
    <row r="94" spans="1:49" x14ac:dyDescent="0.15">
      <c r="U94" s="14" t="s">
        <v>358</v>
      </c>
      <c r="V94" s="9"/>
      <c r="W94" s="20">
        <v>28.2</v>
      </c>
      <c r="X94" s="20">
        <v>22.9</v>
      </c>
      <c r="Y94" s="20"/>
      <c r="Z94" s="20">
        <v>19.899999999999999</v>
      </c>
      <c r="AA94" s="20">
        <v>14</v>
      </c>
      <c r="AB94" s="20">
        <v>11.7</v>
      </c>
      <c r="AC94" s="20">
        <v>7.2</v>
      </c>
      <c r="AD94" s="21">
        <v>0.5</v>
      </c>
      <c r="AI94" s="84">
        <v>0.3</v>
      </c>
      <c r="AJ94" s="81">
        <f>J71</f>
        <v>0.36903971940468294</v>
      </c>
      <c r="AK94" s="82">
        <f t="shared" si="8"/>
        <v>6.0173343444876293E-2</v>
      </c>
      <c r="AL94" s="20" t="s">
        <v>412</v>
      </c>
      <c r="AM94" s="83">
        <f>3.84%+3.41%</f>
        <v>7.2499999999999995E-2</v>
      </c>
      <c r="AN94" s="80">
        <v>0.28000000000000003</v>
      </c>
      <c r="AO94" s="82">
        <f t="shared" si="9"/>
        <v>5.2199999999999996E-2</v>
      </c>
      <c r="AP94" s="85">
        <f t="shared" si="10"/>
        <v>5.7781340411413404E-2</v>
      </c>
    </row>
    <row r="95" spans="1:49" x14ac:dyDescent="0.15">
      <c r="U95" s="14" t="s">
        <v>359</v>
      </c>
      <c r="V95" s="9"/>
      <c r="W95" s="20">
        <v>29.2</v>
      </c>
      <c r="X95" s="20">
        <v>21.3</v>
      </c>
      <c r="Y95" s="20"/>
      <c r="Z95" s="20">
        <v>18.3</v>
      </c>
      <c r="AA95" s="20">
        <v>15.3</v>
      </c>
      <c r="AB95" s="20">
        <v>15.4</v>
      </c>
      <c r="AC95" s="20">
        <v>11.2</v>
      </c>
      <c r="AD95" s="21">
        <v>13.6</v>
      </c>
      <c r="AI95" s="84">
        <v>0.4</v>
      </c>
      <c r="AJ95" s="81">
        <f t="shared" ref="AJ95:AJ100" si="11">J72</f>
        <v>0.41738553417385538</v>
      </c>
      <c r="AK95" s="82">
        <f t="shared" si="8"/>
        <v>6.3025746516257461E-2</v>
      </c>
      <c r="AL95" s="20" t="s">
        <v>413</v>
      </c>
      <c r="AM95" s="83">
        <f>3.84%+5%</f>
        <v>8.8400000000000006E-2</v>
      </c>
      <c r="AN95" s="80">
        <v>0.28000000000000003</v>
      </c>
      <c r="AO95" s="82">
        <f t="shared" si="9"/>
        <v>6.3647999999999996E-2</v>
      </c>
      <c r="AP95" s="85">
        <f t="shared" si="10"/>
        <v>6.3274647909754483E-2</v>
      </c>
    </row>
    <row r="96" spans="1:49" x14ac:dyDescent="0.15">
      <c r="U96" s="14" t="s">
        <v>360</v>
      </c>
      <c r="V96" s="9"/>
      <c r="W96" s="20">
        <v>15.2</v>
      </c>
      <c r="X96" s="20">
        <v>26.4</v>
      </c>
      <c r="Y96" s="20"/>
      <c r="Z96" s="20">
        <v>32.5</v>
      </c>
      <c r="AA96" s="20">
        <v>41</v>
      </c>
      <c r="AB96" s="20">
        <v>55.8</v>
      </c>
      <c r="AC96" s="20">
        <v>70.7</v>
      </c>
      <c r="AD96" s="21">
        <v>80.3</v>
      </c>
      <c r="AI96" s="84">
        <v>0.5</v>
      </c>
      <c r="AJ96" s="81">
        <f t="shared" si="11"/>
        <v>0.48506967485069674</v>
      </c>
      <c r="AK96" s="82">
        <f t="shared" si="8"/>
        <v>6.7019110816191108E-2</v>
      </c>
      <c r="AL96" s="20" t="s">
        <v>413</v>
      </c>
      <c r="AM96" s="83">
        <v>8.8400000000000006E-2</v>
      </c>
      <c r="AN96" s="83">
        <v>0.2432</v>
      </c>
      <c r="AO96" s="82">
        <f t="shared" si="9"/>
        <v>6.6901120000000008E-2</v>
      </c>
      <c r="AP96" s="85">
        <f t="shared" si="10"/>
        <v>6.6960115408095558E-2</v>
      </c>
    </row>
    <row r="97" spans="21:42" x14ac:dyDescent="0.15">
      <c r="U97" s="14" t="s">
        <v>361</v>
      </c>
      <c r="V97" s="9"/>
      <c r="W97" s="20">
        <v>26.9</v>
      </c>
      <c r="X97" s="20">
        <v>35.6</v>
      </c>
      <c r="Y97" s="20"/>
      <c r="Z97" s="20">
        <v>40.1</v>
      </c>
      <c r="AA97" s="20">
        <v>47.4</v>
      </c>
      <c r="AB97" s="20">
        <v>61.3</v>
      </c>
      <c r="AC97" s="20">
        <v>74.599999999999994</v>
      </c>
      <c r="AD97" s="21">
        <v>89.4</v>
      </c>
      <c r="AI97" s="84">
        <v>0.6</v>
      </c>
      <c r="AJ97" s="81">
        <f t="shared" si="11"/>
        <v>0.5865958858659589</v>
      </c>
      <c r="AK97" s="82">
        <f t="shared" si="8"/>
        <v>7.3009157266091571E-2</v>
      </c>
      <c r="AL97" s="20" t="s">
        <v>414</v>
      </c>
      <c r="AM97" s="83">
        <f>3.84%+12.2%</f>
        <v>0.16039999999999999</v>
      </c>
      <c r="AN97" s="83">
        <v>0.19869999999999999</v>
      </c>
      <c r="AO97" s="82">
        <f t="shared" si="9"/>
        <v>0.12852851999999998</v>
      </c>
      <c r="AP97" s="85">
        <f t="shared" si="10"/>
        <v>0.10632077490643661</v>
      </c>
    </row>
    <row r="98" spans="21:42" x14ac:dyDescent="0.15">
      <c r="U98" s="27" t="s">
        <v>362</v>
      </c>
      <c r="V98" s="10"/>
      <c r="W98" s="64">
        <v>10</v>
      </c>
      <c r="X98" s="64">
        <v>34</v>
      </c>
      <c r="Y98" s="64"/>
      <c r="Z98" s="64">
        <v>150</v>
      </c>
      <c r="AA98" s="64">
        <v>234</v>
      </c>
      <c r="AB98" s="64">
        <v>276</v>
      </c>
      <c r="AC98" s="64">
        <v>240</v>
      </c>
      <c r="AD98" s="65">
        <v>23</v>
      </c>
      <c r="AI98" s="84">
        <v>0.7</v>
      </c>
      <c r="AJ98" s="81">
        <f t="shared" si="11"/>
        <v>0.75580623755806231</v>
      </c>
      <c r="AK98" s="82">
        <f t="shared" si="8"/>
        <v>8.2992568015925666E-2</v>
      </c>
      <c r="AL98" s="20" t="s">
        <v>414</v>
      </c>
      <c r="AM98" s="83">
        <f t="shared" ref="AM98:AM100" si="12">3.84%+12.2%</f>
        <v>0.16039999999999999</v>
      </c>
      <c r="AN98" s="83">
        <v>0.17030000000000001</v>
      </c>
      <c r="AO98" s="82">
        <f t="shared" si="9"/>
        <v>0.13308387999999999</v>
      </c>
      <c r="AP98" s="85">
        <f t="shared" si="10"/>
        <v>0.1180564864047777</v>
      </c>
    </row>
    <row r="99" spans="21:42" x14ac:dyDescent="0.15">
      <c r="U99" s="8" t="s">
        <v>370</v>
      </c>
      <c r="AI99" s="84">
        <v>0.8</v>
      </c>
      <c r="AJ99" s="81">
        <f t="shared" si="11"/>
        <v>1.0942269409422696</v>
      </c>
      <c r="AK99" s="82">
        <f t="shared" si="8"/>
        <v>0.10295938951559391</v>
      </c>
      <c r="AL99" s="20" t="s">
        <v>414</v>
      </c>
      <c r="AM99" s="83">
        <f t="shared" si="12"/>
        <v>0.16039999999999999</v>
      </c>
      <c r="AN99" s="83">
        <v>0.14910000000000001</v>
      </c>
      <c r="AO99" s="82">
        <f t="shared" si="9"/>
        <v>0.13648436</v>
      </c>
      <c r="AP99" s="85">
        <f t="shared" si="10"/>
        <v>0.12977936590311878</v>
      </c>
    </row>
    <row r="100" spans="21:42" x14ac:dyDescent="0.15">
      <c r="AI100" s="86">
        <v>0.9</v>
      </c>
      <c r="AJ100" s="87">
        <f t="shared" si="11"/>
        <v>2.1094890510948909</v>
      </c>
      <c r="AK100" s="88">
        <f t="shared" si="8"/>
        <v>0.16285985401459857</v>
      </c>
      <c r="AL100" s="89" t="s">
        <v>414</v>
      </c>
      <c r="AM100" s="83">
        <f t="shared" si="12"/>
        <v>0.16039999999999999</v>
      </c>
      <c r="AN100" s="90">
        <v>0.13250000000000001</v>
      </c>
      <c r="AO100" s="88">
        <f t="shared" si="9"/>
        <v>0.13914699999999997</v>
      </c>
      <c r="AP100" s="92">
        <f t="shared" si="10"/>
        <v>0.14151828540145983</v>
      </c>
    </row>
    <row r="101" spans="21:42" x14ac:dyDescent="0.15">
      <c r="AH101" s="15"/>
      <c r="AI101" s="91"/>
      <c r="AJ101" s="91"/>
      <c r="AK101" s="91"/>
      <c r="AL101" s="91"/>
      <c r="AM101" s="91"/>
      <c r="AN101" s="91"/>
      <c r="AO101" s="91"/>
      <c r="AP101" s="93"/>
    </row>
    <row r="102" spans="21:42" x14ac:dyDescent="0.15">
      <c r="AH102" s="15"/>
      <c r="AI102" s="9"/>
      <c r="AJ102" s="9"/>
      <c r="AK102" s="9"/>
      <c r="AL102" s="9"/>
      <c r="AM102" s="9"/>
      <c r="AN102" s="9"/>
      <c r="AO102" s="9"/>
      <c r="AP102" s="15"/>
    </row>
    <row r="103" spans="21:42" x14ac:dyDescent="0.15">
      <c r="AH103" s="15"/>
      <c r="AI103" s="9"/>
      <c r="AJ103" s="9"/>
      <c r="AK103" s="9"/>
      <c r="AL103" s="9"/>
      <c r="AM103" s="9"/>
      <c r="AN103" s="9"/>
      <c r="AO103" s="9"/>
      <c r="AP103" s="15"/>
    </row>
    <row r="104" spans="21:42" x14ac:dyDescent="0.15">
      <c r="AH104" s="15"/>
      <c r="AI104" s="9"/>
      <c r="AJ104" s="9"/>
      <c r="AK104" s="9"/>
      <c r="AL104" s="9"/>
      <c r="AM104" s="9"/>
      <c r="AN104" s="9"/>
      <c r="AO104" s="9"/>
      <c r="AP104" s="15"/>
    </row>
    <row r="105" spans="21:42" x14ac:dyDescent="0.15">
      <c r="AH105" s="15"/>
      <c r="AI105" s="9"/>
      <c r="AJ105" s="9"/>
      <c r="AK105" s="9"/>
      <c r="AL105" s="9"/>
      <c r="AM105" s="9"/>
      <c r="AN105" s="9"/>
      <c r="AO105" s="9"/>
      <c r="AP105" s="15"/>
    </row>
    <row r="106" spans="21:42" x14ac:dyDescent="0.15">
      <c r="AH106" s="15"/>
      <c r="AI106" s="9"/>
      <c r="AJ106" s="9"/>
      <c r="AK106" s="9"/>
      <c r="AL106" s="9"/>
      <c r="AM106" s="9"/>
      <c r="AN106" s="9"/>
      <c r="AO106" s="9"/>
      <c r="AP106" s="15"/>
    </row>
    <row r="107" spans="21:42" x14ac:dyDescent="0.15">
      <c r="AH107" s="15"/>
      <c r="AI107" s="9"/>
      <c r="AJ107" s="9"/>
      <c r="AK107" s="9"/>
      <c r="AL107" s="9"/>
      <c r="AM107" s="9"/>
      <c r="AN107" s="9"/>
      <c r="AO107" s="9"/>
      <c r="AP107" s="15"/>
    </row>
    <row r="108" spans="21:42" x14ac:dyDescent="0.15">
      <c r="AH108" s="15"/>
      <c r="AI108" s="9"/>
      <c r="AJ108" s="9"/>
      <c r="AK108" s="9"/>
      <c r="AL108" s="9"/>
      <c r="AM108" s="9"/>
      <c r="AN108" s="9"/>
      <c r="AO108" s="9"/>
      <c r="AP108" s="15"/>
    </row>
    <row r="109" spans="21:42" x14ac:dyDescent="0.15">
      <c r="AH109" s="15"/>
      <c r="AI109" s="9"/>
      <c r="AJ109" s="9"/>
      <c r="AK109" s="9"/>
      <c r="AL109" s="9"/>
      <c r="AM109" s="9"/>
      <c r="AN109" s="9"/>
      <c r="AO109" s="9"/>
      <c r="AP109" s="15"/>
    </row>
    <row r="110" spans="21:42" x14ac:dyDescent="0.15">
      <c r="AH110" s="15"/>
      <c r="AI110" s="9"/>
      <c r="AJ110" s="9"/>
      <c r="AK110" s="9"/>
      <c r="AL110" s="9"/>
      <c r="AM110" s="9"/>
      <c r="AN110" s="9"/>
      <c r="AO110" s="9"/>
      <c r="AP110" s="15"/>
    </row>
    <row r="111" spans="21:42" x14ac:dyDescent="0.15">
      <c r="AH111" s="15"/>
      <c r="AI111" s="9"/>
      <c r="AJ111" s="9"/>
      <c r="AK111" s="9"/>
      <c r="AL111" s="9"/>
      <c r="AM111" s="9"/>
      <c r="AN111" s="9"/>
      <c r="AO111" s="9"/>
      <c r="AP111" s="15"/>
    </row>
    <row r="112" spans="21:42" x14ac:dyDescent="0.15">
      <c r="AH112" s="15"/>
      <c r="AI112" s="9"/>
      <c r="AJ112" s="9"/>
      <c r="AK112" s="9"/>
      <c r="AL112" s="9"/>
      <c r="AM112" s="9"/>
      <c r="AN112" s="9"/>
      <c r="AO112" s="9"/>
      <c r="AP112" s="15"/>
    </row>
    <row r="113" spans="34:42" x14ac:dyDescent="0.15">
      <c r="AH113" s="15"/>
      <c r="AI113" s="9"/>
      <c r="AJ113" s="9"/>
      <c r="AK113" s="9"/>
      <c r="AL113" s="9"/>
      <c r="AM113" s="9"/>
      <c r="AN113" s="9"/>
      <c r="AO113" s="9"/>
      <c r="AP113" s="15"/>
    </row>
    <row r="114" spans="34:42" x14ac:dyDescent="0.15">
      <c r="AH114" s="15"/>
      <c r="AI114" s="9"/>
      <c r="AJ114" s="9"/>
      <c r="AK114" s="9"/>
      <c r="AL114" s="9"/>
      <c r="AM114" s="9"/>
      <c r="AN114" s="9"/>
      <c r="AO114" s="9"/>
      <c r="AP114" s="15"/>
    </row>
    <row r="115" spans="34:42" x14ac:dyDescent="0.15">
      <c r="AH115" s="15"/>
      <c r="AI115" s="9"/>
      <c r="AJ115" s="9"/>
      <c r="AK115" s="9"/>
      <c r="AL115" s="9"/>
      <c r="AM115" s="9"/>
      <c r="AN115" s="9"/>
      <c r="AO115" s="9"/>
      <c r="AP115" s="15"/>
    </row>
    <row r="116" spans="34:42" x14ac:dyDescent="0.15">
      <c r="AH116" s="15"/>
      <c r="AI116" s="9"/>
      <c r="AJ116" s="9"/>
      <c r="AK116" s="9"/>
      <c r="AL116" s="9"/>
      <c r="AM116" s="9"/>
      <c r="AN116" s="9"/>
      <c r="AO116" s="9"/>
      <c r="AP116" s="15"/>
    </row>
    <row r="117" spans="34:42" x14ac:dyDescent="0.15">
      <c r="AH117" s="15"/>
      <c r="AI117" s="9"/>
      <c r="AJ117" s="9"/>
      <c r="AK117" s="9"/>
      <c r="AL117" s="9"/>
      <c r="AM117" s="9"/>
      <c r="AN117" s="9"/>
      <c r="AO117" s="9"/>
      <c r="AP117" s="15"/>
    </row>
    <row r="118" spans="34:42" x14ac:dyDescent="0.15">
      <c r="AH118" s="15"/>
      <c r="AI118" s="27"/>
      <c r="AJ118" s="10"/>
      <c r="AK118" s="10"/>
      <c r="AL118" s="10"/>
      <c r="AM118" s="10"/>
      <c r="AN118" s="10"/>
      <c r="AO118" s="10"/>
      <c r="AP118" s="28"/>
    </row>
  </sheetData>
  <mergeCells count="5">
    <mergeCell ref="AI1:AS1"/>
    <mergeCell ref="AW1:AY1"/>
    <mergeCell ref="A1:K1"/>
    <mergeCell ref="O1:Q1"/>
    <mergeCell ref="U1:AE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opLeftCell="A4" workbookViewId="0">
      <selection activeCell="N16" sqref="N16"/>
    </sheetView>
  </sheetViews>
  <sheetFormatPr defaultColWidth="9" defaultRowHeight="15" x14ac:dyDescent="0.15"/>
  <cols>
    <col min="1" max="1" width="16.375" style="8" customWidth="1"/>
    <col min="2" max="6" width="9" style="8"/>
    <col min="7" max="7" width="1.25" style="8" customWidth="1"/>
    <col min="8" max="8" width="12" style="8" customWidth="1"/>
    <col min="9" max="9" width="14" style="8" customWidth="1"/>
    <col min="10" max="10" width="18" style="8" customWidth="1"/>
    <col min="11" max="11" width="14.75" style="8" customWidth="1"/>
    <col min="12" max="12" width="1.25" style="8" customWidth="1"/>
    <col min="13" max="14" width="14.75" style="8" customWidth="1"/>
    <col min="15" max="15" width="8.75" style="8" customWidth="1"/>
    <col min="16" max="16" width="6.625" style="8" customWidth="1"/>
    <col min="17" max="17" width="9" style="8" customWidth="1"/>
    <col min="18" max="18" width="14.75" style="8" customWidth="1"/>
    <col min="19" max="19" width="1.25" style="8" customWidth="1"/>
    <col min="20" max="25" width="9" style="8"/>
    <col min="26" max="26" width="9" style="8" customWidth="1"/>
    <col min="27" max="27" width="1.25" style="8" customWidth="1"/>
    <col min="28" max="28" width="16.375" style="8" customWidth="1"/>
    <col min="29" max="29" width="9" style="8"/>
    <col min="30" max="30" width="18.375" style="8" bestFit="1" customWidth="1"/>
    <col min="31" max="32" width="9" style="8"/>
    <col min="33" max="34" width="1.25" style="8" customWidth="1"/>
    <col min="35" max="35" width="15.625" style="8" customWidth="1"/>
    <col min="36" max="36" width="16.375" style="8" customWidth="1"/>
    <col min="37" max="37" width="10.75" style="8" customWidth="1"/>
    <col min="38" max="16384" width="9" style="8"/>
  </cols>
  <sheetData>
    <row r="1" spans="1:37" ht="20.25" x14ac:dyDescent="0.15">
      <c r="A1" s="104" t="s">
        <v>423</v>
      </c>
    </row>
    <row r="3" spans="1:37" x14ac:dyDescent="0.15">
      <c r="A3" s="11" t="s">
        <v>527</v>
      </c>
      <c r="B3" s="12"/>
      <c r="C3" s="12"/>
      <c r="D3" s="12"/>
      <c r="E3" s="12"/>
      <c r="F3" s="13"/>
      <c r="H3" s="11" t="s">
        <v>441</v>
      </c>
      <c r="I3" s="12"/>
      <c r="J3" s="12"/>
      <c r="K3" s="13"/>
      <c r="L3" s="9"/>
      <c r="M3" s="11" t="s">
        <v>511</v>
      </c>
      <c r="N3" s="12"/>
      <c r="O3" s="12"/>
      <c r="P3" s="12"/>
      <c r="Q3" s="12"/>
      <c r="R3" s="13"/>
      <c r="T3" s="11" t="s">
        <v>461</v>
      </c>
      <c r="U3" s="12"/>
      <c r="V3" s="12"/>
      <c r="W3" s="12"/>
      <c r="X3" s="12"/>
      <c r="Y3" s="12"/>
      <c r="Z3" s="13"/>
      <c r="AB3" s="11" t="s">
        <v>469</v>
      </c>
      <c r="AC3" s="12"/>
      <c r="AD3" s="12"/>
      <c r="AE3" s="12"/>
      <c r="AF3" s="12"/>
      <c r="AG3" s="13"/>
      <c r="AI3" s="11" t="s">
        <v>529</v>
      </c>
      <c r="AJ3" s="12"/>
      <c r="AK3" s="13"/>
    </row>
    <row r="4" spans="1:37" x14ac:dyDescent="0.15">
      <c r="A4" s="14"/>
      <c r="B4" s="9"/>
      <c r="C4" s="9"/>
      <c r="D4" s="9"/>
      <c r="E4" s="9"/>
      <c r="F4" s="15"/>
      <c r="H4" s="14" t="s">
        <v>442</v>
      </c>
      <c r="I4" s="9"/>
      <c r="J4" s="9"/>
      <c r="K4" s="15"/>
      <c r="L4" s="9"/>
      <c r="M4" s="14" t="s">
        <v>512</v>
      </c>
      <c r="N4" s="9"/>
      <c r="O4" s="9"/>
      <c r="P4" s="9"/>
      <c r="Q4" s="9"/>
      <c r="R4" s="15"/>
      <c r="T4" s="14" t="s">
        <v>462</v>
      </c>
      <c r="U4" s="9"/>
      <c r="V4" s="9"/>
      <c r="W4" s="9"/>
      <c r="X4" s="9"/>
      <c r="Y4" s="9"/>
      <c r="Z4" s="15"/>
      <c r="AB4" s="14" t="s">
        <v>505</v>
      </c>
      <c r="AC4" s="9"/>
      <c r="AD4" s="9"/>
      <c r="AE4" s="9"/>
      <c r="AF4" s="9"/>
      <c r="AG4" s="15"/>
      <c r="AI4" s="14" t="s">
        <v>530</v>
      </c>
      <c r="AJ4" s="9"/>
      <c r="AK4" s="15"/>
    </row>
    <row r="5" spans="1:37" x14ac:dyDescent="0.15">
      <c r="A5" s="14" t="s">
        <v>433</v>
      </c>
      <c r="B5" s="9"/>
      <c r="C5" s="9"/>
      <c r="D5" s="9"/>
      <c r="E5" s="9"/>
      <c r="F5" s="94">
        <v>0.1041</v>
      </c>
      <c r="H5" s="14" t="s">
        <v>443</v>
      </c>
      <c r="I5" s="9"/>
      <c r="J5" s="9"/>
      <c r="K5" s="15"/>
      <c r="L5" s="9"/>
      <c r="M5" s="14" t="s">
        <v>513</v>
      </c>
      <c r="N5" s="9"/>
      <c r="O5" s="9"/>
      <c r="P5" s="9"/>
      <c r="Q5" s="9"/>
      <c r="R5" s="15"/>
      <c r="T5" s="14" t="s">
        <v>463</v>
      </c>
      <c r="U5" s="9"/>
      <c r="V5" s="9"/>
      <c r="W5" s="9"/>
      <c r="X5" s="9"/>
      <c r="Y5" s="9"/>
      <c r="Z5" s="15"/>
      <c r="AB5" s="14" t="s">
        <v>506</v>
      </c>
      <c r="AC5" s="9"/>
      <c r="AD5" s="9"/>
      <c r="AE5" s="9"/>
      <c r="AF5" s="9"/>
      <c r="AG5" s="15"/>
      <c r="AI5" s="14" t="s">
        <v>531</v>
      </c>
      <c r="AJ5" s="9"/>
      <c r="AK5" s="15"/>
    </row>
    <row r="6" spans="1:37" x14ac:dyDescent="0.15">
      <c r="A6" s="14" t="s">
        <v>432</v>
      </c>
      <c r="B6" s="9"/>
      <c r="C6" s="9"/>
      <c r="D6" s="9"/>
      <c r="E6" s="9"/>
      <c r="F6" s="24">
        <v>9.1700000000000004E-2</v>
      </c>
      <c r="H6" s="14" t="s">
        <v>444</v>
      </c>
      <c r="I6" s="9"/>
      <c r="J6" s="9"/>
      <c r="K6" s="15"/>
      <c r="L6" s="9"/>
      <c r="M6" s="14" t="s">
        <v>514</v>
      </c>
      <c r="N6" s="9"/>
      <c r="O6" s="9"/>
      <c r="P6" s="9"/>
      <c r="Q6" s="9"/>
      <c r="R6" s="15"/>
      <c r="T6" s="14"/>
      <c r="U6" s="9"/>
      <c r="V6" s="9"/>
      <c r="W6" s="9"/>
      <c r="X6" s="9"/>
      <c r="Y6" s="9"/>
      <c r="Z6" s="15"/>
      <c r="AB6" s="34"/>
      <c r="AC6" s="9"/>
      <c r="AD6" s="9"/>
      <c r="AE6" s="9"/>
      <c r="AF6" s="9"/>
      <c r="AG6" s="15"/>
      <c r="AI6" s="14" t="s">
        <v>537</v>
      </c>
      <c r="AJ6" s="9"/>
      <c r="AK6" s="15"/>
    </row>
    <row r="7" spans="1:37" x14ac:dyDescent="0.15">
      <c r="A7" s="14" t="s">
        <v>431</v>
      </c>
      <c r="B7" s="9"/>
      <c r="C7" s="9"/>
      <c r="D7" s="9"/>
      <c r="E7" s="9"/>
      <c r="F7" s="24">
        <v>0.14149999999999999</v>
      </c>
      <c r="H7" s="14" t="s">
        <v>445</v>
      </c>
      <c r="I7" s="9"/>
      <c r="J7" s="9"/>
      <c r="K7" s="15"/>
      <c r="L7" s="9"/>
      <c r="M7" s="34"/>
      <c r="N7" s="9"/>
      <c r="O7" s="9"/>
      <c r="P7" s="9"/>
      <c r="Q7" s="9"/>
      <c r="R7" s="15"/>
      <c r="T7" s="34"/>
      <c r="U7" s="9"/>
      <c r="V7" s="9"/>
      <c r="W7" s="9"/>
      <c r="X7" s="9"/>
      <c r="Y7" s="9"/>
      <c r="Z7" s="15"/>
      <c r="AB7" s="14"/>
      <c r="AC7" s="9"/>
      <c r="AD7" s="9"/>
      <c r="AE7" s="9"/>
      <c r="AF7" s="9"/>
      <c r="AG7" s="15"/>
      <c r="AI7" s="14"/>
      <c r="AJ7" s="9"/>
      <c r="AK7" s="15"/>
    </row>
    <row r="8" spans="1:37" x14ac:dyDescent="0.15">
      <c r="A8" s="14" t="s">
        <v>434</v>
      </c>
      <c r="B8" s="9"/>
      <c r="C8" s="9"/>
      <c r="D8" s="9"/>
      <c r="E8" s="9"/>
      <c r="F8" s="24">
        <v>0.1132</v>
      </c>
      <c r="H8" s="34"/>
      <c r="I8" s="9"/>
      <c r="J8" s="9"/>
      <c r="K8" s="15"/>
      <c r="L8" s="9"/>
      <c r="M8" s="14"/>
      <c r="N8" s="9"/>
      <c r="O8" s="9"/>
      <c r="P8" s="9"/>
      <c r="Q8" s="9"/>
      <c r="R8" s="15"/>
      <c r="T8" s="14"/>
      <c r="U8" s="9"/>
      <c r="V8" s="9"/>
      <c r="W8" s="9"/>
      <c r="X8" s="9"/>
      <c r="Y8" s="9"/>
      <c r="Z8" s="15"/>
      <c r="AB8" s="14" t="s">
        <v>507</v>
      </c>
      <c r="AC8" s="9"/>
      <c r="AD8" s="9"/>
      <c r="AE8" s="9"/>
      <c r="AF8" s="9"/>
      <c r="AG8" s="15"/>
      <c r="AI8" s="14" t="s">
        <v>532</v>
      </c>
      <c r="AJ8" s="9"/>
      <c r="AK8" s="111">
        <v>24.5</v>
      </c>
    </row>
    <row r="9" spans="1:37" x14ac:dyDescent="0.15">
      <c r="A9" s="14"/>
      <c r="B9" s="9"/>
      <c r="C9" s="9"/>
      <c r="D9" s="9"/>
      <c r="E9" s="9"/>
      <c r="F9" s="24"/>
      <c r="H9" s="14"/>
      <c r="I9" s="9"/>
      <c r="J9" s="9"/>
      <c r="K9" s="15"/>
      <c r="L9" s="9"/>
      <c r="M9" s="14" t="s">
        <v>515</v>
      </c>
      <c r="N9" s="9"/>
      <c r="O9" s="9"/>
      <c r="P9" s="9"/>
      <c r="Q9" s="9"/>
      <c r="R9" s="15"/>
      <c r="T9" s="14"/>
      <c r="U9" s="9"/>
      <c r="V9" s="9"/>
      <c r="W9" s="9"/>
      <c r="X9" s="9"/>
      <c r="Y9" s="9"/>
      <c r="Z9" s="15"/>
      <c r="AB9" s="34"/>
      <c r="AC9" s="9"/>
      <c r="AD9" s="9"/>
      <c r="AE9" s="9"/>
      <c r="AF9" s="9"/>
      <c r="AG9" s="15"/>
      <c r="AI9" s="14" t="s">
        <v>533</v>
      </c>
      <c r="AJ9" s="9"/>
      <c r="AK9" s="111">
        <v>1.05</v>
      </c>
    </row>
    <row r="10" spans="1:37" x14ac:dyDescent="0.15">
      <c r="A10" s="14" t="s">
        <v>435</v>
      </c>
      <c r="B10" s="9"/>
      <c r="C10" s="9"/>
      <c r="D10" s="9"/>
      <c r="E10" s="9"/>
      <c r="F10" s="24">
        <v>9.0399999999999994E-2</v>
      </c>
      <c r="H10" s="14" t="s">
        <v>446</v>
      </c>
      <c r="I10" s="20" t="s">
        <v>447</v>
      </c>
      <c r="J10" s="9" t="s">
        <v>448</v>
      </c>
      <c r="K10" s="21" t="s">
        <v>449</v>
      </c>
      <c r="L10" s="20"/>
      <c r="M10" s="19"/>
      <c r="N10" s="20"/>
      <c r="O10" s="20"/>
      <c r="P10" s="20"/>
      <c r="Q10" s="20"/>
      <c r="R10" s="21"/>
      <c r="T10" s="34"/>
      <c r="U10" s="9"/>
      <c r="V10" s="9"/>
      <c r="W10" s="9"/>
      <c r="X10" s="9"/>
      <c r="Y10" s="9"/>
      <c r="Z10" s="15"/>
      <c r="AB10" s="34"/>
      <c r="AC10" s="9"/>
      <c r="AD10" s="9"/>
      <c r="AE10" s="9"/>
      <c r="AF10" s="9"/>
      <c r="AG10" s="15"/>
      <c r="AI10" s="14" t="s">
        <v>536</v>
      </c>
      <c r="AJ10" s="9"/>
      <c r="AK10" s="24">
        <v>7.51E-2</v>
      </c>
    </row>
    <row r="11" spans="1:37" x14ac:dyDescent="0.15">
      <c r="A11" s="14" t="s">
        <v>436</v>
      </c>
      <c r="B11" s="9"/>
      <c r="C11" s="9"/>
      <c r="D11" s="9"/>
      <c r="E11" s="9"/>
      <c r="F11" s="24">
        <v>8.2600000000000007E-2</v>
      </c>
      <c r="H11" s="14">
        <v>2003</v>
      </c>
      <c r="I11" s="9">
        <f>'Income Statement'!I48</f>
        <v>-0.19</v>
      </c>
      <c r="J11" s="23">
        <v>0.13200000000000001</v>
      </c>
      <c r="K11" s="96" t="s">
        <v>456</v>
      </c>
      <c r="L11" s="106"/>
      <c r="M11" s="108" t="s">
        <v>516</v>
      </c>
      <c r="N11" s="106" t="s">
        <v>517</v>
      </c>
      <c r="O11" s="106" t="s">
        <v>518</v>
      </c>
      <c r="P11" s="106" t="s">
        <v>519</v>
      </c>
      <c r="Q11" s="106" t="s">
        <v>520</v>
      </c>
      <c r="R11" s="96" t="s">
        <v>523</v>
      </c>
      <c r="T11" s="14" t="s">
        <v>464</v>
      </c>
      <c r="U11" s="9"/>
      <c r="V11" s="9" t="s">
        <v>465</v>
      </c>
      <c r="W11" s="9"/>
      <c r="X11" s="9" t="s">
        <v>466</v>
      </c>
      <c r="Y11" s="9"/>
      <c r="Z11" s="15"/>
      <c r="AB11" s="14" t="s">
        <v>508</v>
      </c>
      <c r="AC11" s="9"/>
      <c r="AD11" s="9"/>
      <c r="AE11" s="9"/>
      <c r="AF11" s="9"/>
      <c r="AG11" s="15"/>
      <c r="AI11" s="14"/>
      <c r="AJ11" s="9"/>
      <c r="AK11" s="15"/>
    </row>
    <row r="12" spans="1:37" x14ac:dyDescent="0.15">
      <c r="A12" s="14" t="s">
        <v>437</v>
      </c>
      <c r="B12" s="9"/>
      <c r="C12" s="9"/>
      <c r="D12" s="9"/>
      <c r="E12" s="9"/>
      <c r="F12" s="24">
        <v>8.8900000000000007E-2</v>
      </c>
      <c r="H12" s="14">
        <v>2004</v>
      </c>
      <c r="I12" s="9">
        <f>'Income Statement'!J48</f>
        <v>0.11</v>
      </c>
      <c r="J12" s="25">
        <f>(I12-I11)/I11</f>
        <v>-1.5789473684210527</v>
      </c>
      <c r="K12" s="95">
        <f t="shared" ref="K12:K20" si="0">LN(I12)</f>
        <v>-2.2072749131897207</v>
      </c>
      <c r="L12" s="16"/>
      <c r="M12" s="14">
        <v>2003</v>
      </c>
      <c r="N12" s="107" t="s">
        <v>521</v>
      </c>
      <c r="O12" s="25">
        <f>Ratios!I20/100</f>
        <v>0</v>
      </c>
      <c r="P12" s="17">
        <f>'Income Statement'!I64</f>
        <v>0.03</v>
      </c>
      <c r="Q12" s="17">
        <v>-0.19</v>
      </c>
      <c r="R12" s="109" t="s">
        <v>522</v>
      </c>
      <c r="T12" s="14">
        <v>1996</v>
      </c>
      <c r="U12" s="9"/>
      <c r="V12" s="97">
        <v>0.70457879700409232</v>
      </c>
      <c r="W12" s="9"/>
      <c r="X12" s="25">
        <f>Ratios!B75/100</f>
        <v>3.7000000000000005E-2</v>
      </c>
      <c r="Y12" s="9"/>
      <c r="Z12" s="15"/>
      <c r="AB12" s="14"/>
      <c r="AC12" s="9"/>
      <c r="AD12" s="9"/>
      <c r="AE12" s="9"/>
      <c r="AF12" s="9"/>
      <c r="AG12" s="15"/>
      <c r="AI12" s="14" t="s">
        <v>534</v>
      </c>
      <c r="AJ12" s="9"/>
      <c r="AK12" s="24">
        <v>3.2199999999999999E-2</v>
      </c>
    </row>
    <row r="13" spans="1:37" x14ac:dyDescent="0.15">
      <c r="A13" s="14" t="s">
        <v>438</v>
      </c>
      <c r="B13" s="9"/>
      <c r="C13" s="9"/>
      <c r="D13" s="9"/>
      <c r="E13" s="9"/>
      <c r="F13" s="24">
        <v>5.8999999999999997E-2</v>
      </c>
      <c r="H13" s="14">
        <v>2005</v>
      </c>
      <c r="I13" s="9">
        <f>'Income Statement'!K48</f>
        <v>0.32</v>
      </c>
      <c r="J13" s="25">
        <f t="shared" ref="J13:J20" si="1">(I13-I12)/I12</f>
        <v>1.9090909090909092</v>
      </c>
      <c r="K13" s="95">
        <f t="shared" si="0"/>
        <v>-1.1394342831883648</v>
      </c>
      <c r="L13" s="16"/>
      <c r="M13" s="14">
        <v>2004</v>
      </c>
      <c r="N13" s="16">
        <f>1-P13/Q13</f>
        <v>0.27272727272727271</v>
      </c>
      <c r="O13" s="25">
        <f>Ratios!J20/100</f>
        <v>5.2000000000000005E-2</v>
      </c>
      <c r="P13" s="17">
        <f>'Income Statement'!J64</f>
        <v>0.08</v>
      </c>
      <c r="Q13" s="17">
        <v>0.11</v>
      </c>
      <c r="R13" s="26">
        <f>N13*O13</f>
        <v>1.4181818181818183E-2</v>
      </c>
      <c r="T13" s="14">
        <v>1997</v>
      </c>
      <c r="U13" s="9"/>
      <c r="V13" s="97">
        <v>2.0205128205128209</v>
      </c>
      <c r="W13" s="9"/>
      <c r="X13" s="25">
        <f>Ratios!C75/100</f>
        <v>-1.3000000000000001E-2</v>
      </c>
      <c r="Y13" s="9"/>
      <c r="Z13" s="15"/>
      <c r="AB13" s="14"/>
      <c r="AC13" s="9"/>
      <c r="AD13" s="9"/>
      <c r="AE13" s="9"/>
      <c r="AF13" s="9"/>
      <c r="AG13" s="15"/>
      <c r="AI13" s="14"/>
      <c r="AJ13" s="9"/>
      <c r="AK13" s="15"/>
    </row>
    <row r="14" spans="1:37" x14ac:dyDescent="0.15">
      <c r="A14" s="14"/>
      <c r="B14" s="9"/>
      <c r="C14" s="9"/>
      <c r="D14" s="9"/>
      <c r="E14" s="9"/>
      <c r="F14" s="24"/>
      <c r="H14" s="14">
        <v>2006</v>
      </c>
      <c r="I14" s="9">
        <f>'Income Statement'!L48</f>
        <v>1.06</v>
      </c>
      <c r="J14" s="25">
        <f t="shared" si="1"/>
        <v>2.3125</v>
      </c>
      <c r="K14" s="95">
        <f t="shared" si="0"/>
        <v>5.8268908123975824E-2</v>
      </c>
      <c r="L14" s="16"/>
      <c r="M14" s="14">
        <v>2005</v>
      </c>
      <c r="N14" s="16">
        <f t="shared" ref="N14:N21" si="2">1-P14/Q14</f>
        <v>0.40625</v>
      </c>
      <c r="O14" s="25">
        <f>Ratios!K20/100</f>
        <v>8.8000000000000009E-2</v>
      </c>
      <c r="P14" s="17">
        <f>'Income Statement'!K64</f>
        <v>0.19</v>
      </c>
      <c r="Q14" s="17">
        <v>0.32</v>
      </c>
      <c r="R14" s="26">
        <f t="shared" ref="R14:R21" si="3">N14*O14</f>
        <v>3.5750000000000004E-2</v>
      </c>
      <c r="T14" s="14">
        <v>1998</v>
      </c>
      <c r="U14" s="9"/>
      <c r="V14" s="97">
        <v>1.358124391119315</v>
      </c>
      <c r="W14" s="9"/>
      <c r="X14" s="25">
        <f>Ratios!D75/100</f>
        <v>5.0000000000000001E-3</v>
      </c>
      <c r="Y14" s="9"/>
      <c r="Z14" s="15"/>
      <c r="AB14" s="14" t="s">
        <v>509</v>
      </c>
      <c r="AC14" s="9"/>
      <c r="AD14" s="9"/>
      <c r="AE14" s="9"/>
      <c r="AF14" s="9"/>
      <c r="AG14" s="15"/>
      <c r="AI14" s="14" t="s">
        <v>535</v>
      </c>
      <c r="AJ14" s="9"/>
      <c r="AK14" s="15"/>
    </row>
    <row r="15" spans="1:37" x14ac:dyDescent="0.15">
      <c r="A15" s="14" t="s">
        <v>605</v>
      </c>
      <c r="B15" s="9"/>
      <c r="C15" s="9"/>
      <c r="D15" s="9"/>
      <c r="E15" s="9"/>
      <c r="F15" s="24">
        <v>7.5200000000000003E-2</v>
      </c>
      <c r="H15" s="14">
        <v>2007</v>
      </c>
      <c r="I15" s="9">
        <f>'Income Statement'!M48</f>
        <v>0.9</v>
      </c>
      <c r="J15" s="25">
        <f t="shared" si="1"/>
        <v>-0.15094339622641512</v>
      </c>
      <c r="K15" s="95">
        <f t="shared" si="0"/>
        <v>-0.10536051565782628</v>
      </c>
      <c r="L15" s="16"/>
      <c r="M15" s="14">
        <v>2006</v>
      </c>
      <c r="N15" s="16">
        <f t="shared" si="2"/>
        <v>0.77358490566037741</v>
      </c>
      <c r="O15" s="25">
        <f>Ratios!L20/100</f>
        <v>0.26</v>
      </c>
      <c r="P15" s="17">
        <f>'Income Statement'!L64</f>
        <v>0.24</v>
      </c>
      <c r="Q15" s="17">
        <v>1.06</v>
      </c>
      <c r="R15" s="26">
        <f t="shared" si="3"/>
        <v>0.20113207547169815</v>
      </c>
      <c r="T15" s="14">
        <v>1999</v>
      </c>
      <c r="U15" s="9"/>
      <c r="V15" s="97">
        <v>1.3546707728405929</v>
      </c>
      <c r="W15" s="9"/>
      <c r="X15" s="25">
        <f>Ratios!E75/100</f>
        <v>1.4999999999999999E-2</v>
      </c>
      <c r="Y15" s="9"/>
      <c r="Z15" s="15"/>
      <c r="AB15" s="34"/>
      <c r="AC15" s="9"/>
      <c r="AD15" s="9"/>
      <c r="AE15" s="9"/>
      <c r="AF15" s="9"/>
      <c r="AG15" s="15"/>
      <c r="AI15" s="14" t="s">
        <v>531</v>
      </c>
      <c r="AJ15" s="9"/>
      <c r="AK15" s="15"/>
    </row>
    <row r="16" spans="1:37" x14ac:dyDescent="0.15">
      <c r="A16" s="14" t="s">
        <v>606</v>
      </c>
      <c r="B16" s="9"/>
      <c r="C16" s="9"/>
      <c r="D16" s="9"/>
      <c r="E16" s="9"/>
      <c r="F16" s="24">
        <v>4.1399999999999999E-2</v>
      </c>
      <c r="H16" s="14">
        <v>2008</v>
      </c>
      <c r="I16" s="9">
        <f>'Income Statement'!N48</f>
        <v>0.31</v>
      </c>
      <c r="J16" s="25">
        <f t="shared" si="1"/>
        <v>-0.65555555555555567</v>
      </c>
      <c r="K16" s="95">
        <f t="shared" si="0"/>
        <v>-1.1711829815029451</v>
      </c>
      <c r="L16" s="16"/>
      <c r="M16" s="14">
        <v>2007</v>
      </c>
      <c r="N16" s="16">
        <f t="shared" si="2"/>
        <v>2.2222222222222254E-2</v>
      </c>
      <c r="O16" s="25">
        <f>Ratios!M20/100</f>
        <v>0.19500000000000001</v>
      </c>
      <c r="P16" s="17">
        <f>'Income Statement'!M64</f>
        <v>0.88</v>
      </c>
      <c r="Q16" s="17">
        <v>0.9</v>
      </c>
      <c r="R16" s="26">
        <f t="shared" si="3"/>
        <v>4.3333333333333401E-3</v>
      </c>
      <c r="T16" s="14">
        <v>2000</v>
      </c>
      <c r="U16" s="9"/>
      <c r="V16" s="97">
        <v>2.9069977589821439</v>
      </c>
      <c r="W16" s="9"/>
      <c r="X16" s="25">
        <f>Ratios!F75/100</f>
        <v>0.03</v>
      </c>
      <c r="Y16" s="9"/>
      <c r="Z16" s="15"/>
      <c r="AB16" s="14"/>
      <c r="AC16" s="9"/>
      <c r="AD16" s="9"/>
      <c r="AE16" s="9"/>
      <c r="AF16" s="9"/>
      <c r="AG16" s="15"/>
      <c r="AI16" s="14" t="s">
        <v>538</v>
      </c>
      <c r="AJ16" s="9"/>
      <c r="AK16" s="15"/>
    </row>
    <row r="17" spans="1:37" x14ac:dyDescent="0.15">
      <c r="A17" s="14" t="s">
        <v>439</v>
      </c>
      <c r="B17" s="9"/>
      <c r="C17" s="9"/>
      <c r="D17" s="9"/>
      <c r="E17" s="9"/>
      <c r="F17" s="24">
        <v>8.3000000000000004E-2</v>
      </c>
      <c r="H17" s="14">
        <v>2009</v>
      </c>
      <c r="I17" s="9">
        <f>'Income Statement'!O48</f>
        <v>1.25</v>
      </c>
      <c r="J17" s="25">
        <f t="shared" si="1"/>
        <v>3.032258064516129</v>
      </c>
      <c r="K17" s="95">
        <f t="shared" si="0"/>
        <v>0.22314355131420976</v>
      </c>
      <c r="L17" s="16"/>
      <c r="M17" s="14">
        <v>2008</v>
      </c>
      <c r="N17" s="106" t="s">
        <v>522</v>
      </c>
      <c r="O17" s="25">
        <f>Ratios!N20/100</f>
        <v>0.29799999999999999</v>
      </c>
      <c r="P17" s="17">
        <f>'Income Statement'!N64</f>
        <v>0.71</v>
      </c>
      <c r="Q17" s="17">
        <v>0.31</v>
      </c>
      <c r="R17" s="109" t="s">
        <v>522</v>
      </c>
      <c r="T17" s="14">
        <v>2001</v>
      </c>
      <c r="U17" s="9"/>
      <c r="V17" s="98" t="s">
        <v>510</v>
      </c>
      <c r="W17" s="9"/>
      <c r="X17" s="25">
        <f>Ratios!G75/100</f>
        <v>-2.3E-2</v>
      </c>
      <c r="Y17" s="9"/>
      <c r="Z17" s="15"/>
      <c r="AB17" s="14" t="s">
        <v>470</v>
      </c>
      <c r="AC17" s="9"/>
      <c r="AD17" s="9"/>
      <c r="AE17" s="9"/>
      <c r="AF17" s="9"/>
      <c r="AG17" s="15"/>
      <c r="AI17" s="14"/>
      <c r="AJ17" s="9"/>
      <c r="AK17" s="15"/>
    </row>
    <row r="18" spans="1:37" ht="15.75" thickBot="1" x14ac:dyDescent="0.2">
      <c r="A18" s="14" t="s">
        <v>440</v>
      </c>
      <c r="B18" s="9"/>
      <c r="C18" s="9"/>
      <c r="D18" s="9"/>
      <c r="E18" s="9"/>
      <c r="F18" s="24">
        <v>6.4299999999999996E-2</v>
      </c>
      <c r="H18" s="14">
        <v>2010</v>
      </c>
      <c r="I18" s="9">
        <f>'Income Statement'!P48</f>
        <v>1.23</v>
      </c>
      <c r="J18" s="25">
        <f t="shared" si="1"/>
        <v>-1.6000000000000014E-2</v>
      </c>
      <c r="K18" s="95">
        <f t="shared" si="0"/>
        <v>0.20701416938432612</v>
      </c>
      <c r="L18" s="16"/>
      <c r="M18" s="14">
        <v>2009</v>
      </c>
      <c r="N18" s="16">
        <f t="shared" si="2"/>
        <v>0.34400000000000008</v>
      </c>
      <c r="O18" s="25">
        <f>Ratios!O20/100</f>
        <v>0.214</v>
      </c>
      <c r="P18" s="17">
        <f>'Income Statement'!O64</f>
        <v>0.82</v>
      </c>
      <c r="Q18" s="17">
        <v>1.25</v>
      </c>
      <c r="R18" s="26">
        <f t="shared" si="3"/>
        <v>7.3616000000000015E-2</v>
      </c>
      <c r="T18" s="14">
        <v>2002</v>
      </c>
      <c r="U18" s="9"/>
      <c r="V18" s="98" t="s">
        <v>510</v>
      </c>
      <c r="W18" s="9"/>
      <c r="X18" s="25">
        <f>Ratios!H75/100</f>
        <v>-4.5999999999999999E-2</v>
      </c>
      <c r="Y18" s="9"/>
      <c r="Z18" s="15"/>
      <c r="AB18" s="102" t="s">
        <v>471</v>
      </c>
      <c r="AC18" s="101" t="s">
        <v>472</v>
      </c>
      <c r="AD18" s="101" t="s">
        <v>473</v>
      </c>
      <c r="AE18" s="101" t="s">
        <v>474</v>
      </c>
      <c r="AF18" s="101" t="s">
        <v>475</v>
      </c>
      <c r="AG18" s="103"/>
      <c r="AI18" s="14" t="s">
        <v>532</v>
      </c>
      <c r="AJ18" s="9"/>
      <c r="AK18" s="111">
        <v>24.5</v>
      </c>
    </row>
    <row r="19" spans="1:37" ht="15.75" thickTop="1" x14ac:dyDescent="0.15">
      <c r="A19" s="14"/>
      <c r="B19" s="9"/>
      <c r="C19" s="9"/>
      <c r="D19" s="9"/>
      <c r="E19" s="9"/>
      <c r="F19" s="24"/>
      <c r="H19" s="14">
        <v>2011</v>
      </c>
      <c r="I19" s="9">
        <f>'Income Statement'!Q48</f>
        <v>1.03</v>
      </c>
      <c r="J19" s="25">
        <f t="shared" si="1"/>
        <v>-0.16260162601626013</v>
      </c>
      <c r="K19" s="95">
        <f t="shared" si="0"/>
        <v>2.9558802241544429E-2</v>
      </c>
      <c r="L19" s="16"/>
      <c r="M19" s="14">
        <v>2010</v>
      </c>
      <c r="N19" s="16">
        <f t="shared" si="2"/>
        <v>0.30081300813008127</v>
      </c>
      <c r="O19" s="25">
        <f>Ratios!P20/100</f>
        <v>0.192</v>
      </c>
      <c r="P19" s="17">
        <f>'Income Statement'!P64</f>
        <v>0.86</v>
      </c>
      <c r="Q19" s="17">
        <v>1.23</v>
      </c>
      <c r="R19" s="26">
        <f t="shared" si="3"/>
        <v>5.7756097560975606E-2</v>
      </c>
      <c r="T19" s="14">
        <v>2003</v>
      </c>
      <c r="U19" s="9"/>
      <c r="V19" s="97">
        <v>1.6623012590754525</v>
      </c>
      <c r="W19" s="9"/>
      <c r="X19" s="25">
        <f>Ratios!I75/100</f>
        <v>-9.0000000000000011E-3</v>
      </c>
      <c r="Y19" s="9"/>
      <c r="Z19" s="15"/>
      <c r="AB19" s="14" t="s">
        <v>476</v>
      </c>
      <c r="AC19" s="9">
        <v>1.145716</v>
      </c>
      <c r="AD19" s="9">
        <v>0.32951000000000003</v>
      </c>
      <c r="AE19" s="9">
        <v>3.477026</v>
      </c>
      <c r="AF19" s="9">
        <v>1.1000000000000001E-3</v>
      </c>
      <c r="AG19" s="15"/>
      <c r="AI19" s="14" t="s">
        <v>539</v>
      </c>
      <c r="AJ19" s="9"/>
      <c r="AK19" s="112">
        <v>694</v>
      </c>
    </row>
    <row r="20" spans="1:37" x14ac:dyDescent="0.15">
      <c r="A20" s="14" t="s">
        <v>424</v>
      </c>
      <c r="B20" s="9"/>
      <c r="C20" s="9"/>
      <c r="D20" s="9"/>
      <c r="E20" s="9"/>
      <c r="F20" s="24">
        <v>0.152</v>
      </c>
      <c r="H20" s="14">
        <v>2012</v>
      </c>
      <c r="I20" s="9">
        <f>'Income Statement'!R48</f>
        <v>1.62</v>
      </c>
      <c r="J20" s="25">
        <f t="shared" si="1"/>
        <v>0.5728155339805826</v>
      </c>
      <c r="K20" s="95">
        <f t="shared" si="0"/>
        <v>0.48242614924429278</v>
      </c>
      <c r="L20" s="16"/>
      <c r="M20" s="14">
        <v>2011</v>
      </c>
      <c r="N20" s="16">
        <f t="shared" si="2"/>
        <v>0.12621359223300976</v>
      </c>
      <c r="O20" s="25">
        <f>Ratios!Q20/100</f>
        <v>0.192</v>
      </c>
      <c r="P20" s="17">
        <f>'Income Statement'!Q64</f>
        <v>0.9</v>
      </c>
      <c r="Q20" s="17">
        <v>1.03</v>
      </c>
      <c r="R20" s="26">
        <f t="shared" si="3"/>
        <v>2.4233009708737874E-2</v>
      </c>
      <c r="T20" s="14">
        <v>2004</v>
      </c>
      <c r="U20" s="9"/>
      <c r="V20" s="97">
        <v>0.47534550910297518</v>
      </c>
      <c r="W20" s="9"/>
      <c r="X20" s="25">
        <f>Ratios!J75/100</f>
        <v>1.9E-2</v>
      </c>
      <c r="Y20" s="9"/>
      <c r="Z20" s="15"/>
      <c r="AB20" s="14" t="s">
        <v>477</v>
      </c>
      <c r="AC20" s="9">
        <v>-0.33957300000000001</v>
      </c>
      <c r="AD20" s="9">
        <v>0.14058200000000001</v>
      </c>
      <c r="AE20" s="9">
        <v>-2.415483</v>
      </c>
      <c r="AF20" s="9">
        <v>1.95E-2</v>
      </c>
      <c r="AG20" s="15"/>
      <c r="AI20" s="14" t="s">
        <v>540</v>
      </c>
      <c r="AJ20" s="9"/>
      <c r="AK20" s="24">
        <v>6.7699999999999996E-2</v>
      </c>
    </row>
    <row r="21" spans="1:37" ht="15.75" thickBot="1" x14ac:dyDescent="0.2">
      <c r="A21" s="14" t="s">
        <v>425</v>
      </c>
      <c r="B21" s="9"/>
      <c r="C21" s="9"/>
      <c r="D21" s="9"/>
      <c r="E21" s="9"/>
      <c r="F21" s="24">
        <v>0.14699999999999999</v>
      </c>
      <c r="H21" s="14"/>
      <c r="I21" s="9"/>
      <c r="J21" s="9"/>
      <c r="K21" s="15"/>
      <c r="L21" s="9"/>
      <c r="M21" s="14">
        <v>2012</v>
      </c>
      <c r="N21" s="16">
        <f t="shared" si="2"/>
        <v>0.37037037037037035</v>
      </c>
      <c r="O21" s="25">
        <f>Ratios!R20/100</f>
        <v>0.20300000000000001</v>
      </c>
      <c r="P21" s="17">
        <f>'Income Statement'!R64</f>
        <v>1.02</v>
      </c>
      <c r="Q21" s="17">
        <v>1.62</v>
      </c>
      <c r="R21" s="26">
        <f t="shared" si="3"/>
        <v>7.5185185185185188E-2</v>
      </c>
      <c r="T21" s="14">
        <v>2005</v>
      </c>
      <c r="U21" s="9"/>
      <c r="V21" s="97">
        <v>0.1670576526622593</v>
      </c>
      <c r="W21" s="9"/>
      <c r="X21" s="25">
        <f>Ratios!K75/100</f>
        <v>3.4000000000000002E-2</v>
      </c>
      <c r="Y21" s="9"/>
      <c r="Z21" s="15"/>
      <c r="AB21" s="102" t="s">
        <v>478</v>
      </c>
      <c r="AC21" s="101">
        <v>-0.81523299999999999</v>
      </c>
      <c r="AD21" s="101">
        <v>0.32692700000000002</v>
      </c>
      <c r="AE21" s="101">
        <v>-2.4936199999999999</v>
      </c>
      <c r="AF21" s="101">
        <v>1.61E-2</v>
      </c>
      <c r="AG21" s="103"/>
      <c r="AI21" s="14"/>
      <c r="AJ21" s="9"/>
      <c r="AK21" s="15"/>
    </row>
    <row r="22" spans="1:37" ht="15.75" thickTop="1" x14ac:dyDescent="0.15">
      <c r="A22" s="14"/>
      <c r="B22" s="9"/>
      <c r="C22" s="9"/>
      <c r="D22" s="9"/>
      <c r="E22" s="9"/>
      <c r="F22" s="15"/>
      <c r="H22" s="14" t="s">
        <v>457</v>
      </c>
      <c r="I22" s="9"/>
      <c r="J22" s="9"/>
      <c r="K22" s="15"/>
      <c r="L22" s="9"/>
      <c r="M22" s="99" t="s">
        <v>525</v>
      </c>
      <c r="N22" s="17">
        <f>1-P22/Q22</f>
        <v>0.38235294117647056</v>
      </c>
      <c r="O22" s="41">
        <v>0.2</v>
      </c>
      <c r="P22" s="9">
        <v>1.05</v>
      </c>
      <c r="Q22" s="9">
        <v>1.7</v>
      </c>
      <c r="R22" s="26">
        <f>N22*O22</f>
        <v>7.6470588235294124E-2</v>
      </c>
      <c r="T22" s="14">
        <v>2006</v>
      </c>
      <c r="U22" s="9"/>
      <c r="V22" s="97">
        <v>0.3354622709846114</v>
      </c>
      <c r="W22" s="9"/>
      <c r="X22" s="25">
        <f>Ratios!L75/100</f>
        <v>9.5000000000000001E-2</v>
      </c>
      <c r="Y22" s="9"/>
      <c r="Z22" s="15"/>
      <c r="AB22" s="14"/>
      <c r="AC22" s="9"/>
      <c r="AD22" s="9"/>
      <c r="AE22" s="9"/>
      <c r="AF22" s="9"/>
      <c r="AG22" s="15"/>
      <c r="AI22" s="27" t="s">
        <v>541</v>
      </c>
      <c r="AJ22" s="10"/>
      <c r="AK22" s="36">
        <v>4.1099999999999998E-2</v>
      </c>
    </row>
    <row r="23" spans="1:37" x14ac:dyDescent="0.15">
      <c r="A23" s="14" t="s">
        <v>426</v>
      </c>
      <c r="B23" s="9"/>
      <c r="C23" s="9"/>
      <c r="D23" s="9"/>
      <c r="E23" s="9"/>
      <c r="F23" s="15"/>
      <c r="H23" s="14" t="s">
        <v>458</v>
      </c>
      <c r="I23" s="9"/>
      <c r="J23" s="9"/>
      <c r="K23" s="15"/>
      <c r="L23" s="9"/>
      <c r="M23" s="14"/>
      <c r="N23" s="9"/>
      <c r="O23" s="9"/>
      <c r="P23" s="9"/>
      <c r="Q23" s="9"/>
      <c r="R23" s="15"/>
      <c r="T23" s="14">
        <v>2007</v>
      </c>
      <c r="U23" s="9"/>
      <c r="V23" s="97">
        <v>0.28729463621271978</v>
      </c>
      <c r="W23" s="9"/>
      <c r="X23" s="25">
        <f>Ratios!M75/100</f>
        <v>8.199999999999999E-2</v>
      </c>
      <c r="Y23" s="9"/>
      <c r="Z23" s="15"/>
      <c r="AB23" s="14" t="s">
        <v>479</v>
      </c>
      <c r="AC23" s="9">
        <v>0.131051</v>
      </c>
      <c r="AD23" s="9" t="s">
        <v>484</v>
      </c>
      <c r="AE23" s="9">
        <v>7.4519000000000002E-2</v>
      </c>
      <c r="AF23" s="9"/>
      <c r="AG23" s="15"/>
    </row>
    <row r="24" spans="1:37" x14ac:dyDescent="0.15">
      <c r="A24" s="14" t="s">
        <v>427</v>
      </c>
      <c r="B24" s="9"/>
      <c r="C24" s="9"/>
      <c r="D24" s="9"/>
      <c r="E24" s="9"/>
      <c r="F24" s="15"/>
      <c r="H24" s="14" t="s">
        <v>450</v>
      </c>
      <c r="I24" s="9"/>
      <c r="J24" s="9"/>
      <c r="K24" s="24">
        <f>0.165*0.764</f>
        <v>0.12606000000000001</v>
      </c>
      <c r="L24" s="23"/>
      <c r="M24" s="110" t="s">
        <v>524</v>
      </c>
      <c r="N24" s="23"/>
      <c r="O24" s="23"/>
      <c r="P24" s="23"/>
      <c r="Q24" s="23"/>
      <c r="R24" s="24">
        <f>R22</f>
        <v>7.6470588235294124E-2</v>
      </c>
      <c r="T24" s="14">
        <v>2008</v>
      </c>
      <c r="U24" s="9"/>
      <c r="V24" s="97">
        <v>0.32162946833605516</v>
      </c>
      <c r="W24" s="9"/>
      <c r="X24" s="25">
        <f>Ratios!N75/100</f>
        <v>0.13500000000000001</v>
      </c>
      <c r="Y24" s="9"/>
      <c r="Z24" s="15"/>
      <c r="AB24" s="14" t="s">
        <v>480</v>
      </c>
      <c r="AC24" s="9">
        <v>9.5583000000000001E-2</v>
      </c>
      <c r="AD24" s="9" t="s">
        <v>485</v>
      </c>
      <c r="AE24" s="9">
        <v>0.77323900000000001</v>
      </c>
      <c r="AF24" s="9"/>
      <c r="AG24" s="15"/>
    </row>
    <row r="25" spans="1:37" x14ac:dyDescent="0.15">
      <c r="A25" s="14" t="s">
        <v>428</v>
      </c>
      <c r="B25" s="9"/>
      <c r="C25" s="9"/>
      <c r="D25" s="9"/>
      <c r="E25" s="9"/>
      <c r="F25" s="15"/>
      <c r="H25" s="14"/>
      <c r="I25" s="9"/>
      <c r="J25" s="9"/>
      <c r="K25" s="15"/>
      <c r="L25" s="9"/>
      <c r="M25" s="27"/>
      <c r="N25" s="10"/>
      <c r="O25" s="10"/>
      <c r="P25" s="10"/>
      <c r="Q25" s="10"/>
      <c r="R25" s="28"/>
      <c r="T25" s="14">
        <v>2009</v>
      </c>
      <c r="U25" s="9"/>
      <c r="V25" s="97">
        <v>0.32057937908836043</v>
      </c>
      <c r="W25" s="9"/>
      <c r="X25" s="25">
        <f>Ratios!O75/100</f>
        <v>0.10400000000000001</v>
      </c>
      <c r="Y25" s="9"/>
      <c r="Z25" s="15"/>
      <c r="AB25" s="14" t="s">
        <v>481</v>
      </c>
      <c r="AC25" s="9">
        <v>0.73535700000000004</v>
      </c>
      <c r="AD25" s="9" t="s">
        <v>486</v>
      </c>
      <c r="AE25" s="9">
        <v>2.279039</v>
      </c>
      <c r="AF25" s="9"/>
      <c r="AG25" s="15"/>
    </row>
    <row r="26" spans="1:37" x14ac:dyDescent="0.15">
      <c r="A26" s="14" t="s">
        <v>429</v>
      </c>
      <c r="B26" s="9"/>
      <c r="C26" s="9"/>
      <c r="D26" s="9"/>
      <c r="E26" s="9"/>
      <c r="F26" s="15"/>
      <c r="H26" s="14" t="s">
        <v>459</v>
      </c>
      <c r="I26" s="9"/>
      <c r="J26" s="9"/>
      <c r="K26" s="15"/>
      <c r="L26" s="9"/>
      <c r="M26" s="9"/>
      <c r="N26" s="9"/>
      <c r="O26" s="9"/>
      <c r="P26" s="9"/>
      <c r="Q26" s="9"/>
      <c r="R26" s="9"/>
      <c r="T26" s="14">
        <v>2010</v>
      </c>
      <c r="U26" s="9"/>
      <c r="V26" s="97">
        <v>0.17132367350232289</v>
      </c>
      <c r="W26" s="9"/>
      <c r="X26" s="25">
        <f>Ratios!P75/100</f>
        <v>7.9000000000000001E-2</v>
      </c>
      <c r="Y26" s="9"/>
      <c r="Z26" s="15"/>
      <c r="AB26" s="14" t="s">
        <v>482</v>
      </c>
      <c r="AC26" s="9">
        <v>26.49671</v>
      </c>
      <c r="AD26" s="9" t="s">
        <v>487</v>
      </c>
      <c r="AE26" s="9">
        <v>2.39161</v>
      </c>
      <c r="AF26" s="9"/>
      <c r="AG26" s="15"/>
    </row>
    <row r="27" spans="1:37" ht="15.75" thickBot="1" x14ac:dyDescent="0.2">
      <c r="A27" s="27" t="s">
        <v>430</v>
      </c>
      <c r="B27" s="10"/>
      <c r="C27" s="10"/>
      <c r="D27" s="10"/>
      <c r="E27" s="10"/>
      <c r="F27" s="28"/>
      <c r="H27" s="14" t="s">
        <v>460</v>
      </c>
      <c r="I27" s="9"/>
      <c r="J27" s="9"/>
      <c r="K27" s="15"/>
      <c r="L27" s="9"/>
      <c r="M27" s="9"/>
      <c r="N27" s="9"/>
      <c r="O27" s="9"/>
      <c r="P27" s="9"/>
      <c r="Q27" s="9"/>
      <c r="R27" s="9"/>
      <c r="T27" s="14">
        <v>2011</v>
      </c>
      <c r="U27" s="9"/>
      <c r="V27" s="97">
        <v>0.10701213056236195</v>
      </c>
      <c r="W27" s="9"/>
      <c r="X27" s="25">
        <f>Ratios!Q75/100</f>
        <v>5.5999999999999994E-2</v>
      </c>
      <c r="Y27" s="9"/>
      <c r="Z27" s="15"/>
      <c r="AB27" s="102" t="s">
        <v>483</v>
      </c>
      <c r="AC27" s="101">
        <v>-56.255000000000003</v>
      </c>
      <c r="AD27" s="101" t="s">
        <v>488</v>
      </c>
      <c r="AE27" s="101">
        <v>2.0475150000000002</v>
      </c>
      <c r="AF27" s="101"/>
      <c r="AG27" s="103"/>
    </row>
    <row r="28" spans="1:37" ht="15.75" thickTop="1" x14ac:dyDescent="0.15">
      <c r="H28" s="27" t="s">
        <v>451</v>
      </c>
      <c r="I28" s="10"/>
      <c r="J28" s="10"/>
      <c r="K28" s="36">
        <f>0.248/1.62</f>
        <v>0.1530864197530864</v>
      </c>
      <c r="L28" s="23"/>
      <c r="M28" s="23"/>
      <c r="N28" s="23"/>
      <c r="O28" s="23"/>
      <c r="P28" s="23"/>
      <c r="Q28" s="23"/>
      <c r="R28" s="23"/>
      <c r="T28" s="14">
        <v>2012</v>
      </c>
      <c r="U28" s="9"/>
      <c r="V28" s="97">
        <v>0.23201362281822055</v>
      </c>
      <c r="W28" s="9"/>
      <c r="X28" s="25">
        <f>Ratios!R75/100</f>
        <v>8.900000000000001E-2</v>
      </c>
      <c r="Y28" s="9"/>
      <c r="Z28" s="15"/>
      <c r="AB28" s="14"/>
      <c r="AC28" s="9"/>
      <c r="AD28" s="9"/>
      <c r="AE28" s="9"/>
      <c r="AF28" s="9"/>
      <c r="AG28" s="15"/>
    </row>
    <row r="29" spans="1:37" x14ac:dyDescent="0.15">
      <c r="T29" s="99" t="s">
        <v>467</v>
      </c>
      <c r="U29" s="9"/>
      <c r="V29" s="41">
        <v>0.3</v>
      </c>
      <c r="W29" s="9"/>
      <c r="X29" s="41">
        <v>0.1</v>
      </c>
      <c r="Y29" s="9"/>
      <c r="Z29" s="15"/>
      <c r="AB29" s="14" t="s">
        <v>489</v>
      </c>
      <c r="AC29" s="9" t="s">
        <v>491</v>
      </c>
      <c r="AD29" s="9" t="s">
        <v>492</v>
      </c>
      <c r="AE29" s="9"/>
      <c r="AF29" s="9"/>
      <c r="AG29" s="15"/>
    </row>
    <row r="30" spans="1:37" ht="15.75" thickBot="1" x14ac:dyDescent="0.2">
      <c r="T30" s="14"/>
      <c r="U30" s="9"/>
      <c r="V30" s="9"/>
      <c r="W30" s="9"/>
      <c r="X30" s="9"/>
      <c r="Y30" s="9"/>
      <c r="Z30" s="15"/>
      <c r="AB30" s="102" t="s">
        <v>490</v>
      </c>
      <c r="AC30" s="101">
        <v>0.82</v>
      </c>
      <c r="AD30" s="101"/>
      <c r="AE30" s="101"/>
      <c r="AF30" s="101"/>
      <c r="AG30" s="103"/>
    </row>
    <row r="31" spans="1:37" ht="15.75" thickTop="1" x14ac:dyDescent="0.15">
      <c r="T31" s="27" t="s">
        <v>468</v>
      </c>
      <c r="U31" s="10"/>
      <c r="V31" s="10"/>
      <c r="W31" s="100">
        <v>0.03</v>
      </c>
      <c r="X31" s="10"/>
      <c r="Y31" s="10"/>
      <c r="Z31" s="28"/>
      <c r="AB31" s="14"/>
      <c r="AC31" s="9"/>
      <c r="AD31" s="9"/>
      <c r="AE31" s="9"/>
      <c r="AF31" s="9"/>
      <c r="AG31" s="15"/>
    </row>
    <row r="32" spans="1:37" x14ac:dyDescent="0.15">
      <c r="AB32" s="14" t="s">
        <v>493</v>
      </c>
      <c r="AC32" s="9"/>
      <c r="AD32" s="9"/>
      <c r="AE32" s="9"/>
      <c r="AF32" s="9"/>
      <c r="AG32" s="15"/>
    </row>
    <row r="33" spans="8:33" x14ac:dyDescent="0.15">
      <c r="AB33" s="14" t="s">
        <v>494</v>
      </c>
      <c r="AC33" s="9"/>
      <c r="AD33" s="9"/>
      <c r="AE33" s="9"/>
      <c r="AF33" s="9"/>
      <c r="AG33" s="15"/>
    </row>
    <row r="34" spans="8:33" x14ac:dyDescent="0.15">
      <c r="AB34" s="14" t="s">
        <v>495</v>
      </c>
      <c r="AC34" s="9"/>
      <c r="AD34" s="9">
        <v>35</v>
      </c>
      <c r="AE34" s="9"/>
      <c r="AF34" s="9"/>
      <c r="AG34" s="15"/>
    </row>
    <row r="35" spans="8:33" x14ac:dyDescent="0.15">
      <c r="H35" s="105"/>
      <c r="AB35" s="14" t="s">
        <v>496</v>
      </c>
      <c r="AC35" s="9"/>
      <c r="AD35" s="9">
        <v>11</v>
      </c>
      <c r="AE35" s="9"/>
      <c r="AF35" s="9"/>
      <c r="AG35" s="15"/>
    </row>
    <row r="36" spans="8:33" x14ac:dyDescent="0.15">
      <c r="H36" s="105"/>
      <c r="AB36" s="14" t="s">
        <v>497</v>
      </c>
      <c r="AC36" s="9"/>
      <c r="AD36" s="9">
        <v>8</v>
      </c>
      <c r="AE36" s="9"/>
      <c r="AF36" s="9"/>
      <c r="AG36" s="15"/>
    </row>
    <row r="37" spans="8:33" x14ac:dyDescent="0.15">
      <c r="H37" s="105"/>
      <c r="AB37" s="14"/>
      <c r="AC37" s="9"/>
      <c r="AD37" s="9"/>
      <c r="AE37" s="9"/>
      <c r="AF37" s="9"/>
      <c r="AG37" s="15"/>
    </row>
    <row r="38" spans="8:33" x14ac:dyDescent="0.15">
      <c r="H38" s="105"/>
      <c r="AB38" s="14" t="s">
        <v>498</v>
      </c>
      <c r="AC38" s="9"/>
      <c r="AD38" s="9">
        <v>0.72661600000000004</v>
      </c>
      <c r="AE38" s="9"/>
      <c r="AF38" s="9"/>
      <c r="AG38" s="15"/>
    </row>
    <row r="39" spans="8:33" x14ac:dyDescent="0.15">
      <c r="H39" s="105"/>
      <c r="AB39" s="14" t="s">
        <v>499</v>
      </c>
      <c r="AC39" s="9"/>
      <c r="AD39" s="9">
        <v>0.57596000000000003</v>
      </c>
      <c r="AE39" s="9"/>
      <c r="AF39" s="9"/>
      <c r="AG39" s="15"/>
    </row>
    <row r="40" spans="8:33" x14ac:dyDescent="0.15">
      <c r="H40" s="105"/>
      <c r="AB40" s="14" t="s">
        <v>500</v>
      </c>
      <c r="AC40" s="9"/>
      <c r="AD40" s="9">
        <v>2.7367180000000002</v>
      </c>
      <c r="AE40" s="9"/>
      <c r="AF40" s="9"/>
      <c r="AG40" s="15"/>
    </row>
    <row r="41" spans="8:33" x14ac:dyDescent="0.15">
      <c r="H41" s="105"/>
      <c r="AB41" s="14" t="s">
        <v>501</v>
      </c>
      <c r="AC41" s="9"/>
      <c r="AD41" s="9">
        <v>6.1669999999999997E-3</v>
      </c>
      <c r="AE41" s="9"/>
      <c r="AF41" s="9"/>
      <c r="AG41" s="15"/>
    </row>
    <row r="42" spans="8:33" x14ac:dyDescent="0.15">
      <c r="H42" s="105"/>
      <c r="AB42" s="14" t="s">
        <v>502</v>
      </c>
      <c r="AC42" s="9"/>
      <c r="AD42" s="9">
        <v>5.8999999999999998E-5</v>
      </c>
      <c r="AE42" s="9"/>
      <c r="AF42" s="9"/>
      <c r="AG42" s="15"/>
    </row>
    <row r="43" spans="8:33" x14ac:dyDescent="0.15">
      <c r="H43" s="105"/>
      <c r="AB43" s="14" t="s">
        <v>503</v>
      </c>
      <c r="AC43" s="9"/>
      <c r="AD43" s="9">
        <v>0.99377400000000005</v>
      </c>
      <c r="AE43" s="9"/>
      <c r="AF43" s="9"/>
      <c r="AG43" s="15"/>
    </row>
    <row r="44" spans="8:33" x14ac:dyDescent="0.15">
      <c r="H44" s="105"/>
      <c r="AB44" s="14"/>
      <c r="AC44" s="9"/>
      <c r="AD44" s="9"/>
      <c r="AE44" s="9"/>
      <c r="AF44" s="9"/>
      <c r="AG44" s="15"/>
    </row>
    <row r="45" spans="8:33" x14ac:dyDescent="0.15">
      <c r="H45" s="105"/>
      <c r="AB45" s="27" t="s">
        <v>504</v>
      </c>
      <c r="AC45" s="10"/>
      <c r="AD45" s="44">
        <v>6.2399999999999997E-2</v>
      </c>
      <c r="AE45" s="10"/>
      <c r="AF45" s="10"/>
      <c r="AG45" s="28"/>
    </row>
    <row r="46" spans="8:33" x14ac:dyDescent="0.15">
      <c r="H46" s="105"/>
    </row>
    <row r="47" spans="8:33" x14ac:dyDescent="0.15">
      <c r="H47" s="105"/>
    </row>
    <row r="48" spans="8:33" x14ac:dyDescent="0.15">
      <c r="H48" s="105"/>
    </row>
    <row r="49" spans="8:8" x14ac:dyDescent="0.15">
      <c r="H49" s="105"/>
    </row>
    <row r="50" spans="8:8" x14ac:dyDescent="0.15">
      <c r="H50" s="105"/>
    </row>
    <row r="51" spans="8:8" x14ac:dyDescent="0.15">
      <c r="H51" s="105"/>
    </row>
    <row r="52" spans="8:8" x14ac:dyDescent="0.15">
      <c r="H52" s="105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7"/>
  <sheetViews>
    <sheetView topLeftCell="A28" zoomScaleNormal="100" workbookViewId="0">
      <selection activeCell="B59" sqref="B59"/>
    </sheetView>
  </sheetViews>
  <sheetFormatPr defaultColWidth="9" defaultRowHeight="15" x14ac:dyDescent="0.15"/>
  <cols>
    <col min="1" max="1" width="2.5" style="8" customWidth="1"/>
    <col min="2" max="2" width="21.25" style="8" customWidth="1"/>
    <col min="3" max="12" width="10" style="8" bestFit="1" customWidth="1"/>
    <col min="13" max="17" width="9" style="8"/>
    <col min="18" max="18" width="17.375" style="8" customWidth="1"/>
    <col min="19" max="19" width="9" style="8" customWidth="1"/>
    <col min="20" max="20" width="2.5" style="8" customWidth="1"/>
    <col min="21" max="21" width="13.5" style="8" bestFit="1" customWidth="1"/>
    <col min="22" max="22" width="9.625" style="8" bestFit="1" customWidth="1"/>
    <col min="23" max="31" width="9" style="8"/>
    <col min="32" max="32" width="2.5" style="8" customWidth="1"/>
    <col min="33" max="16384" width="9" style="8"/>
  </cols>
  <sheetData>
    <row r="1" spans="2:35" x14ac:dyDescent="0.15">
      <c r="B1" s="8" t="s">
        <v>526</v>
      </c>
    </row>
    <row r="3" spans="2:35" x14ac:dyDescent="0.15">
      <c r="B3" s="8" t="s">
        <v>542</v>
      </c>
      <c r="C3" s="8">
        <v>2003</v>
      </c>
      <c r="D3" s="8">
        <v>2004</v>
      </c>
      <c r="E3" s="8">
        <v>2005</v>
      </c>
      <c r="F3" s="8">
        <v>2006</v>
      </c>
      <c r="G3" s="8">
        <v>2007</v>
      </c>
      <c r="H3" s="8">
        <v>2008</v>
      </c>
      <c r="I3" s="8">
        <v>2009</v>
      </c>
      <c r="J3" s="8">
        <v>2010</v>
      </c>
      <c r="K3" s="8">
        <v>2011</v>
      </c>
      <c r="L3" s="8">
        <v>2012</v>
      </c>
      <c r="M3" s="115" t="s">
        <v>548</v>
      </c>
      <c r="N3" s="115"/>
      <c r="O3" s="115"/>
      <c r="P3" s="115"/>
    </row>
    <row r="4" spans="2:35" x14ac:dyDescent="0.15">
      <c r="B4" s="8" t="s">
        <v>543</v>
      </c>
      <c r="C4" s="113">
        <f>'Income Statement'!I27</f>
        <v>241.8</v>
      </c>
      <c r="D4" s="113">
        <f>'Income Statement'!J27</f>
        <v>385.1</v>
      </c>
      <c r="E4" s="113">
        <f>'Income Statement'!K27</f>
        <v>468.9</v>
      </c>
      <c r="F4" s="113">
        <f>'Income Statement'!L27</f>
        <v>628.9</v>
      </c>
      <c r="G4" s="113">
        <f>'Income Statement'!M27</f>
        <v>776.4</v>
      </c>
      <c r="H4" s="113">
        <f>'Income Statement'!N27</f>
        <v>918.5</v>
      </c>
      <c r="I4" s="113">
        <f>'Income Statement'!O27</f>
        <v>963.1</v>
      </c>
      <c r="J4" s="113">
        <f>'Income Statement'!P27</f>
        <v>963.9</v>
      </c>
      <c r="K4" s="113">
        <f>'Income Statement'!Q27</f>
        <v>1101.9000000000001</v>
      </c>
      <c r="L4" s="113">
        <f>'Income Statement'!R27</f>
        <v>1305</v>
      </c>
      <c r="M4" s="113">
        <f>5247.9*0.3</f>
        <v>1574.37</v>
      </c>
      <c r="N4" s="113"/>
      <c r="O4" s="113"/>
      <c r="P4" s="113"/>
      <c r="Z4" s="119"/>
      <c r="AA4" s="119"/>
      <c r="AB4" s="119"/>
      <c r="AC4" s="119"/>
      <c r="AD4" s="119"/>
      <c r="AE4" s="119"/>
      <c r="AF4" s="119"/>
      <c r="AG4" s="119"/>
      <c r="AH4" s="119"/>
    </row>
    <row r="5" spans="2:35" x14ac:dyDescent="0.15">
      <c r="B5" s="8" t="s">
        <v>558</v>
      </c>
      <c r="C5" s="113">
        <f>C4*0.72</f>
        <v>174.096</v>
      </c>
      <c r="D5" s="113">
        <f t="shared" ref="D5:M5" si="0">D4*0.72</f>
        <v>277.27199999999999</v>
      </c>
      <c r="E5" s="113">
        <f t="shared" si="0"/>
        <v>337.60799999999995</v>
      </c>
      <c r="F5" s="113">
        <f t="shared" si="0"/>
        <v>452.80799999999999</v>
      </c>
      <c r="G5" s="113">
        <f t="shared" si="0"/>
        <v>559.00799999999992</v>
      </c>
      <c r="H5" s="113">
        <f t="shared" si="0"/>
        <v>661.31999999999994</v>
      </c>
      <c r="I5" s="113">
        <f t="shared" si="0"/>
        <v>693.43200000000002</v>
      </c>
      <c r="J5" s="113">
        <f t="shared" si="0"/>
        <v>694.00799999999992</v>
      </c>
      <c r="K5" s="113">
        <f t="shared" si="0"/>
        <v>793.36800000000005</v>
      </c>
      <c r="L5" s="113">
        <f t="shared" si="0"/>
        <v>939.59999999999991</v>
      </c>
      <c r="M5" s="113">
        <f t="shared" si="0"/>
        <v>1133.5463999999999</v>
      </c>
      <c r="N5" s="113"/>
      <c r="O5" s="113"/>
      <c r="P5" s="113"/>
      <c r="Z5" s="119"/>
      <c r="AA5" s="119"/>
      <c r="AB5" s="119"/>
      <c r="AC5" s="119"/>
      <c r="AD5" s="119"/>
      <c r="AE5" s="119"/>
      <c r="AF5" s="119"/>
      <c r="AG5" s="119"/>
      <c r="AH5" s="119"/>
    </row>
    <row r="6" spans="2:35" x14ac:dyDescent="0.15">
      <c r="B6" s="8" t="s">
        <v>544</v>
      </c>
      <c r="C6" s="114">
        <f>'Income Statement'!I15</f>
        <v>586.20000000000005</v>
      </c>
      <c r="D6" s="114">
        <f>'Income Statement'!J15</f>
        <v>545.4</v>
      </c>
      <c r="E6" s="114">
        <f>'Income Statement'!K15</f>
        <v>541</v>
      </c>
      <c r="F6" s="114">
        <f>'Income Statement'!L15</f>
        <v>498.4</v>
      </c>
      <c r="G6" s="114">
        <f>'Income Statement'!M15</f>
        <v>473.1</v>
      </c>
      <c r="H6" s="114">
        <f>'Income Statement'!N15</f>
        <v>508.8</v>
      </c>
      <c r="I6" s="114">
        <f>'Income Statement'!O15</f>
        <v>587.20000000000005</v>
      </c>
      <c r="J6" s="114">
        <f>'Income Statement'!P15</f>
        <v>660.2</v>
      </c>
      <c r="K6" s="114">
        <f>'Income Statement'!Q15</f>
        <v>653.70000000000005</v>
      </c>
      <c r="L6" s="114">
        <f>'Income Statement'!R15</f>
        <v>813</v>
      </c>
      <c r="M6" s="79">
        <f>(M7-L6)/10+L6</f>
        <v>836.65800000000002</v>
      </c>
      <c r="N6" s="79"/>
      <c r="O6" s="79"/>
      <c r="P6" s="79"/>
      <c r="R6" s="118"/>
      <c r="S6" s="118"/>
      <c r="T6" s="118"/>
      <c r="U6" s="118"/>
      <c r="V6" s="118"/>
      <c r="W6" s="118"/>
      <c r="X6" s="118"/>
      <c r="Y6" s="118"/>
      <c r="Z6" s="120"/>
      <c r="AA6" s="120"/>
      <c r="AB6" s="120"/>
      <c r="AC6" s="120"/>
      <c r="AD6" s="120"/>
      <c r="AE6" s="120"/>
      <c r="AF6" s="120"/>
      <c r="AG6" s="120"/>
      <c r="AH6" s="120"/>
      <c r="AI6" s="116"/>
    </row>
    <row r="7" spans="2:35" x14ac:dyDescent="0.15">
      <c r="B7" s="8" t="s">
        <v>545</v>
      </c>
      <c r="C7" s="114">
        <f>'Cashflow Statement'!I26*(-1)</f>
        <v>420.6</v>
      </c>
      <c r="D7" s="114">
        <f>'Cashflow Statement'!J26*(-1)</f>
        <v>388.8</v>
      </c>
      <c r="E7" s="114">
        <f>'Cashflow Statement'!K26*(-1)</f>
        <v>452.6</v>
      </c>
      <c r="F7" s="114">
        <f>'Cashflow Statement'!L26*(-1)</f>
        <v>540.6</v>
      </c>
      <c r="G7" s="114">
        <f>'Cashflow Statement'!M26*(-1)</f>
        <v>651.1</v>
      </c>
      <c r="H7" s="114">
        <f>'Cashflow Statement'!N26*(-1)</f>
        <v>727.4</v>
      </c>
      <c r="I7" s="114">
        <f>'Cashflow Statement'!O26*(-1)</f>
        <v>802.9</v>
      </c>
      <c r="J7" s="114">
        <f>'Cashflow Statement'!P26*(-1)</f>
        <v>840.7</v>
      </c>
      <c r="K7" s="114">
        <f>'Cashflow Statement'!Q26*(-1)</f>
        <v>889.1</v>
      </c>
      <c r="L7" s="114">
        <f>'Cashflow Statement'!R26*(-1)</f>
        <v>243</v>
      </c>
      <c r="M7" s="8">
        <f>0.2*5247.9</f>
        <v>1049.58</v>
      </c>
    </row>
    <row r="8" spans="2:35" x14ac:dyDescent="0.15">
      <c r="B8" s="10" t="s">
        <v>546</v>
      </c>
      <c r="C8" s="129">
        <v>-289.60000000000002</v>
      </c>
      <c r="D8" s="129">
        <v>-122.20000000000005</v>
      </c>
      <c r="E8" s="129">
        <v>294.5</v>
      </c>
      <c r="F8" s="129">
        <v>4.8000000000000682</v>
      </c>
      <c r="G8" s="129">
        <v>-56.699999999999989</v>
      </c>
      <c r="H8" s="129">
        <v>12.89999999999992</v>
      </c>
      <c r="I8" s="129">
        <v>-449.09999999999991</v>
      </c>
      <c r="J8" s="129">
        <v>232.60000000000002</v>
      </c>
      <c r="K8" s="129">
        <v>328.19999999999993</v>
      </c>
      <c r="L8" s="129">
        <v>-658.6</v>
      </c>
      <c r="M8" s="129">
        <v>0</v>
      </c>
      <c r="N8" s="9"/>
      <c r="O8" s="9"/>
      <c r="P8" s="9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6"/>
    </row>
    <row r="9" spans="2:35" x14ac:dyDescent="0.15">
      <c r="B9" s="8" t="s">
        <v>547</v>
      </c>
      <c r="C9" s="114">
        <f>C4+C6-C7-C8</f>
        <v>697</v>
      </c>
      <c r="D9" s="114">
        <f t="shared" ref="D9:L9" si="1">D4+D6-D7-D8</f>
        <v>663.90000000000009</v>
      </c>
      <c r="E9" s="114">
        <f t="shared" si="1"/>
        <v>262.79999999999995</v>
      </c>
      <c r="F9" s="114">
        <f t="shared" si="1"/>
        <v>581.89999999999986</v>
      </c>
      <c r="G9" s="114">
        <f t="shared" si="1"/>
        <v>655.09999999999991</v>
      </c>
      <c r="H9" s="114">
        <f t="shared" si="1"/>
        <v>687</v>
      </c>
      <c r="I9" s="114">
        <f t="shared" si="1"/>
        <v>1196.5</v>
      </c>
      <c r="J9" s="114">
        <f t="shared" si="1"/>
        <v>550.79999999999984</v>
      </c>
      <c r="K9" s="114">
        <f t="shared" si="1"/>
        <v>538.30000000000018</v>
      </c>
      <c r="L9" s="114">
        <f t="shared" si="1"/>
        <v>2533.6</v>
      </c>
      <c r="M9" s="79">
        <f>M5+M6-M7</f>
        <v>920.62440000000015</v>
      </c>
      <c r="N9" s="79"/>
      <c r="O9" s="79"/>
      <c r="P9" s="79"/>
    </row>
    <row r="10" spans="2:35" x14ac:dyDescent="0.15"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6"/>
    </row>
    <row r="11" spans="2:35" x14ac:dyDescent="0.15">
      <c r="B11" s="8" t="s">
        <v>592</v>
      </c>
    </row>
    <row r="13" spans="2:35" x14ac:dyDescent="0.15">
      <c r="B13" s="8" t="s">
        <v>556</v>
      </c>
      <c r="C13" s="8">
        <v>2013</v>
      </c>
      <c r="D13" s="8">
        <v>2014</v>
      </c>
      <c r="E13" s="8">
        <v>2015</v>
      </c>
      <c r="F13" s="8">
        <v>2016</v>
      </c>
      <c r="G13" s="8">
        <v>2017</v>
      </c>
      <c r="H13" s="8">
        <v>2018</v>
      </c>
      <c r="I13" s="8">
        <v>2019</v>
      </c>
      <c r="J13" s="8">
        <v>2020</v>
      </c>
      <c r="K13" s="8">
        <v>2021</v>
      </c>
      <c r="L13" s="8">
        <v>2022</v>
      </c>
      <c r="U13" s="10" t="s">
        <v>601</v>
      </c>
      <c r="V13" s="10">
        <v>2013</v>
      </c>
      <c r="W13" s="10">
        <v>2014</v>
      </c>
      <c r="X13" s="10">
        <v>2015</v>
      </c>
      <c r="Y13" s="10">
        <v>2016</v>
      </c>
      <c r="Z13" s="10">
        <v>2017</v>
      </c>
      <c r="AA13" s="10">
        <v>2018</v>
      </c>
      <c r="AB13" s="10">
        <v>2019</v>
      </c>
      <c r="AC13" s="10">
        <v>2020</v>
      </c>
      <c r="AD13" s="10">
        <v>2021</v>
      </c>
      <c r="AE13" s="10">
        <v>2022</v>
      </c>
    </row>
    <row r="14" spans="2:35" x14ac:dyDescent="0.15">
      <c r="B14" s="8" t="s">
        <v>559</v>
      </c>
      <c r="C14" s="113">
        <v>5247.9</v>
      </c>
      <c r="D14" s="113">
        <f>C14*1.05</f>
        <v>5510.2950000000001</v>
      </c>
      <c r="E14" s="113">
        <f t="shared" ref="E14:L14" si="2">D14*1.05</f>
        <v>5785.8097500000003</v>
      </c>
      <c r="F14" s="113">
        <f t="shared" si="2"/>
        <v>6075.1002375000007</v>
      </c>
      <c r="G14" s="113">
        <f t="shared" si="2"/>
        <v>6378.8552493750012</v>
      </c>
      <c r="H14" s="113">
        <f t="shared" si="2"/>
        <v>6697.7980118437517</v>
      </c>
      <c r="I14" s="113">
        <f t="shared" si="2"/>
        <v>7032.6879124359393</v>
      </c>
      <c r="J14" s="113">
        <f t="shared" si="2"/>
        <v>7384.3223080577363</v>
      </c>
      <c r="K14" s="113">
        <f t="shared" si="2"/>
        <v>7753.5384234606236</v>
      </c>
      <c r="L14" s="113">
        <f t="shared" si="2"/>
        <v>8141.2153446336551</v>
      </c>
      <c r="M14" s="113"/>
      <c r="N14" s="113"/>
      <c r="O14" s="113"/>
      <c r="P14" s="113"/>
      <c r="R14" s="117"/>
      <c r="S14" s="117"/>
      <c r="T14" s="117"/>
      <c r="U14" s="117" t="s">
        <v>602</v>
      </c>
      <c r="V14" s="113">
        <f>C17</f>
        <v>1133.5463999999999</v>
      </c>
      <c r="W14" s="113">
        <f t="shared" ref="W14:AE14" si="3">D17</f>
        <v>1190.22372</v>
      </c>
      <c r="X14" s="113">
        <f t="shared" si="3"/>
        <v>1249.7349059999999</v>
      </c>
      <c r="Y14" s="113">
        <f t="shared" si="3"/>
        <v>1312.2216513000001</v>
      </c>
      <c r="Z14" s="113">
        <f t="shared" si="3"/>
        <v>1377.8327338650001</v>
      </c>
      <c r="AA14" s="113">
        <f t="shared" si="3"/>
        <v>1446.7243705582503</v>
      </c>
      <c r="AB14" s="113">
        <f t="shared" si="3"/>
        <v>1519.0605890861627</v>
      </c>
      <c r="AC14" s="113">
        <f t="shared" si="3"/>
        <v>1595.0136185404708</v>
      </c>
      <c r="AD14" s="113">
        <f t="shared" si="3"/>
        <v>1674.7642994674945</v>
      </c>
      <c r="AE14" s="113">
        <f t="shared" si="3"/>
        <v>1758.5025144408694</v>
      </c>
      <c r="AF14" s="117"/>
      <c r="AG14" s="117"/>
      <c r="AH14" s="117"/>
      <c r="AI14" s="117"/>
    </row>
    <row r="15" spans="2:35" x14ac:dyDescent="0.15">
      <c r="B15" s="8" t="s">
        <v>560</v>
      </c>
      <c r="C15" s="113">
        <f>0.3*C14</f>
        <v>1574.37</v>
      </c>
      <c r="D15" s="113">
        <f t="shared" ref="D15:L15" si="4">0.3*D14</f>
        <v>1653.0885000000001</v>
      </c>
      <c r="E15" s="113">
        <f t="shared" si="4"/>
        <v>1735.742925</v>
      </c>
      <c r="F15" s="113">
        <f t="shared" si="4"/>
        <v>1822.5300712500002</v>
      </c>
      <c r="G15" s="113">
        <f t="shared" si="4"/>
        <v>1913.6565748125004</v>
      </c>
      <c r="H15" s="113">
        <f t="shared" si="4"/>
        <v>2009.3394035531255</v>
      </c>
      <c r="I15" s="113">
        <f t="shared" si="4"/>
        <v>2109.8063737307816</v>
      </c>
      <c r="J15" s="113">
        <f t="shared" si="4"/>
        <v>2215.2966924173206</v>
      </c>
      <c r="K15" s="113">
        <f t="shared" si="4"/>
        <v>2326.0615270381868</v>
      </c>
      <c r="L15" s="113">
        <f t="shared" si="4"/>
        <v>2442.3646033900964</v>
      </c>
      <c r="M15" s="113"/>
      <c r="N15" s="113"/>
      <c r="O15" s="113"/>
      <c r="P15" s="113"/>
      <c r="U15" s="8" t="s">
        <v>603</v>
      </c>
      <c r="V15" s="113">
        <f t="shared" ref="V15:AE15" si="5">C20-C18</f>
        <v>212.92199999999991</v>
      </c>
      <c r="W15" s="113">
        <f t="shared" si="5"/>
        <v>238.8608999999999</v>
      </c>
      <c r="X15" s="113">
        <f t="shared" si="5"/>
        <v>264.56746500000008</v>
      </c>
      <c r="Y15" s="113">
        <f t="shared" si="5"/>
        <v>290.18300625000006</v>
      </c>
      <c r="Z15" s="113">
        <f t="shared" si="5"/>
        <v>315.8406077625001</v>
      </c>
      <c r="AA15" s="113">
        <f t="shared" si="5"/>
        <v>341.66624423062513</v>
      </c>
      <c r="AB15" s="113">
        <f t="shared" si="5"/>
        <v>367.77980191415645</v>
      </c>
      <c r="AC15" s="113">
        <f t="shared" si="5"/>
        <v>394.29601293466408</v>
      </c>
      <c r="AD15" s="113">
        <f t="shared" si="5"/>
        <v>421.32531241371748</v>
      </c>
      <c r="AE15" s="113">
        <f t="shared" si="5"/>
        <v>448.97462698349159</v>
      </c>
    </row>
    <row r="16" spans="2:35" x14ac:dyDescent="0.15">
      <c r="B16" s="8" t="s">
        <v>561</v>
      </c>
      <c r="C16" s="123">
        <v>0.28000000000000003</v>
      </c>
      <c r="D16" s="123">
        <v>0.28000000000000003</v>
      </c>
      <c r="E16" s="123">
        <v>0.28000000000000003</v>
      </c>
      <c r="F16" s="123">
        <v>0.28000000000000003</v>
      </c>
      <c r="G16" s="123">
        <v>0.28000000000000003</v>
      </c>
      <c r="H16" s="123">
        <v>0.28000000000000003</v>
      </c>
      <c r="I16" s="123">
        <v>0.28000000000000003</v>
      </c>
      <c r="J16" s="123">
        <v>0.28000000000000003</v>
      </c>
      <c r="K16" s="123">
        <v>0.28000000000000003</v>
      </c>
      <c r="L16" s="123">
        <v>0.28000000000000003</v>
      </c>
      <c r="M16" s="123"/>
      <c r="N16" s="123"/>
      <c r="O16" s="123"/>
      <c r="P16" s="123"/>
      <c r="R16" s="116"/>
      <c r="U16" s="8" t="s">
        <v>604</v>
      </c>
      <c r="V16" s="126">
        <f>V14-V15</f>
        <v>920.62440000000004</v>
      </c>
      <c r="W16" s="126">
        <f t="shared" ref="W16:AE16" si="6">W14-W15</f>
        <v>951.36282000000006</v>
      </c>
      <c r="X16" s="126">
        <f t="shared" si="6"/>
        <v>985.16744099999983</v>
      </c>
      <c r="Y16" s="126">
        <f t="shared" si="6"/>
        <v>1022.03864505</v>
      </c>
      <c r="Z16" s="126">
        <f t="shared" si="6"/>
        <v>1061.9921261025002</v>
      </c>
      <c r="AA16" s="126">
        <f t="shared" si="6"/>
        <v>1105.0581263276251</v>
      </c>
      <c r="AB16" s="126">
        <f t="shared" si="6"/>
        <v>1151.2807871720063</v>
      </c>
      <c r="AC16" s="126">
        <f t="shared" si="6"/>
        <v>1200.7176056058067</v>
      </c>
      <c r="AD16" s="126">
        <f t="shared" si="6"/>
        <v>1253.4389870537771</v>
      </c>
      <c r="AE16" s="126">
        <f t="shared" si="6"/>
        <v>1309.5278874573778</v>
      </c>
    </row>
    <row r="17" spans="2:35" x14ac:dyDescent="0.15">
      <c r="B17" s="8" t="s">
        <v>558</v>
      </c>
      <c r="C17" s="113">
        <f>C15*(1-C16)</f>
        <v>1133.5463999999999</v>
      </c>
      <c r="D17" s="113">
        <f t="shared" ref="D17:L17" si="7">D15*(1-D16)</f>
        <v>1190.22372</v>
      </c>
      <c r="E17" s="113">
        <f t="shared" si="7"/>
        <v>1249.7349059999999</v>
      </c>
      <c r="F17" s="113">
        <f t="shared" si="7"/>
        <v>1312.2216513000001</v>
      </c>
      <c r="G17" s="113">
        <f t="shared" si="7"/>
        <v>1377.8327338650001</v>
      </c>
      <c r="H17" s="113">
        <f t="shared" si="7"/>
        <v>1446.7243705582503</v>
      </c>
      <c r="I17" s="113">
        <f t="shared" si="7"/>
        <v>1519.0605890861627</v>
      </c>
      <c r="J17" s="113">
        <f t="shared" si="7"/>
        <v>1595.0136185404708</v>
      </c>
      <c r="K17" s="113">
        <f t="shared" si="7"/>
        <v>1674.7642994674945</v>
      </c>
      <c r="L17" s="113">
        <f t="shared" si="7"/>
        <v>1758.5025144408694</v>
      </c>
      <c r="M17" s="113"/>
      <c r="N17" s="113"/>
      <c r="O17" s="113"/>
      <c r="P17" s="113"/>
      <c r="AD17" s="119"/>
      <c r="AE17" s="121"/>
      <c r="AF17" s="121"/>
      <c r="AG17" s="121"/>
      <c r="AH17" s="121"/>
      <c r="AI17" s="121"/>
    </row>
    <row r="18" spans="2:35" x14ac:dyDescent="0.15">
      <c r="B18" s="8" t="s">
        <v>563</v>
      </c>
      <c r="C18" s="113">
        <f>(C20-L6)/10+L6</f>
        <v>836.65800000000002</v>
      </c>
      <c r="D18" s="113">
        <f>(D20-C18)/10+C18</f>
        <v>863.19810000000007</v>
      </c>
      <c r="E18" s="113">
        <f t="shared" ref="E18:L18" si="8">(E20-D18)/10+D18</f>
        <v>892.59448500000008</v>
      </c>
      <c r="F18" s="113">
        <f t="shared" si="8"/>
        <v>924.83704125000008</v>
      </c>
      <c r="G18" s="113">
        <f t="shared" si="8"/>
        <v>959.93044211250015</v>
      </c>
      <c r="H18" s="113">
        <f t="shared" si="8"/>
        <v>997.89335813812522</v>
      </c>
      <c r="I18" s="113">
        <f t="shared" si="8"/>
        <v>1038.7577805730316</v>
      </c>
      <c r="J18" s="113">
        <f t="shared" si="8"/>
        <v>1082.5684486768832</v>
      </c>
      <c r="K18" s="113">
        <f t="shared" si="8"/>
        <v>1129.3823722784073</v>
      </c>
      <c r="L18" s="113">
        <f t="shared" si="8"/>
        <v>1179.2684419432396</v>
      </c>
      <c r="M18" s="113"/>
      <c r="N18" s="113"/>
      <c r="O18" s="113"/>
      <c r="P18" s="113"/>
      <c r="AD18" s="119"/>
      <c r="AE18" s="121"/>
      <c r="AF18" s="121"/>
      <c r="AG18" s="121"/>
      <c r="AH18" s="121"/>
      <c r="AI18" s="121"/>
    </row>
    <row r="19" spans="2:35" x14ac:dyDescent="0.15">
      <c r="B19" s="8" t="s">
        <v>568</v>
      </c>
      <c r="C19" s="113">
        <f>C17+C18</f>
        <v>1970.2044000000001</v>
      </c>
      <c r="D19" s="113">
        <f t="shared" ref="D19:L19" si="9">D17+D18</f>
        <v>2053.42182</v>
      </c>
      <c r="E19" s="113">
        <f t="shared" si="9"/>
        <v>2142.3293910000002</v>
      </c>
      <c r="F19" s="113">
        <f t="shared" si="9"/>
        <v>2237.0586925500002</v>
      </c>
      <c r="G19" s="113">
        <f t="shared" si="9"/>
        <v>2337.7631759775004</v>
      </c>
      <c r="H19" s="113">
        <f t="shared" si="9"/>
        <v>2444.6177286963757</v>
      </c>
      <c r="I19" s="113">
        <f t="shared" si="9"/>
        <v>2557.8183696591941</v>
      </c>
      <c r="J19" s="113">
        <f t="shared" si="9"/>
        <v>2677.5820672173541</v>
      </c>
      <c r="K19" s="113">
        <f t="shared" si="9"/>
        <v>2804.1466717459016</v>
      </c>
      <c r="L19" s="113">
        <f t="shared" si="9"/>
        <v>2937.770956384109</v>
      </c>
      <c r="M19" s="113"/>
      <c r="N19" s="113"/>
      <c r="O19" s="113"/>
      <c r="P19" s="113"/>
      <c r="AD19" s="119"/>
      <c r="AE19" s="121"/>
      <c r="AF19" s="121"/>
      <c r="AG19" s="121"/>
      <c r="AH19" s="121"/>
      <c r="AI19" s="121"/>
    </row>
    <row r="20" spans="2:35" x14ac:dyDescent="0.15">
      <c r="B20" s="8" t="s">
        <v>564</v>
      </c>
      <c r="C20" s="113">
        <f>C14*0.2</f>
        <v>1049.58</v>
      </c>
      <c r="D20" s="113">
        <f t="shared" ref="D20:L20" si="10">D14*0.2</f>
        <v>1102.059</v>
      </c>
      <c r="E20" s="113">
        <f t="shared" si="10"/>
        <v>1157.1619500000002</v>
      </c>
      <c r="F20" s="113">
        <f t="shared" si="10"/>
        <v>1215.0200475000001</v>
      </c>
      <c r="G20" s="113">
        <f t="shared" si="10"/>
        <v>1275.7710498750002</v>
      </c>
      <c r="H20" s="113">
        <f t="shared" si="10"/>
        <v>1339.5596023687503</v>
      </c>
      <c r="I20" s="113">
        <f t="shared" si="10"/>
        <v>1406.537582487188</v>
      </c>
      <c r="J20" s="113">
        <f t="shared" si="10"/>
        <v>1476.8644616115473</v>
      </c>
      <c r="K20" s="113">
        <f t="shared" si="10"/>
        <v>1550.7076846921248</v>
      </c>
      <c r="L20" s="113">
        <f t="shared" si="10"/>
        <v>1628.2430689267312</v>
      </c>
      <c r="M20" s="113"/>
      <c r="N20" s="113"/>
      <c r="O20" s="113"/>
      <c r="P20" s="113"/>
      <c r="AD20" s="119"/>
      <c r="AE20" s="121"/>
      <c r="AF20" s="121"/>
      <c r="AG20" s="121"/>
      <c r="AH20" s="121"/>
      <c r="AI20" s="121"/>
    </row>
    <row r="21" spans="2:35" x14ac:dyDescent="0.15">
      <c r="B21" s="10" t="s">
        <v>566</v>
      </c>
      <c r="C21" s="124">
        <v>0</v>
      </c>
      <c r="D21" s="124">
        <v>0</v>
      </c>
      <c r="E21" s="124">
        <v>0</v>
      </c>
      <c r="F21" s="124">
        <v>0</v>
      </c>
      <c r="G21" s="124">
        <v>0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AD21" s="119"/>
      <c r="AE21" s="121"/>
      <c r="AF21" s="121"/>
      <c r="AG21" s="121"/>
      <c r="AH21" s="121"/>
      <c r="AI21" s="121"/>
    </row>
    <row r="22" spans="2:35" x14ac:dyDescent="0.15">
      <c r="B22" s="8" t="s">
        <v>567</v>
      </c>
      <c r="C22" s="113">
        <f>C17+C18-C20</f>
        <v>920.62440000000015</v>
      </c>
      <c r="D22" s="113">
        <f t="shared" ref="D22:L22" si="11">D17+D18-D20</f>
        <v>951.36282000000006</v>
      </c>
      <c r="E22" s="113">
        <f t="shared" si="11"/>
        <v>985.16744100000005</v>
      </c>
      <c r="F22" s="113">
        <f t="shared" si="11"/>
        <v>1022.03864505</v>
      </c>
      <c r="G22" s="113">
        <f t="shared" si="11"/>
        <v>1061.9921261025002</v>
      </c>
      <c r="H22" s="113">
        <f t="shared" si="11"/>
        <v>1105.0581263276254</v>
      </c>
      <c r="I22" s="113">
        <f t="shared" si="11"/>
        <v>1151.2807871720061</v>
      </c>
      <c r="J22" s="113">
        <f t="shared" si="11"/>
        <v>1200.7176056058067</v>
      </c>
      <c r="K22" s="113">
        <f t="shared" si="11"/>
        <v>1253.4389870537768</v>
      </c>
      <c r="L22" s="113">
        <f t="shared" si="11"/>
        <v>1309.5278874573778</v>
      </c>
      <c r="Q22" s="126"/>
      <c r="AD22" s="119"/>
      <c r="AE22" s="121"/>
      <c r="AF22" s="121"/>
      <c r="AG22" s="121"/>
      <c r="AH22" s="121"/>
      <c r="AI22" s="121"/>
    </row>
    <row r="23" spans="2:35" x14ac:dyDescent="0.15">
      <c r="AD23" s="119"/>
      <c r="AE23" s="121"/>
      <c r="AF23" s="121"/>
      <c r="AG23" s="121"/>
      <c r="AH23" s="121"/>
      <c r="AI23" s="121"/>
    </row>
    <row r="24" spans="2:35" x14ac:dyDescent="0.15">
      <c r="B24" s="8" t="s">
        <v>570</v>
      </c>
      <c r="C24" s="38">
        <v>6.7699999999999996E-2</v>
      </c>
      <c r="AD24" s="119"/>
      <c r="AE24" s="121"/>
      <c r="AF24" s="121"/>
      <c r="AG24" s="121"/>
      <c r="AH24" s="121"/>
      <c r="AI24" s="121"/>
    </row>
    <row r="25" spans="2:35" x14ac:dyDescent="0.15">
      <c r="B25" s="10" t="s">
        <v>571</v>
      </c>
      <c r="C25" s="45">
        <f>1/(1+$C$24)^1</f>
        <v>0.93659267584527484</v>
      </c>
      <c r="D25" s="45">
        <f>1/(1+$C$24)^2</f>
        <v>0.877205840447012</v>
      </c>
      <c r="E25" s="45">
        <f>1/(1+$C$24)^3</f>
        <v>0.82158456537137015</v>
      </c>
      <c r="F25" s="45">
        <f>1/(1+$C$24)^4</f>
        <v>0.76949008651434869</v>
      </c>
      <c r="G25" s="45">
        <f>1/(1+$C$24)^5</f>
        <v>0.72069877916488589</v>
      </c>
      <c r="H25" s="45">
        <f>1/(1+$C$24)^6</f>
        <v>0.67500119805646319</v>
      </c>
      <c r="I25" s="45">
        <f>1/(1+$C$24)^7</f>
        <v>0.63220117828646916</v>
      </c>
      <c r="J25" s="45">
        <f>1/(1+$C$24)^8</f>
        <v>0.59211499324385986</v>
      </c>
      <c r="K25" s="45">
        <f>1/(1+$C$24)^9</f>
        <v>0.55457056593037346</v>
      </c>
      <c r="L25" s="45">
        <f>1/(1+$C$24)^10</f>
        <v>0.51940673028975692</v>
      </c>
      <c r="M25" s="73"/>
      <c r="N25" s="73"/>
      <c r="O25" s="73"/>
      <c r="P25" s="73"/>
      <c r="AD25" s="119"/>
      <c r="AE25" s="121"/>
      <c r="AF25" s="121"/>
      <c r="AG25" s="121"/>
      <c r="AH25" s="121"/>
      <c r="AI25" s="121"/>
    </row>
    <row r="26" spans="2:35" x14ac:dyDescent="0.15">
      <c r="B26" s="8" t="s">
        <v>573</v>
      </c>
      <c r="C26" s="79">
        <f>C22*C25</f>
        <v>862.25007024445074</v>
      </c>
      <c r="D26" s="79">
        <f t="shared" ref="D26:L26" si="12">D22*D25</f>
        <v>834.54102208813947</v>
      </c>
      <c r="E26" s="79">
        <f t="shared" si="12"/>
        <v>809.39836383200998</v>
      </c>
      <c r="F26" s="79">
        <f t="shared" si="12"/>
        <v>786.44860540053219</v>
      </c>
      <c r="G26" s="79">
        <f t="shared" si="12"/>
        <v>765.37642876479345</v>
      </c>
      <c r="H26" s="79">
        <f t="shared" si="12"/>
        <v>745.91555919317761</v>
      </c>
      <c r="I26" s="79">
        <f t="shared" si="12"/>
        <v>727.841070188716</v>
      </c>
      <c r="J26" s="79">
        <f t="shared" si="12"/>
        <v>710.96289693106587</v>
      </c>
      <c r="K26" s="79">
        <f t="shared" si="12"/>
        <v>695.12036840960707</v>
      </c>
      <c r="L26" s="79">
        <f t="shared" si="12"/>
        <v>680.17759824748941</v>
      </c>
    </row>
    <row r="28" spans="2:35" x14ac:dyDescent="0.15">
      <c r="B28" s="8" t="s">
        <v>575</v>
      </c>
      <c r="C28" s="125">
        <v>1369</v>
      </c>
    </row>
    <row r="29" spans="2:35" x14ac:dyDescent="0.15">
      <c r="B29" s="8" t="s">
        <v>577</v>
      </c>
      <c r="C29" s="113">
        <f>C28/(8%-2%)</f>
        <v>22816.666666666668</v>
      </c>
    </row>
    <row r="30" spans="2:35" x14ac:dyDescent="0.15">
      <c r="B30" s="8" t="s">
        <v>579</v>
      </c>
      <c r="C30" s="126">
        <f>C29*0.42</f>
        <v>9583</v>
      </c>
    </row>
    <row r="31" spans="2:35" x14ac:dyDescent="0.15">
      <c r="S31" s="122"/>
      <c r="T31" s="122"/>
    </row>
    <row r="32" spans="2:35" x14ac:dyDescent="0.15">
      <c r="B32" s="8" t="s">
        <v>581</v>
      </c>
      <c r="C32" s="126">
        <f>SUM(C26:L26)+C30</f>
        <v>17201.031983299981</v>
      </c>
    </row>
    <row r="33" spans="2:3" x14ac:dyDescent="0.15">
      <c r="B33" s="8" t="s">
        <v>583</v>
      </c>
      <c r="C33" s="125">
        <f>'Balance Sheet'!R55</f>
        <v>7373</v>
      </c>
    </row>
    <row r="34" spans="2:3" x14ac:dyDescent="0.15">
      <c r="B34" s="8" t="s">
        <v>584</v>
      </c>
      <c r="C34" s="8">
        <f>'Balance Sheet'!R4</f>
        <v>427</v>
      </c>
    </row>
    <row r="35" spans="2:3" x14ac:dyDescent="0.15">
      <c r="B35" s="8" t="s">
        <v>586</v>
      </c>
      <c r="C35" s="126">
        <f>C32-C33+C34</f>
        <v>10255.031983299981</v>
      </c>
    </row>
    <row r="36" spans="2:3" x14ac:dyDescent="0.15">
      <c r="B36" s="8" t="s">
        <v>588</v>
      </c>
      <c r="C36" s="8">
        <v>442</v>
      </c>
    </row>
    <row r="37" spans="2:3" x14ac:dyDescent="0.15">
      <c r="B37" s="8" t="s">
        <v>590</v>
      </c>
      <c r="C37" s="79">
        <f>C35/C36</f>
        <v>23.201429826470545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3"/>
  <sheetViews>
    <sheetView workbookViewId="0">
      <selection activeCell="K29" sqref="K29"/>
    </sheetView>
  </sheetViews>
  <sheetFormatPr defaultRowHeight="15" x14ac:dyDescent="0.15"/>
  <cols>
    <col min="1" max="1" width="9" style="8"/>
    <col min="2" max="2" width="13" style="8" bestFit="1" customWidth="1"/>
    <col min="3" max="3" width="4.75" style="8" customWidth="1"/>
    <col min="4" max="16384" width="9" style="8"/>
  </cols>
  <sheetData>
    <row r="2" spans="2:22" x14ac:dyDescent="0.15">
      <c r="B2" s="8" t="s">
        <v>686</v>
      </c>
    </row>
    <row r="3" spans="2:22" x14ac:dyDescent="0.15">
      <c r="F3" s="187" t="s">
        <v>685</v>
      </c>
      <c r="G3" s="187"/>
      <c r="H3" s="187"/>
    </row>
    <row r="4" spans="2:22" x14ac:dyDescent="0.15">
      <c r="D4" s="137">
        <v>0.02</v>
      </c>
      <c r="E4" s="137">
        <v>0.03</v>
      </c>
      <c r="F4" s="137">
        <v>0.04</v>
      </c>
      <c r="G4" s="136">
        <v>0.05</v>
      </c>
      <c r="H4" s="137">
        <v>0.06</v>
      </c>
      <c r="I4" s="137">
        <v>7.0000000000000007E-2</v>
      </c>
      <c r="J4" s="137">
        <v>0.08</v>
      </c>
    </row>
    <row r="5" spans="2:22" x14ac:dyDescent="0.15">
      <c r="C5" s="138">
        <v>0.04</v>
      </c>
      <c r="D5" s="153">
        <v>20.93</v>
      </c>
      <c r="E5" s="152">
        <v>22.45</v>
      </c>
      <c r="F5" s="140">
        <v>24.08</v>
      </c>
      <c r="G5" s="140">
        <v>25.83</v>
      </c>
      <c r="H5" s="140">
        <v>27.7</v>
      </c>
      <c r="I5" s="140">
        <v>29.7</v>
      </c>
      <c r="J5" s="141">
        <v>31.85</v>
      </c>
      <c r="M5" s="117"/>
      <c r="N5" s="117"/>
      <c r="O5" s="117"/>
      <c r="P5" s="117"/>
      <c r="Q5" s="117"/>
      <c r="R5" s="117"/>
      <c r="S5" s="117"/>
    </row>
    <row r="6" spans="2:22" x14ac:dyDescent="0.15">
      <c r="C6" s="138">
        <v>0.05</v>
      </c>
      <c r="D6" s="150">
        <v>20.010000000000002</v>
      </c>
      <c r="E6" s="149">
        <v>21.5</v>
      </c>
      <c r="F6" s="148">
        <v>23.1</v>
      </c>
      <c r="G6" s="142">
        <v>24.82</v>
      </c>
      <c r="H6" s="142">
        <v>26.65</v>
      </c>
      <c r="I6" s="143">
        <v>28.62</v>
      </c>
      <c r="J6" s="144">
        <v>30.73</v>
      </c>
      <c r="M6" s="117"/>
      <c r="N6" s="117"/>
      <c r="O6" s="117"/>
      <c r="P6" s="117"/>
      <c r="Q6" s="117"/>
      <c r="R6" s="117"/>
      <c r="S6" s="117"/>
    </row>
    <row r="7" spans="2:22" x14ac:dyDescent="0.15">
      <c r="C7" s="138">
        <v>0.06</v>
      </c>
      <c r="D7" s="150">
        <v>19.16</v>
      </c>
      <c r="E7" s="150">
        <v>20.62</v>
      </c>
      <c r="F7" s="149">
        <v>22.19</v>
      </c>
      <c r="G7" s="142">
        <v>23.88</v>
      </c>
      <c r="H7" s="143">
        <v>25.68</v>
      </c>
      <c r="I7" s="144">
        <v>27.62</v>
      </c>
      <c r="J7" s="144">
        <v>29.7</v>
      </c>
      <c r="M7" s="117"/>
      <c r="N7" s="117"/>
      <c r="O7" s="117"/>
      <c r="P7" s="117"/>
      <c r="Q7" s="117"/>
      <c r="R7" s="117"/>
      <c r="S7" s="117"/>
    </row>
    <row r="8" spans="2:22" x14ac:dyDescent="0.15">
      <c r="B8" s="8" t="s">
        <v>684</v>
      </c>
      <c r="C8" s="135">
        <v>7.0000000000000007E-2</v>
      </c>
      <c r="D8" s="150">
        <v>18.54</v>
      </c>
      <c r="E8" s="150">
        <v>19.989999999999998</v>
      </c>
      <c r="F8" s="150">
        <v>21.54</v>
      </c>
      <c r="G8" s="139">
        <v>23.2</v>
      </c>
      <c r="H8" s="144">
        <v>24.99</v>
      </c>
      <c r="I8" s="144">
        <v>26.9</v>
      </c>
      <c r="J8" s="144">
        <v>28.95</v>
      </c>
      <c r="M8" s="117"/>
      <c r="N8" s="117"/>
      <c r="O8" s="117"/>
      <c r="P8" s="117"/>
      <c r="Q8" s="117"/>
      <c r="R8" s="117"/>
      <c r="S8" s="117"/>
    </row>
    <row r="9" spans="2:22" x14ac:dyDescent="0.15">
      <c r="C9" s="138">
        <v>0.08</v>
      </c>
      <c r="D9" s="150">
        <v>17.63</v>
      </c>
      <c r="E9" s="150">
        <v>19.05</v>
      </c>
      <c r="F9" s="151">
        <v>20.57</v>
      </c>
      <c r="G9" s="147">
        <v>22.2</v>
      </c>
      <c r="H9" s="145">
        <v>23.95</v>
      </c>
      <c r="I9" s="144">
        <v>25.83</v>
      </c>
      <c r="J9" s="144">
        <v>27.85</v>
      </c>
      <c r="M9" s="117"/>
      <c r="N9" s="117"/>
      <c r="O9" s="117"/>
      <c r="P9" s="117"/>
      <c r="Q9" s="117"/>
      <c r="R9" s="117"/>
      <c r="S9" s="117"/>
    </row>
    <row r="10" spans="2:22" x14ac:dyDescent="0.15">
      <c r="C10" s="138">
        <v>0.09</v>
      </c>
      <c r="D10" s="150">
        <v>16.940000000000001</v>
      </c>
      <c r="E10" s="151">
        <v>18.34</v>
      </c>
      <c r="F10" s="147">
        <v>19.84</v>
      </c>
      <c r="G10" s="147">
        <v>21.45</v>
      </c>
      <c r="H10" s="147">
        <v>23.17</v>
      </c>
      <c r="I10" s="145">
        <v>25.03</v>
      </c>
      <c r="J10" s="144">
        <v>27.02</v>
      </c>
      <c r="M10" s="117"/>
      <c r="N10" s="117"/>
      <c r="O10" s="117"/>
      <c r="P10" s="117"/>
      <c r="Q10" s="117"/>
      <c r="R10" s="117"/>
      <c r="S10" s="117"/>
    </row>
    <row r="11" spans="2:22" x14ac:dyDescent="0.15">
      <c r="C11" s="138">
        <v>0.1</v>
      </c>
      <c r="D11" s="151">
        <v>16.3</v>
      </c>
      <c r="E11" s="147">
        <v>17.68</v>
      </c>
      <c r="F11" s="147">
        <v>19.16</v>
      </c>
      <c r="G11" s="147">
        <v>20.75</v>
      </c>
      <c r="H11" s="147">
        <v>22.45</v>
      </c>
      <c r="I11" s="146">
        <v>24.28</v>
      </c>
      <c r="J11" s="145">
        <v>26.25</v>
      </c>
      <c r="M11" s="117"/>
      <c r="N11" s="117"/>
      <c r="O11" s="117"/>
      <c r="P11" s="117"/>
      <c r="Q11" s="117"/>
      <c r="R11" s="117"/>
      <c r="S11" s="117"/>
    </row>
    <row r="13" spans="2:22" x14ac:dyDescent="0.15">
      <c r="S13" s="116"/>
      <c r="T13" s="116"/>
      <c r="U13" s="116"/>
      <c r="V13" s="116"/>
    </row>
    <row r="14" spans="2:22" x14ac:dyDescent="0.15">
      <c r="B14" s="8" t="s">
        <v>687</v>
      </c>
    </row>
    <row r="15" spans="2:22" x14ac:dyDescent="0.15">
      <c r="F15" s="187" t="s">
        <v>685</v>
      </c>
      <c r="G15" s="187"/>
      <c r="H15" s="187"/>
      <c r="R15" s="116"/>
      <c r="V15" s="122"/>
    </row>
    <row r="16" spans="2:22" x14ac:dyDescent="0.15">
      <c r="D16" s="137">
        <v>0.02</v>
      </c>
      <c r="E16" s="137">
        <v>0.03</v>
      </c>
      <c r="F16" s="137">
        <v>0.04</v>
      </c>
      <c r="G16" s="136">
        <v>0.05</v>
      </c>
      <c r="H16" s="137">
        <v>0.06</v>
      </c>
      <c r="I16" s="137">
        <v>7.0000000000000007E-2</v>
      </c>
      <c r="J16" s="137">
        <v>0.08</v>
      </c>
      <c r="R16" s="116"/>
    </row>
    <row r="17" spans="2:18" x14ac:dyDescent="0.15">
      <c r="C17" s="138">
        <v>0.04</v>
      </c>
      <c r="D17" s="154">
        <v>-9.4331458243184757E-2</v>
      </c>
      <c r="E17" s="157">
        <v>-2.85590653396798E-2</v>
      </c>
      <c r="F17" s="164">
        <v>4.19731717871051E-2</v>
      </c>
      <c r="G17" s="164">
        <v>0.11769796624837728</v>
      </c>
      <c r="H17" s="164">
        <v>0.19861531804413673</v>
      </c>
      <c r="I17" s="164">
        <v>0.28515794028559066</v>
      </c>
      <c r="J17" s="161">
        <v>0.37819125919515373</v>
      </c>
      <c r="R17" s="116"/>
    </row>
    <row r="18" spans="2:18" x14ac:dyDescent="0.15">
      <c r="C18" s="138">
        <v>0.05</v>
      </c>
      <c r="D18" s="155">
        <v>-0.13414106447425347</v>
      </c>
      <c r="E18" s="158">
        <v>-6.966681090437038E-2</v>
      </c>
      <c r="F18" s="160">
        <v>-4.3271311120718348E-4</v>
      </c>
      <c r="G18" s="167">
        <v>7.3993942016443132E-2</v>
      </c>
      <c r="H18" s="167">
        <v>0.15318044136737341</v>
      </c>
      <c r="I18" s="165">
        <v>0.23842492427520562</v>
      </c>
      <c r="J18" s="162">
        <v>0.32972739073993945</v>
      </c>
      <c r="R18" s="116"/>
    </row>
    <row r="19" spans="2:18" x14ac:dyDescent="0.15">
      <c r="C19" s="138">
        <v>0.06</v>
      </c>
      <c r="D19" s="155">
        <v>-0.17092167892687146</v>
      </c>
      <c r="E19" s="155">
        <v>-0.10774556469061006</v>
      </c>
      <c r="F19" s="158">
        <v>-3.9809606231068724E-2</v>
      </c>
      <c r="G19" s="167">
        <v>3.3318909562959742E-2</v>
      </c>
      <c r="H19" s="165">
        <v>0.1112072695802683</v>
      </c>
      <c r="I19" s="162">
        <v>0.19515361315447866</v>
      </c>
      <c r="J19" s="162">
        <v>0.28515794028559066</v>
      </c>
      <c r="R19" s="116"/>
    </row>
    <row r="20" spans="2:18" x14ac:dyDescent="0.15">
      <c r="B20" s="8" t="s">
        <v>684</v>
      </c>
      <c r="C20" s="135">
        <v>7.0000000000000007E-2</v>
      </c>
      <c r="D20" s="155">
        <v>-0.19774989182172223</v>
      </c>
      <c r="E20" s="155">
        <v>-0.13500649069666815</v>
      </c>
      <c r="F20" s="155">
        <v>-6.793595845954134E-2</v>
      </c>
      <c r="G20" s="168">
        <v>3.8944180008654203E-3</v>
      </c>
      <c r="H20" s="162">
        <v>8.135006490696664E-2</v>
      </c>
      <c r="I20" s="162">
        <v>0.16399826914755514</v>
      </c>
      <c r="J20" s="162">
        <v>0.25270445694504545</v>
      </c>
      <c r="R20" s="116"/>
    </row>
    <row r="21" spans="2:18" x14ac:dyDescent="0.15">
      <c r="C21" s="138">
        <v>0.08</v>
      </c>
      <c r="D21" s="155">
        <v>-0.23712678494158376</v>
      </c>
      <c r="E21" s="155">
        <v>-0.1756815231501514</v>
      </c>
      <c r="F21" s="156">
        <v>-0.10990913024664643</v>
      </c>
      <c r="G21" s="159">
        <v>-3.937689311986154E-2</v>
      </c>
      <c r="H21" s="163">
        <v>3.6347901341410638E-2</v>
      </c>
      <c r="I21" s="162">
        <v>0.11769796624837728</v>
      </c>
      <c r="J21" s="162">
        <v>0.20510601471224588</v>
      </c>
      <c r="R21" s="116"/>
    </row>
    <row r="22" spans="2:18" x14ac:dyDescent="0.15">
      <c r="C22" s="138">
        <v>0.09</v>
      </c>
      <c r="D22" s="155">
        <v>-0.26698398961488523</v>
      </c>
      <c r="E22" s="156">
        <v>-0.20640415404586757</v>
      </c>
      <c r="F22" s="159">
        <v>-0.14149718736477715</v>
      </c>
      <c r="G22" s="159">
        <v>-7.1830376460406756E-2</v>
      </c>
      <c r="H22" s="159">
        <v>-2.59627866724372E-3</v>
      </c>
      <c r="I22" s="163">
        <v>8.3080917351795833E-2</v>
      </c>
      <c r="J22" s="162">
        <v>0.16919082648204242</v>
      </c>
    </row>
    <row r="23" spans="2:18" x14ac:dyDescent="0.15">
      <c r="C23" s="138">
        <v>0.1</v>
      </c>
      <c r="D23" s="156">
        <v>-0.29467762873215053</v>
      </c>
      <c r="E23" s="159">
        <v>-0.23496321938554737</v>
      </c>
      <c r="F23" s="159">
        <v>-0.17092167892687146</v>
      </c>
      <c r="G23" s="159">
        <v>-0.1021202942449156</v>
      </c>
      <c r="H23" s="159">
        <v>-2.85590653396798E-2</v>
      </c>
      <c r="I23" s="166">
        <v>5.0627434011250617E-2</v>
      </c>
      <c r="J23" s="163">
        <v>0.13587191691908268</v>
      </c>
    </row>
  </sheetData>
  <mergeCells count="2">
    <mergeCell ref="F3:H3"/>
    <mergeCell ref="F15:H1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topLeftCell="A43" workbookViewId="0">
      <selection activeCell="H49" sqref="H49:M49"/>
    </sheetView>
  </sheetViews>
  <sheetFormatPr defaultRowHeight="15" x14ac:dyDescent="0.15"/>
  <cols>
    <col min="1" max="1" width="2.5" style="8" customWidth="1"/>
    <col min="2" max="2" width="16.75" style="8" customWidth="1"/>
    <col min="3" max="3" width="2.5" style="8" customWidth="1"/>
    <col min="4" max="16384" width="9" style="8"/>
  </cols>
  <sheetData>
    <row r="1" spans="1:11" ht="18.75" x14ac:dyDescent="0.15">
      <c r="A1" s="130" t="s">
        <v>607</v>
      </c>
    </row>
    <row r="3" spans="1:11" ht="15.75" x14ac:dyDescent="0.15">
      <c r="A3" s="131" t="s">
        <v>608</v>
      </c>
    </row>
    <row r="4" spans="1:11" x14ac:dyDescent="0.15">
      <c r="B4" s="8" t="s">
        <v>609</v>
      </c>
      <c r="K4" s="8" t="s">
        <v>621</v>
      </c>
    </row>
    <row r="5" spans="1:11" x14ac:dyDescent="0.15">
      <c r="B5" s="8" t="s">
        <v>610</v>
      </c>
      <c r="K5" s="8" t="s">
        <v>622</v>
      </c>
    </row>
    <row r="6" spans="1:11" ht="30.75" customHeight="1" x14ac:dyDescent="0.15">
      <c r="B6" s="132" t="s">
        <v>611</v>
      </c>
      <c r="K6" s="8" t="s">
        <v>620</v>
      </c>
    </row>
    <row r="7" spans="1:11" x14ac:dyDescent="0.15">
      <c r="B7" s="8" t="s">
        <v>612</v>
      </c>
      <c r="K7" s="8" t="s">
        <v>620</v>
      </c>
    </row>
    <row r="9" spans="1:11" x14ac:dyDescent="0.15">
      <c r="A9" s="8" t="s">
        <v>613</v>
      </c>
    </row>
    <row r="10" spans="1:11" ht="28.5" customHeight="1" x14ac:dyDescent="0.15">
      <c r="B10" s="132" t="s">
        <v>614</v>
      </c>
      <c r="K10" s="8" t="s">
        <v>620</v>
      </c>
    </row>
    <row r="11" spans="1:11" x14ac:dyDescent="0.15">
      <c r="B11" s="8" t="s">
        <v>615</v>
      </c>
      <c r="K11" s="8" t="s">
        <v>620</v>
      </c>
    </row>
    <row r="12" spans="1:11" x14ac:dyDescent="0.15">
      <c r="B12" s="8" t="s">
        <v>616</v>
      </c>
      <c r="K12" s="8" t="s">
        <v>620</v>
      </c>
    </row>
    <row r="14" spans="1:11" x14ac:dyDescent="0.15">
      <c r="A14" s="8" t="s">
        <v>617</v>
      </c>
    </row>
    <row r="15" spans="1:11" x14ac:dyDescent="0.15">
      <c r="B15" s="8" t="s">
        <v>618</v>
      </c>
      <c r="K15" s="8" t="s">
        <v>620</v>
      </c>
    </row>
    <row r="16" spans="1:11" x14ac:dyDescent="0.15">
      <c r="B16" s="8" t="s">
        <v>619</v>
      </c>
      <c r="K16" s="8" t="s">
        <v>620</v>
      </c>
    </row>
    <row r="18" spans="2:13" x14ac:dyDescent="0.15">
      <c r="D18" s="8">
        <v>2003</v>
      </c>
      <c r="E18" s="8">
        <v>2004</v>
      </c>
      <c r="F18" s="8">
        <v>2005</v>
      </c>
      <c r="G18" s="8">
        <v>2006</v>
      </c>
      <c r="H18" s="8">
        <v>2007</v>
      </c>
      <c r="I18" s="8">
        <v>2008</v>
      </c>
      <c r="J18" s="8">
        <v>2009</v>
      </c>
      <c r="K18" s="8">
        <v>2010</v>
      </c>
      <c r="L18" s="8">
        <v>2011</v>
      </c>
      <c r="M18" s="8">
        <v>2012</v>
      </c>
    </row>
    <row r="19" spans="2:13" x14ac:dyDescent="0.15">
      <c r="B19" s="133" t="s">
        <v>623</v>
      </c>
      <c r="D19" s="133">
        <f>SUM(D21:D29)</f>
        <v>7</v>
      </c>
      <c r="E19" s="169">
        <f t="shared" ref="E19:M19" si="0">SUM(E21:E29)</f>
        <v>8</v>
      </c>
      <c r="F19" s="170">
        <f t="shared" si="0"/>
        <v>7</v>
      </c>
      <c r="G19" s="170">
        <f t="shared" si="0"/>
        <v>6</v>
      </c>
      <c r="H19" s="133">
        <f t="shared" si="0"/>
        <v>6</v>
      </c>
      <c r="I19" s="169">
        <f t="shared" si="0"/>
        <v>7</v>
      </c>
      <c r="J19" s="170">
        <f t="shared" si="0"/>
        <v>5</v>
      </c>
      <c r="K19" s="133">
        <f t="shared" si="0"/>
        <v>5</v>
      </c>
      <c r="L19" s="170">
        <f t="shared" si="0"/>
        <v>4</v>
      </c>
      <c r="M19" s="169">
        <f t="shared" si="0"/>
        <v>6</v>
      </c>
    </row>
    <row r="21" spans="2:13" x14ac:dyDescent="0.15">
      <c r="B21" s="8" t="s">
        <v>624</v>
      </c>
      <c r="D21" s="8">
        <v>0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</row>
    <row r="22" spans="2:13" x14ac:dyDescent="0.15">
      <c r="B22" s="8" t="s">
        <v>625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</row>
    <row r="23" spans="2:13" x14ac:dyDescent="0.15">
      <c r="B23" s="8" t="s">
        <v>626</v>
      </c>
      <c r="D23" s="8">
        <v>1</v>
      </c>
      <c r="E23" s="8">
        <v>1</v>
      </c>
      <c r="F23" s="8">
        <v>1</v>
      </c>
      <c r="G23" s="8">
        <v>1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1</v>
      </c>
    </row>
    <row r="24" spans="2:13" x14ac:dyDescent="0.15">
      <c r="B24" s="8" t="s">
        <v>627</v>
      </c>
      <c r="D24" s="8">
        <v>1</v>
      </c>
      <c r="E24" s="8">
        <v>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2:13" x14ac:dyDescent="0.15">
      <c r="B25" s="8" t="s">
        <v>628</v>
      </c>
      <c r="D25" s="8">
        <v>1</v>
      </c>
      <c r="E25" s="8">
        <v>1</v>
      </c>
      <c r="F25" s="8">
        <v>1</v>
      </c>
      <c r="G25" s="8">
        <v>0</v>
      </c>
      <c r="H25" s="8">
        <v>1</v>
      </c>
      <c r="I25" s="8">
        <v>1</v>
      </c>
      <c r="J25" s="8">
        <v>1</v>
      </c>
      <c r="K25" s="8">
        <v>0</v>
      </c>
      <c r="L25" s="8">
        <v>0</v>
      </c>
      <c r="M25" s="8">
        <v>1</v>
      </c>
    </row>
    <row r="26" spans="2:13" x14ac:dyDescent="0.15">
      <c r="B26" s="8" t="s">
        <v>629</v>
      </c>
      <c r="D26" s="8">
        <v>0</v>
      </c>
      <c r="E26" s="8">
        <v>0</v>
      </c>
      <c r="F26" s="8">
        <v>1</v>
      </c>
      <c r="G26" s="8">
        <v>1</v>
      </c>
      <c r="H26" s="8">
        <v>1</v>
      </c>
      <c r="I26" s="8">
        <v>0</v>
      </c>
      <c r="J26" s="8">
        <v>1</v>
      </c>
      <c r="K26" s="8">
        <v>1</v>
      </c>
      <c r="L26" s="8">
        <v>1</v>
      </c>
      <c r="M26" s="8">
        <v>0</v>
      </c>
    </row>
    <row r="27" spans="2:13" x14ac:dyDescent="0.15">
      <c r="B27" s="8" t="s">
        <v>630</v>
      </c>
      <c r="D27" s="8">
        <v>1</v>
      </c>
      <c r="E27" s="8">
        <v>1</v>
      </c>
      <c r="F27" s="8">
        <v>1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</row>
    <row r="28" spans="2:13" x14ac:dyDescent="0.15">
      <c r="B28" s="8" t="s">
        <v>631</v>
      </c>
      <c r="D28" s="8">
        <v>1</v>
      </c>
      <c r="E28" s="8">
        <v>1</v>
      </c>
      <c r="F28" s="8">
        <v>0</v>
      </c>
      <c r="G28" s="8">
        <v>0</v>
      </c>
      <c r="H28" s="8">
        <v>1</v>
      </c>
      <c r="I28" s="8">
        <v>1</v>
      </c>
      <c r="J28" s="8">
        <v>0</v>
      </c>
      <c r="K28" s="8">
        <v>1</v>
      </c>
      <c r="L28" s="8">
        <v>0</v>
      </c>
      <c r="M28" s="8">
        <v>1</v>
      </c>
    </row>
    <row r="29" spans="2:13" x14ac:dyDescent="0.15">
      <c r="B29" s="8" t="s">
        <v>632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</row>
    <row r="32" spans="2:13" s="130" customFormat="1" ht="18.75" x14ac:dyDescent="0.15">
      <c r="B32" s="130" t="s">
        <v>740</v>
      </c>
    </row>
    <row r="34" spans="2:13" x14ac:dyDescent="0.15">
      <c r="B34" s="8" t="s">
        <v>633</v>
      </c>
    </row>
    <row r="35" spans="2:13" x14ac:dyDescent="0.15">
      <c r="B35" s="8" t="s">
        <v>634</v>
      </c>
    </row>
    <row r="37" spans="2:13" x14ac:dyDescent="0.15">
      <c r="B37" s="8" t="s">
        <v>635</v>
      </c>
    </row>
    <row r="38" spans="2:13" x14ac:dyDescent="0.15">
      <c r="B38" s="8" t="s">
        <v>636</v>
      </c>
    </row>
    <row r="39" spans="2:13" x14ac:dyDescent="0.15">
      <c r="B39" s="8" t="s">
        <v>637</v>
      </c>
    </row>
    <row r="40" spans="2:13" x14ac:dyDescent="0.15">
      <c r="B40" s="8" t="s">
        <v>638</v>
      </c>
    </row>
    <row r="41" spans="2:13" x14ac:dyDescent="0.15">
      <c r="B41" s="8" t="s">
        <v>639</v>
      </c>
    </row>
    <row r="43" spans="2:13" x14ac:dyDescent="0.15">
      <c r="D43" s="8">
        <v>2003</v>
      </c>
      <c r="E43" s="8">
        <v>2004</v>
      </c>
      <c r="F43" s="8">
        <v>2005</v>
      </c>
      <c r="G43" s="8">
        <v>2006</v>
      </c>
      <c r="H43" s="8">
        <v>2007</v>
      </c>
      <c r="I43" s="8">
        <v>2008</v>
      </c>
      <c r="J43" s="8">
        <v>2009</v>
      </c>
      <c r="K43" s="8">
        <v>2010</v>
      </c>
      <c r="L43" s="8">
        <v>2011</v>
      </c>
      <c r="M43" s="8">
        <v>2012</v>
      </c>
    </row>
    <row r="44" spans="2:13" x14ac:dyDescent="0.15">
      <c r="B44" s="8" t="s">
        <v>640</v>
      </c>
      <c r="D44" s="8">
        <f>'Balance Sheet'!I69</f>
        <v>-536.6</v>
      </c>
      <c r="E44" s="8">
        <f>'Balance Sheet'!J69</f>
        <v>-679.6</v>
      </c>
      <c r="F44" s="8">
        <f>'Balance Sheet'!K69</f>
        <v>-383.4</v>
      </c>
      <c r="G44" s="8">
        <f>'Balance Sheet'!L69</f>
        <v>-380.3</v>
      </c>
      <c r="H44" s="8">
        <f>'Balance Sheet'!M69</f>
        <v>-271.7</v>
      </c>
      <c r="I44" s="8">
        <f>'Balance Sheet'!N69</f>
        <v>-424.2</v>
      </c>
      <c r="J44" s="8">
        <f>'Balance Sheet'!O69</f>
        <v>-619.29999999999995</v>
      </c>
      <c r="K44" s="8">
        <f>'Balance Sheet'!P69</f>
        <v>-423.9</v>
      </c>
      <c r="L44" s="8">
        <f>'Balance Sheet'!Q69</f>
        <v>131</v>
      </c>
      <c r="M44" s="8">
        <f>'Balance Sheet'!R69</f>
        <v>-544</v>
      </c>
    </row>
    <row r="45" spans="2:13" x14ac:dyDescent="0.15">
      <c r="B45" s="8" t="s">
        <v>641</v>
      </c>
      <c r="D45" s="125">
        <f>'Balance Sheet'!I36</f>
        <v>7601.1</v>
      </c>
      <c r="E45" s="125">
        <f>'Balance Sheet'!J36</f>
        <v>7556.9</v>
      </c>
      <c r="F45" s="125">
        <f>'Balance Sheet'!K36</f>
        <v>7416.9</v>
      </c>
      <c r="G45" s="125">
        <f>'Balance Sheet'!L36</f>
        <v>7522.5</v>
      </c>
      <c r="H45" s="125">
        <f>'Balance Sheet'!M36</f>
        <v>8163.7</v>
      </c>
      <c r="I45" s="125">
        <f>'Balance Sheet'!N36</f>
        <v>8357.7999999999993</v>
      </c>
      <c r="J45" s="125">
        <f>'Balance Sheet'!O36</f>
        <v>8938.1</v>
      </c>
      <c r="K45" s="125">
        <f>'Balance Sheet'!P36</f>
        <v>10154</v>
      </c>
      <c r="L45" s="125">
        <f>'Balance Sheet'!Q36</f>
        <v>12525.9</v>
      </c>
      <c r="M45" s="125">
        <f>'Balance Sheet'!R36</f>
        <v>12722</v>
      </c>
    </row>
    <row r="46" spans="2:13" x14ac:dyDescent="0.15">
      <c r="B46" s="8" t="s">
        <v>642</v>
      </c>
      <c r="D46" s="125">
        <f>'Balance Sheet'!I55</f>
        <v>4309.2</v>
      </c>
      <c r="E46" s="125">
        <f>'Balance Sheet'!J55</f>
        <v>4205.8</v>
      </c>
      <c r="F46" s="125">
        <f>'Balance Sheet'!K55</f>
        <v>4799.7</v>
      </c>
      <c r="G46" s="125">
        <f>'Balance Sheet'!L55</f>
        <v>5119.5</v>
      </c>
      <c r="H46" s="125">
        <f>'Balance Sheet'!M55</f>
        <v>5307.8</v>
      </c>
      <c r="I46" s="125">
        <f>'Balance Sheet'!N55</f>
        <v>5274</v>
      </c>
      <c r="J46" s="125">
        <f>'Balance Sheet'!O55</f>
        <v>5063.1000000000004</v>
      </c>
      <c r="K46" s="125">
        <f>'Balance Sheet'!P55</f>
        <v>6364</v>
      </c>
      <c r="L46" s="125">
        <f>'Balance Sheet'!Q55</f>
        <v>8177.7</v>
      </c>
      <c r="M46" s="125">
        <f>'Balance Sheet'!R55</f>
        <v>7373</v>
      </c>
    </row>
    <row r="47" spans="2:13" x14ac:dyDescent="0.15">
      <c r="B47" s="8" t="s">
        <v>643</v>
      </c>
      <c r="D47" s="8">
        <f>'Balance Sheet'!I62</f>
        <v>-340.3</v>
      </c>
      <c r="E47" s="8">
        <f>'Balance Sheet'!J62</f>
        <v>-369.2</v>
      </c>
      <c r="F47" s="8">
        <f>'Balance Sheet'!K62</f>
        <v>-471.5</v>
      </c>
      <c r="G47" s="8">
        <f>'Balance Sheet'!L62</f>
        <v>-172.7</v>
      </c>
      <c r="H47" s="8">
        <f>'Balance Sheet'!M62</f>
        <v>-68.099999999999994</v>
      </c>
      <c r="I47" s="8">
        <f>'Balance Sheet'!N62</f>
        <v>-57.7</v>
      </c>
      <c r="J47" s="8">
        <f>'Balance Sheet'!O62</f>
        <v>384.7</v>
      </c>
      <c r="K47" s="8">
        <f>'Balance Sheet'!P62</f>
        <v>457.7</v>
      </c>
      <c r="L47" s="8">
        <f>'Balance Sheet'!Q62</f>
        <v>516.5</v>
      </c>
      <c r="M47" s="8">
        <f>'Balance Sheet'!R62</f>
        <v>1020</v>
      </c>
    </row>
    <row r="48" spans="2:13" x14ac:dyDescent="0.15">
      <c r="B48" s="8" t="s">
        <v>644</v>
      </c>
      <c r="D48" s="8">
        <f>'Income Statement'!I14</f>
        <v>820.6</v>
      </c>
      <c r="E48" s="8">
        <f>'Income Statement'!J14</f>
        <v>925.9</v>
      </c>
      <c r="F48" s="8">
        <f>'Income Statement'!K14</f>
        <v>982</v>
      </c>
      <c r="G48" s="8">
        <f>'Income Statement'!L14</f>
        <v>1077.9000000000001</v>
      </c>
      <c r="H48" s="8">
        <f>'Income Statement'!M14</f>
        <v>1239.5999999999999</v>
      </c>
      <c r="I48" s="8">
        <f>'Income Statement'!N14</f>
        <v>1917</v>
      </c>
      <c r="J48" s="8">
        <f>'Income Statement'!O14</f>
        <v>1253.9000000000001</v>
      </c>
      <c r="K48" s="8">
        <f>'Income Statement'!P14</f>
        <v>2385.6999999999998</v>
      </c>
      <c r="L48" s="8">
        <f>'Income Statement'!Q14</f>
        <v>1948.6</v>
      </c>
      <c r="M48" s="8">
        <f>'Income Statement'!R14</f>
        <v>2132</v>
      </c>
    </row>
    <row r="49" spans="1:13" x14ac:dyDescent="0.15">
      <c r="B49" s="8" t="s">
        <v>645</v>
      </c>
      <c r="D49" s="114">
        <f>'Balance Sheet'!I66*2.8</f>
        <v>6986.28</v>
      </c>
      <c r="E49" s="114">
        <f>'Balance Sheet'!J66*2.8</f>
        <v>6977.5999999999995</v>
      </c>
      <c r="F49" s="114">
        <f>'Balance Sheet'!K66*2.8</f>
        <v>5748.6799999999994</v>
      </c>
      <c r="G49" s="114">
        <f>'Balance Sheet'!L66*2.8</f>
        <v>5067.16</v>
      </c>
      <c r="H49" s="114">
        <f>'Balance Sheet'!M66*2.8</f>
        <v>5583.2</v>
      </c>
      <c r="I49" s="114">
        <f>'Balance Sheet'!N66*2.8</f>
        <v>6314.5599999999995</v>
      </c>
      <c r="J49" s="114">
        <f>'Balance Sheet'!O66*2.8</f>
        <v>6994.4</v>
      </c>
      <c r="K49" s="114">
        <f>'Balance Sheet'!P66*2.8</f>
        <v>7757.4</v>
      </c>
      <c r="L49" s="114">
        <f>'Balance Sheet'!Q66*2.8</f>
        <v>9007.32</v>
      </c>
      <c r="M49" s="114">
        <f>'Balance Sheet'!R66*2.8</f>
        <v>10511.199999999999</v>
      </c>
    </row>
    <row r="50" spans="1:13" x14ac:dyDescent="0.15">
      <c r="B50" s="8" t="s">
        <v>646</v>
      </c>
      <c r="D50" s="125">
        <f>'Income Statement'!I3</f>
        <v>2076.6999999999998</v>
      </c>
      <c r="E50" s="125">
        <f>'Income Statement'!J3</f>
        <v>2079.6999999999998</v>
      </c>
      <c r="F50" s="125">
        <f>'Income Statement'!K3</f>
        <v>2209.8000000000002</v>
      </c>
      <c r="G50" s="125">
        <f>'Income Statement'!L3</f>
        <v>2459.3000000000002</v>
      </c>
      <c r="H50" s="125">
        <f>'Income Statement'!M3</f>
        <v>2774.4</v>
      </c>
      <c r="I50" s="125">
        <f>'Income Statement'!N3</f>
        <v>3104.9</v>
      </c>
      <c r="J50" s="125">
        <f>'Income Statement'!O3</f>
        <v>3390.9</v>
      </c>
      <c r="K50" s="125">
        <f>'Income Statement'!P3</f>
        <v>3717.6</v>
      </c>
      <c r="L50" s="125">
        <f>'Income Statement'!Q3</f>
        <v>4740.8999999999996</v>
      </c>
      <c r="M50" s="125">
        <f>'Income Statement'!R3</f>
        <v>4998</v>
      </c>
    </row>
    <row r="52" spans="1:13" x14ac:dyDescent="0.15">
      <c r="B52" s="133" t="s">
        <v>647</v>
      </c>
      <c r="D52" s="171">
        <f>1.2*(D44/D45)+1.4*(D47/D45)+3.3*(D48/D45)+0.6*(D49/D46)+1*(D50/D45)</f>
        <v>1.4548287632422545</v>
      </c>
      <c r="E52" s="171">
        <f t="shared" ref="E52:M52" si="1">1.2*(E44/E45)+1.4*(E47/E45)+3.3*(E48/E45)+0.6*(E49/E46)+1*(E50/E45)</f>
        <v>1.4986436158422469</v>
      </c>
      <c r="F52" s="172">
        <f t="shared" si="1"/>
        <v>1.302461434276887</v>
      </c>
      <c r="G52" s="171">
        <f t="shared" si="1"/>
        <v>1.3008422113287055</v>
      </c>
      <c r="H52" s="173">
        <f t="shared" si="1"/>
        <v>1.4204427614361417</v>
      </c>
      <c r="I52" s="173">
        <f t="shared" si="1"/>
        <v>1.7762157713553688</v>
      </c>
      <c r="J52" s="172">
        <f t="shared" si="1"/>
        <v>1.6483024689589219</v>
      </c>
      <c r="K52" s="173">
        <f t="shared" si="1"/>
        <v>1.8858423366268824</v>
      </c>
      <c r="L52" s="172">
        <f t="shared" si="1"/>
        <v>1.6230022983295374</v>
      </c>
      <c r="M52" s="173">
        <f t="shared" si="1"/>
        <v>1.8622032687533958</v>
      </c>
    </row>
    <row r="54" spans="1:13" x14ac:dyDescent="0.15">
      <c r="B54" s="8" t="s">
        <v>648</v>
      </c>
    </row>
    <row r="55" spans="1:13" x14ac:dyDescent="0.15">
      <c r="B55" s="8" t="s">
        <v>649</v>
      </c>
      <c r="D55" s="8" t="s">
        <v>651</v>
      </c>
    </row>
    <row r="56" spans="1:13" x14ac:dyDescent="0.15">
      <c r="B56" s="8" t="s">
        <v>650</v>
      </c>
      <c r="D56" s="8" t="s">
        <v>652</v>
      </c>
    </row>
    <row r="57" spans="1:13" x14ac:dyDescent="0.15">
      <c r="B57" s="8" t="s">
        <v>654</v>
      </c>
      <c r="D57" s="8" t="s">
        <v>653</v>
      </c>
    </row>
    <row r="58" spans="1:13" x14ac:dyDescent="0.15">
      <c r="B58" s="8" t="s">
        <v>655</v>
      </c>
      <c r="D58" s="8" t="s">
        <v>656</v>
      </c>
    </row>
    <row r="61" spans="1:13" s="130" customFormat="1" ht="18.75" x14ac:dyDescent="0.15">
      <c r="A61" s="130" t="s">
        <v>657</v>
      </c>
    </row>
    <row r="63" spans="1:13" x14ac:dyDescent="0.15">
      <c r="B63" s="8" t="s">
        <v>658</v>
      </c>
      <c r="C63" s="8" t="s">
        <v>676</v>
      </c>
    </row>
    <row r="64" spans="1:13" x14ac:dyDescent="0.15">
      <c r="B64" s="8" t="s">
        <v>659</v>
      </c>
      <c r="C64" s="8" t="s">
        <v>677</v>
      </c>
    </row>
    <row r="65" spans="1:4" x14ac:dyDescent="0.15">
      <c r="B65" s="8" t="s">
        <v>660</v>
      </c>
      <c r="C65" s="8" t="s">
        <v>678</v>
      </c>
    </row>
    <row r="66" spans="1:4" x14ac:dyDescent="0.15">
      <c r="B66" s="8" t="s">
        <v>661</v>
      </c>
      <c r="C66" s="8" t="s">
        <v>679</v>
      </c>
    </row>
    <row r="67" spans="1:4" x14ac:dyDescent="0.15">
      <c r="B67" s="8" t="s">
        <v>662</v>
      </c>
      <c r="C67" s="8" t="s">
        <v>680</v>
      </c>
    </row>
    <row r="68" spans="1:4" x14ac:dyDescent="0.15">
      <c r="B68" s="8" t="s">
        <v>663</v>
      </c>
      <c r="C68" s="8" t="s">
        <v>681</v>
      </c>
    </row>
    <row r="69" spans="1:4" x14ac:dyDescent="0.15">
      <c r="B69" s="8" t="s">
        <v>664</v>
      </c>
      <c r="C69" s="8" t="s">
        <v>682</v>
      </c>
    </row>
    <row r="70" spans="1:4" x14ac:dyDescent="0.15">
      <c r="B70" s="8" t="s">
        <v>665</v>
      </c>
      <c r="C70" s="8" t="s">
        <v>683</v>
      </c>
    </row>
    <row r="72" spans="1:4" x14ac:dyDescent="0.15">
      <c r="A72" s="133" t="s">
        <v>666</v>
      </c>
    </row>
    <row r="73" spans="1:4" x14ac:dyDescent="0.15">
      <c r="A73" s="134" t="s">
        <v>667</v>
      </c>
      <c r="B73" s="134"/>
      <c r="C73" s="134"/>
      <c r="D73" s="134"/>
    </row>
    <row r="74" spans="1:4" x14ac:dyDescent="0.15">
      <c r="A74" s="8" t="s">
        <v>668</v>
      </c>
    </row>
    <row r="75" spans="1:4" x14ac:dyDescent="0.15">
      <c r="A75" s="8" t="s">
        <v>671</v>
      </c>
    </row>
    <row r="77" spans="1:4" x14ac:dyDescent="0.15">
      <c r="A77" s="134" t="s">
        <v>669</v>
      </c>
    </row>
    <row r="78" spans="1:4" x14ac:dyDescent="0.15">
      <c r="A78" s="8" t="s">
        <v>670</v>
      </c>
    </row>
    <row r="79" spans="1:4" x14ac:dyDescent="0.15">
      <c r="A79" s="8" t="s">
        <v>672</v>
      </c>
    </row>
    <row r="81" spans="1:14" x14ac:dyDescent="0.15">
      <c r="D81" s="8">
        <v>2003</v>
      </c>
      <c r="E81" s="8">
        <v>2004</v>
      </c>
      <c r="F81" s="8">
        <v>2005</v>
      </c>
      <c r="G81" s="8">
        <v>2006</v>
      </c>
      <c r="H81" s="8">
        <v>2007</v>
      </c>
      <c r="I81" s="8">
        <v>2008</v>
      </c>
      <c r="J81" s="8">
        <v>2009</v>
      </c>
      <c r="K81" s="8">
        <v>2010</v>
      </c>
      <c r="L81" s="8">
        <v>2011</v>
      </c>
      <c r="M81" s="8">
        <v>2012</v>
      </c>
    </row>
    <row r="82" spans="1:14" x14ac:dyDescent="0.15">
      <c r="B82" s="133" t="s">
        <v>673</v>
      </c>
      <c r="C82" s="133"/>
      <c r="D82" s="175">
        <f>-4.84+0.92*D85+0.528*D86+0.404*D87+0.892*D88+0.115*D89-0.172*D90+4.679*D92-0.327*D91</f>
        <v>-2.5435489030484382</v>
      </c>
      <c r="E82" s="175">
        <f t="shared" ref="E82:M82" si="2">-4.84+0.92*E85+0.528*E86+0.404*E87+0.892*E88+0.115*E89-0.172*E90+4.679*E92-0.327*E91</f>
        <v>-2.5363066539704739</v>
      </c>
      <c r="F82" s="175">
        <f t="shared" si="2"/>
        <v>-2.6200776206395435</v>
      </c>
      <c r="G82" s="175">
        <f t="shared" si="2"/>
        <v>-2.0776233839772886</v>
      </c>
      <c r="H82" s="175">
        <f t="shared" si="2"/>
        <v>-2.424278055367417</v>
      </c>
      <c r="I82" s="175">
        <f t="shared" si="2"/>
        <v>-2.3899509292063912</v>
      </c>
      <c r="J82" s="175">
        <f t="shared" si="2"/>
        <v>-2.3312239992000769</v>
      </c>
      <c r="K82" s="175">
        <f t="shared" si="2"/>
        <v>-3.1680525209327111</v>
      </c>
      <c r="L82" s="175">
        <f t="shared" si="2"/>
        <v>-1.5122609841650265</v>
      </c>
      <c r="M82" s="175">
        <f t="shared" si="2"/>
        <v>-2.4420191368998716</v>
      </c>
    </row>
    <row r="83" spans="1:14" x14ac:dyDescent="0.15">
      <c r="B83" s="133" t="s">
        <v>674</v>
      </c>
      <c r="C83" s="133"/>
      <c r="D83" s="175">
        <f>-6.065+0.823*D85+0.906*D86+0.593*D87+0.717*D88+0.107*D89</f>
        <v>-3.2758015900742437</v>
      </c>
      <c r="E83" s="175">
        <f t="shared" ref="E83:M83" si="3">-6.065+0.823*E85+0.906*E86+0.593*E87+0.717*E88+0.107*E89</f>
        <v>-3.1373097942698283</v>
      </c>
      <c r="F83" s="175">
        <f t="shared" si="3"/>
        <v>-2.9939117104348529</v>
      </c>
      <c r="G83" s="175">
        <f t="shared" si="3"/>
        <v>-2.2794087174857935</v>
      </c>
      <c r="H83" s="175">
        <f t="shared" si="3"/>
        <v>-2.8884624474260714</v>
      </c>
      <c r="I83" s="175">
        <f t="shared" si="3"/>
        <v>-3.0021014956774819</v>
      </c>
      <c r="J83" s="175">
        <f t="shared" si="3"/>
        <v>-2.2527714566870123</v>
      </c>
      <c r="K83" s="175">
        <f t="shared" si="3"/>
        <v>-3.2082804054954113</v>
      </c>
      <c r="L83" s="175">
        <f t="shared" si="3"/>
        <v>-1.5440207354893272</v>
      </c>
      <c r="M83" s="175">
        <f t="shared" si="3"/>
        <v>-2.6041087916205461</v>
      </c>
    </row>
    <row r="85" spans="1:14" x14ac:dyDescent="0.15">
      <c r="B85" s="8" t="s">
        <v>675</v>
      </c>
      <c r="D85" s="73">
        <f>('Balance Sheet'!I7/'Income Statement'!I3)/('Balance Sheet'!H7/'Income Statement'!H3)</f>
        <v>0.68388655077767624</v>
      </c>
      <c r="E85" s="73">
        <f>('Balance Sheet'!J7/'Income Statement'!J3)/('Balance Sheet'!I7/'Income Statement'!I3)</f>
        <v>0.84629517282395805</v>
      </c>
      <c r="F85" s="73">
        <f>('Balance Sheet'!K7/'Income Statement'!K3)/('Balance Sheet'!J7/'Income Statement'!J3)</f>
        <v>0.90332334738636677</v>
      </c>
      <c r="G85" s="73">
        <f>('Balance Sheet'!L7/'Income Statement'!L3)/('Balance Sheet'!K7/'Income Statement'!K3)</f>
        <v>1.0818616350560266</v>
      </c>
      <c r="H85" s="73">
        <f>('Balance Sheet'!M7/'Income Statement'!M3)/('Balance Sheet'!L7/'Income Statement'!L3)</f>
        <v>0.99811170528184867</v>
      </c>
      <c r="I85" s="73">
        <f>('Balance Sheet'!N7/'Income Statement'!N3)/('Balance Sheet'!M7/'Income Statement'!M3)</f>
        <v>1.0808859225626044</v>
      </c>
      <c r="J85" s="73">
        <f>('Balance Sheet'!O7/'Income Statement'!O3)/('Balance Sheet'!N7/'Income Statement'!N3)</f>
        <v>0.94681132754396957</v>
      </c>
      <c r="K85" s="73">
        <f>('Balance Sheet'!P7/'Income Statement'!P3)/('Balance Sheet'!O7/'Income Statement'!O3)</f>
        <v>0.9210308997761224</v>
      </c>
      <c r="L85" s="73">
        <f>('Balance Sheet'!Q7/'Income Statement'!Q3)/('Balance Sheet'!P7/'Income Statement'!P3)</f>
        <v>1.7679419193009447</v>
      </c>
      <c r="M85" s="73">
        <f>('Balance Sheet'!R7/'Income Statement'!R3)/('Balance Sheet'!Q7/'Income Statement'!Q3)</f>
        <v>0.92756601285500639</v>
      </c>
    </row>
    <row r="86" spans="1:14" x14ac:dyDescent="0.15">
      <c r="B86" s="8" t="s">
        <v>659</v>
      </c>
      <c r="D86" s="73">
        <f>(('Income Statement'!H3-'Income Statement'!H6)/'Income Statement'!H3)/(('Income Statement'!I3-'Income Statement'!I6)/'Income Statement'!I3)</f>
        <v>0.84781305429457055</v>
      </c>
      <c r="E86" s="73">
        <f>(('Income Statement'!I3-'Income Statement'!I6)/'Income Statement'!I3)/(('Income Statement'!J3-'Income Statement'!J6)/'Income Statement'!J3)</f>
        <v>0.88755312499835848</v>
      </c>
      <c r="F86" s="73">
        <f>(('Income Statement'!J3-'Income Statement'!J6)/'Income Statement'!J3)/(('Income Statement'!K3-'Income Statement'!K6)/'Income Statement'!K3)</f>
        <v>1.0018550086585218</v>
      </c>
      <c r="G86" s="73">
        <f>(('Income Statement'!K3-'Income Statement'!K6)/'Income Statement'!K3)/(('Income Statement'!L3-'Income Statement'!L6)/'Income Statement'!L3)</f>
        <v>1.0138916733798824</v>
      </c>
      <c r="H86" s="73">
        <f>(('Income Statement'!L3-'Income Statement'!L6)/'Income Statement'!L3)/(('Income Statement'!M3-'Income Statement'!M6)/'Income Statement'!M3)</f>
        <v>0.98096716382001992</v>
      </c>
      <c r="I86" s="73">
        <f>(('Income Statement'!M3-'Income Statement'!M6)/'Income Statement'!M3)/(('Income Statement'!N3-'Income Statement'!N6)/'Income Statement'!N3)</f>
        <v>0.72366571271793267</v>
      </c>
      <c r="J86" s="73">
        <f>(('Income Statement'!N3-'Income Statement'!N6)/'Income Statement'!N3)/(('Income Statement'!O3-'Income Statement'!O6)/'Income Statement'!O3)</f>
        <v>1.669654358391512</v>
      </c>
      <c r="K86" s="73">
        <f>(('Income Statement'!O3-'Income Statement'!O6)/'Income Statement'!O3)/(('Income Statement'!P3-'Income Statement'!P6)/'Income Statement'!P3)</f>
        <v>0.57622851922146312</v>
      </c>
      <c r="L86" s="73">
        <f>(('Income Statement'!P3-'Income Statement'!P6)/'Income Statement'!P3)/(('Income Statement'!Q3-'Income Statement'!Q6)/'Income Statement'!Q3)</f>
        <v>1.5613176444501018</v>
      </c>
      <c r="M86" s="73">
        <f>(('Income Statement'!Q3-'Income Statement'!Q6)/'Income Statement'!Q3)/(('Income Statement'!R3-'Income Statement'!R6)/'Income Statement'!R3)</f>
        <v>0.96354267642676894</v>
      </c>
    </row>
    <row r="87" spans="1:14" x14ac:dyDescent="0.15">
      <c r="B87" s="8" t="s">
        <v>660</v>
      </c>
      <c r="D87" s="73">
        <f>(1-('Balance Sheet'!I21+'Balance Sheet'!I24)/'Balance Sheet'!I36)/(1-('Balance Sheet'!H21+'Balance Sheet'!H24)/'Balance Sheet'!H36)</f>
        <v>0.95836935740901918</v>
      </c>
      <c r="E87" s="73">
        <f>(1-('Balance Sheet'!J21+'Balance Sheet'!J24)/'Balance Sheet'!J36)/(1-('Balance Sheet'!I21+'Balance Sheet'!I24)/'Balance Sheet'!I36)</f>
        <v>1.0010162202483455</v>
      </c>
      <c r="F87" s="73">
        <f>(1-('Balance Sheet'!K21+'Balance Sheet'!K24)/'Balance Sheet'!K36)/(1-('Balance Sheet'!J21+'Balance Sheet'!J24)/'Balance Sheet'!J36)</f>
        <v>0.91669673553353637</v>
      </c>
      <c r="G87" s="73">
        <f>(1-('Balance Sheet'!L21+'Balance Sheet'!L24)/'Balance Sheet'!L36)/(1-('Balance Sheet'!K21+'Balance Sheet'!K24)/'Balance Sheet'!K36)</f>
        <v>1.9486902101033223</v>
      </c>
      <c r="H87" s="73">
        <f>(1-('Balance Sheet'!M21+'Balance Sheet'!M24)/'Balance Sheet'!M36)/(1-('Balance Sheet'!L21+'Balance Sheet'!L24)/'Balance Sheet'!L36)</f>
        <v>1.0024788075594775</v>
      </c>
      <c r="I87" s="73">
        <f>(1-('Balance Sheet'!N21+'Balance Sheet'!N24)/'Balance Sheet'!N36)/(1-('Balance Sheet'!M21+'Balance Sheet'!M24)/'Balance Sheet'!M36)</f>
        <v>1.0257600888781626</v>
      </c>
      <c r="J87" s="73">
        <f>(1-('Balance Sheet'!O21+'Balance Sheet'!O24)/'Balance Sheet'!O36)/(1-('Balance Sheet'!N21+'Balance Sheet'!N24)/'Balance Sheet'!N36)</f>
        <v>0.89915781383470106</v>
      </c>
      <c r="K87" s="73">
        <f>(1-('Balance Sheet'!P21+'Balance Sheet'!P24)/'Balance Sheet'!P36)/(1-('Balance Sheet'!O21+'Balance Sheet'!O24)/'Balance Sheet'!O36)</f>
        <v>0.53576279772530266</v>
      </c>
      <c r="L87" s="73">
        <f>(1-('Balance Sheet'!Q21+'Balance Sheet'!Q24)/'Balance Sheet'!Q36)/(1-('Balance Sheet'!P21+'Balance Sheet'!P24)/'Balance Sheet'!P36)</f>
        <v>1.0500812360614535</v>
      </c>
      <c r="M87" s="73">
        <f>(1-('Balance Sheet'!R21+'Balance Sheet'!R24)/'Balance Sheet'!R36)/(1-('Balance Sheet'!Q21+'Balance Sheet'!Q24)/'Balance Sheet'!Q36)</f>
        <v>1.7600958379742955</v>
      </c>
    </row>
    <row r="88" spans="1:14" x14ac:dyDescent="0.15">
      <c r="B88" s="8" t="s">
        <v>661</v>
      </c>
      <c r="D88" s="73">
        <f>'Income Statement'!I3/'Income Statement'!H3</f>
        <v>1.0995975855130784</v>
      </c>
      <c r="E88" s="73">
        <f>'Income Statement'!J3/'Income Statement'!I3</f>
        <v>1.0014445996051429</v>
      </c>
      <c r="F88" s="73">
        <f>'Income Statement'!K3/'Income Statement'!J3</f>
        <v>1.0625570995816707</v>
      </c>
      <c r="G88" s="73">
        <f>'Income Statement'!L3/'Income Statement'!K3</f>
        <v>1.1129061453525206</v>
      </c>
      <c r="H88" s="73">
        <f>'Income Statement'!M3/'Income Statement'!L3</f>
        <v>1.1281258894807464</v>
      </c>
      <c r="I88" s="73">
        <f>'Income Statement'!N3/'Income Statement'!M3</f>
        <v>1.1191248558246829</v>
      </c>
      <c r="J88" s="73">
        <f>'Income Statement'!O3/'Income Statement'!N3</f>
        <v>1.092112467390254</v>
      </c>
      <c r="K88" s="73">
        <f>'Income Statement'!P3/'Income Statement'!O3</f>
        <v>1.0963461028045651</v>
      </c>
      <c r="L88" s="73">
        <f>'Income Statement'!Q3/'Income Statement'!P3</f>
        <v>1.2752582311168494</v>
      </c>
      <c r="M88" s="73">
        <f>'Income Statement'!R3/'Income Statement'!Q3</f>
        <v>1.0542302094539013</v>
      </c>
    </row>
    <row r="89" spans="1:14" x14ac:dyDescent="0.15">
      <c r="B89" s="8" t="s">
        <v>662</v>
      </c>
      <c r="D89" s="73">
        <f>('Income Statement'!H15/('Income Statement'!H15+'Balance Sheet'!H24))/('Income Statement'!I15/('Income Statement'!I15+'Balance Sheet'!I24))</f>
        <v>0.94875377278899231</v>
      </c>
      <c r="E89" s="73">
        <f>('Income Statement'!I15/('Income Statement'!I15+'Balance Sheet'!I24))/('Income Statement'!J15/('Income Statement'!J15+'Balance Sheet'!J24))</f>
        <v>1.0787640254522035</v>
      </c>
      <c r="F89" s="73">
        <f>('Income Statement'!J15/('Income Statement'!J15+'Balance Sheet'!J24))/('Income Statement'!K15/('Income Statement'!K15+'Balance Sheet'!K24))</f>
        <v>1.0702610490663773</v>
      </c>
      <c r="G89" s="73">
        <f>('Income Statement'!K15/('Income Statement'!K15+'Balance Sheet'!K24))/('Income Statement'!L15/('Income Statement'!L15+'Balance Sheet'!L24))</f>
        <v>0.21594672870930809</v>
      </c>
      <c r="H89" s="73">
        <f>('Income Statement'!L15/('Income Statement'!L15+'Balance Sheet'!L24))/('Income Statement'!M15/('Income Statement'!M15+'Balance Sheet'!M24))</f>
        <v>0.58877731836975777</v>
      </c>
      <c r="I89" s="73">
        <f>('Income Statement'!M15/('Income Statement'!M15+'Balance Sheet'!M24))/('Income Statement'!N15/('Income Statement'!N15+'Balance Sheet'!N24))</f>
        <v>1</v>
      </c>
      <c r="J89" s="73">
        <f>('Income Statement'!N15/('Income Statement'!N15+'Balance Sheet'!N24))/('Income Statement'!O15/('Income Statement'!O15+'Balance Sheet'!O24))</f>
        <v>1.9070163487738423</v>
      </c>
      <c r="K89" s="73">
        <f>('Income Statement'!O15/('Income Statement'!O15+'Balance Sheet'!O24))/('Income Statement'!P15/('Income Statement'!P15+'Balance Sheet'!P24))</f>
        <v>4.4192582318898728</v>
      </c>
      <c r="L89" s="73">
        <f>('Income Statement'!P15/('Income Statement'!P15+'Balance Sheet'!P24))/('Income Statement'!Q15/('Income Statement'!Q15+'Balance Sheet'!Q24))</f>
        <v>1.0687005080278555</v>
      </c>
      <c r="M89" s="73">
        <f>('Income Statement'!Q15/('Income Statement'!Q15+'Balance Sheet'!Q24))/('Income Statement'!R15/('Income Statement'!R15+'Balance Sheet'!R24))</f>
        <v>0.23284881177502587</v>
      </c>
      <c r="N89" s="73"/>
    </row>
    <row r="90" spans="1:14" x14ac:dyDescent="0.15">
      <c r="B90" s="8" t="s">
        <v>663</v>
      </c>
      <c r="D90" s="73">
        <f>('Income Statement'!I9/'Income Statement'!I3)/('Income Statement'!H9/'Income Statement'!H3)</f>
        <v>1.1795053106749549</v>
      </c>
      <c r="E90" s="73">
        <f>('Income Statement'!J9/'Income Statement'!J3)/('Income Statement'!I9/'Income Statement'!I3)</f>
        <v>1.1266931204843085</v>
      </c>
      <c r="F90" s="73">
        <f>('Income Statement'!K9/'Income Statement'!K3)/('Income Statement'!J9/'Income Statement'!J3)</f>
        <v>0.9981484260272292</v>
      </c>
      <c r="G90" s="73">
        <f>('Income Statement'!L9/'Income Statement'!L3)/('Income Statement'!K9/'Income Statement'!K3)</f>
        <v>0.98629866114436726</v>
      </c>
      <c r="H90" s="73">
        <f>('Income Statement'!M9/'Income Statement'!M3)/('Income Statement'!L9/'Income Statement'!L3)</f>
        <v>1.0194021134263693</v>
      </c>
      <c r="I90" s="73">
        <f>('Income Statement'!N9/'Income Statement'!N3)/('Income Statement'!M9/'Income Statement'!M3)</f>
        <v>1.381853502833809</v>
      </c>
      <c r="J90" s="73">
        <f>('Income Statement'!O9/'Income Statement'!O3)/('Income Statement'!N9/'Income Statement'!N3)</f>
        <v>0.59892635561013108</v>
      </c>
      <c r="K90" s="73">
        <f>('Income Statement'!P9/'Income Statement'!P3)/('Income Statement'!O9/'Income Statement'!O3)</f>
        <v>1.7354226086398685</v>
      </c>
      <c r="L90" s="73">
        <f>('Income Statement'!Q9/'Income Statement'!Q3)/('Income Statement'!P9/'Income Statement'!P3)</f>
        <v>0.64048465957880185</v>
      </c>
      <c r="M90" s="73">
        <f>('Income Statement'!R9/'Income Statement'!R3)/('Income Statement'!Q9/'Income Statement'!Q3)</f>
        <v>1.0378367502189216</v>
      </c>
    </row>
    <row r="91" spans="1:14" x14ac:dyDescent="0.15">
      <c r="B91" s="8" t="s">
        <v>664</v>
      </c>
      <c r="D91" s="73">
        <f>(('Balance Sheet'!I48+'Balance Sheet'!I47)/'Balance Sheet'!I36)/(('Balance Sheet'!H48+'Balance Sheet'!H47)/'Balance Sheet'!H36)</f>
        <v>0.94450695299194531</v>
      </c>
      <c r="E91" s="73">
        <f>(('Balance Sheet'!J48+'Balance Sheet'!J47)/'Balance Sheet'!J36)/(('Balance Sheet'!I48+'Balance Sheet'!I47)/'Balance Sheet'!I36)</f>
        <v>0.92529104670911788</v>
      </c>
      <c r="F91" s="73">
        <f>(('Balance Sheet'!K48+'Balance Sheet'!K47)/'Balance Sheet'!K36)/(('Balance Sheet'!J48+'Balance Sheet'!J47)/'Balance Sheet'!J36)</f>
        <v>1.0480904263706665</v>
      </c>
      <c r="G91" s="73">
        <f>(('Balance Sheet'!L48+'Balance Sheet'!L47)/'Balance Sheet'!L36)/(('Balance Sheet'!K48+'Balance Sheet'!K47)/'Balance Sheet'!K36)</f>
        <v>1.0863592381719001</v>
      </c>
      <c r="H91" s="73">
        <f>(('Balance Sheet'!M48+'Balance Sheet'!M47)/'Balance Sheet'!M36)/(('Balance Sheet'!L48+'Balance Sheet'!L47)/'Balance Sheet'!L36)</f>
        <v>0.93275332528529498</v>
      </c>
      <c r="I91" s="73">
        <f>(('Balance Sheet'!N48+'Balance Sheet'!N47)/'Balance Sheet'!N36)/(('Balance Sheet'!M48+'Balance Sheet'!M47)/'Balance Sheet'!M36)</f>
        <v>0.95040226027177999</v>
      </c>
      <c r="J91" s="73">
        <f>(('Balance Sheet'!O48+'Balance Sheet'!O47)/'Balance Sheet'!O36)/(('Balance Sheet'!N48+'Balance Sheet'!N47)/'Balance Sheet'!N36)</f>
        <v>1.0701354156353773</v>
      </c>
      <c r="K91" s="73">
        <f>(('Balance Sheet'!P48+'Balance Sheet'!P47)/'Balance Sheet'!P36)/(('Balance Sheet'!O48+'Balance Sheet'!O47)/'Balance Sheet'!O36)</f>
        <v>1.0881278183731369</v>
      </c>
      <c r="L91" s="73">
        <f>(('Balance Sheet'!Q48+'Balance Sheet'!Q47)/'Balance Sheet'!Q36)/(('Balance Sheet'!P48+'Balance Sheet'!P47)/'Balance Sheet'!P36)</f>
        <v>1.0353328523562721</v>
      </c>
      <c r="M91" s="73">
        <f>(('Balance Sheet'!R48+'Balance Sheet'!R47)/'Balance Sheet'!R36)/(('Balance Sheet'!Q48+'Balance Sheet'!Q47)/'Balance Sheet'!Q36)</f>
        <v>0.98762246094907025</v>
      </c>
    </row>
    <row r="92" spans="1:14" x14ac:dyDescent="0.15">
      <c r="B92" s="8" t="s">
        <v>665</v>
      </c>
      <c r="D92" s="174">
        <f>(('Balance Sheet'!I21-'Balance Sheet'!H21)-('Balance Sheet'!I4-'Balance Sheet'!H4)-('Balance Sheet'!I47-'Balance Sheet'!H47)-('Balance Sheet'!I48-'Balance Sheet'!H48)-('Income Statement'!I30-'Income Statement'!H30)-('Income Statement'!I15-'Income Statement'!H15))/'Balance Sheet'!I36</f>
        <v>5.4334241096683347E-2</v>
      </c>
      <c r="E92" s="174">
        <f>(('Balance Sheet'!J21-'Balance Sheet'!I21)-('Balance Sheet'!J4-'Balance Sheet'!I4)-('Balance Sheet'!J47-'Balance Sheet'!I47)-('Balance Sheet'!J48-'Balance Sheet'!I48)-('Income Statement'!J30-'Income Statement'!I30)-('Income Statement'!J15-'Income Statement'!I15))/'Balance Sheet'!J36</f>
        <v>2.8014132779314284E-2</v>
      </c>
      <c r="F92" s="174">
        <f>(('Balance Sheet'!K21-'Balance Sheet'!J21)-('Balance Sheet'!K4-'Balance Sheet'!J4)-('Balance Sheet'!K47-'Balance Sheet'!J47)-('Balance Sheet'!K48-'Balance Sheet'!J48)-('Income Statement'!K30-'Income Statement'!J30)-('Income Statement'!K15-'Income Statement'!J15))/'Balance Sheet'!K36</f>
        <v>-1.4305167927301193E-2</v>
      </c>
      <c r="G92" s="174">
        <f>(('Balance Sheet'!L21-'Balance Sheet'!K21)-('Balance Sheet'!L4-'Balance Sheet'!K4)-('Balance Sheet'!L47-'Balance Sheet'!K47)-('Balance Sheet'!L48-'Balance Sheet'!K48)-('Income Statement'!L30-'Income Statement'!K30)-('Income Statement'!L15-'Income Statement'!K15))/'Balance Sheet'!L36</f>
        <v>-1.0302426055167815E-2</v>
      </c>
      <c r="H92" s="174">
        <f>(('Balance Sheet'!M21-'Balance Sheet'!L21)-('Balance Sheet'!M4-'Balance Sheet'!L4)-('Balance Sheet'!M47-'Balance Sheet'!L47)-('Balance Sheet'!M48-'Balance Sheet'!L48)-('Income Statement'!M30-'Income Statement'!L30)-('Income Statement'!M15-'Income Statement'!L15))/'Balance Sheet'!M36</f>
        <v>-4.0912821392261045E-3</v>
      </c>
      <c r="I92" s="174">
        <f>(('Balance Sheet'!N21-'Balance Sheet'!M21)-('Balance Sheet'!N4-'Balance Sheet'!M4)-('Balance Sheet'!N47-'Balance Sheet'!M47)-('Balance Sheet'!N48-'Balance Sheet'!M48)-('Income Statement'!N30-'Income Statement'!M30)-('Income Statement'!N15-'Income Statement'!M15))/'Balance Sheet'!N36</f>
        <v>2.0160807868099276E-2</v>
      </c>
      <c r="J92" s="174">
        <f>(('Balance Sheet'!O21-'Balance Sheet'!N21)-('Balance Sheet'!O4-'Balance Sheet'!N4)-('Balance Sheet'!O47-'Balance Sheet'!N47)-('Balance Sheet'!O48-'Balance Sheet'!N48)-('Income Statement'!O30-'Income Statement'!N30)-('Income Statement'!O15-'Income Statement'!N15))/'Balance Sheet'!O36</f>
        <v>-7.4299907139101118E-2</v>
      </c>
      <c r="K92" s="174">
        <f>(('Balance Sheet'!P21-'Balance Sheet'!O21)-('Balance Sheet'!P4-'Balance Sheet'!O4)-('Balance Sheet'!P47-'Balance Sheet'!O47)-('Balance Sheet'!P48-'Balance Sheet'!O48)-('Income Statement'!P30-'Income Statement'!O30)-('Income Statement'!P15-'Income Statement'!O15))/'Balance Sheet'!P36</f>
        <v>-0.11283238132755564</v>
      </c>
      <c r="L92" s="174">
        <f>(('Balance Sheet'!Q21-'Balance Sheet'!P21)-('Balance Sheet'!Q4-'Balance Sheet'!P4)-('Balance Sheet'!Q47-'Balance Sheet'!P47)-('Balance Sheet'!Q48-'Balance Sheet'!P48)-('Income Statement'!Q30-'Income Statement'!P30)-('Income Statement'!Q15-'Income Statement'!P15))/'Balance Sheet'!Q36</f>
        <v>-7.6744984392339094E-2</v>
      </c>
      <c r="M92" s="174">
        <f>(('Balance Sheet'!R21-'Balance Sheet'!Q21)-('Balance Sheet'!R4-'Balance Sheet'!Q4)-('Balance Sheet'!R47-'Balance Sheet'!Q47)-('Balance Sheet'!R48-'Balance Sheet'!Q48)-('Income Statement'!R30-'Income Statement'!Q30)-('Income Statement'!R15-'Income Statement'!Q15))/'Balance Sheet'!R36</f>
        <v>-3.01131897500393E-2</v>
      </c>
    </row>
    <row r="95" spans="1:14" ht="18.75" x14ac:dyDescent="0.15">
      <c r="A95" s="130"/>
    </row>
    <row r="96" spans="1:14" ht="15" customHeight="1" x14ac:dyDescent="0.15">
      <c r="A96" s="130"/>
    </row>
    <row r="99" spans="2:28" x14ac:dyDescent="0.15">
      <c r="B99"/>
    </row>
    <row r="100" spans="2:28" x14ac:dyDescent="0.15">
      <c r="Q100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</row>
    <row r="102" spans="2:28" x14ac:dyDescent="0.15"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</row>
    <row r="103" spans="2:28" x14ac:dyDescent="0.15"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</row>
    <row r="104" spans="2:28" x14ac:dyDescent="0.15">
      <c r="L104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</row>
    <row r="109" spans="2:28" x14ac:dyDescent="0.15">
      <c r="B109" s="133"/>
      <c r="C109" s="133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</row>
    <row r="110" spans="2:28" x14ac:dyDescent="0.15"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</row>
    <row r="112" spans="2:28" x14ac:dyDescent="0.15">
      <c r="D112" s="73"/>
      <c r="E112" s="73"/>
      <c r="F112" s="73"/>
      <c r="G112" s="73"/>
      <c r="H112" s="73"/>
      <c r="I112" s="73"/>
      <c r="J112" s="73"/>
      <c r="K112" s="73"/>
      <c r="L112" s="73"/>
      <c r="M112" s="73"/>
    </row>
    <row r="113" spans="4:13" x14ac:dyDescent="0.15"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</row>
    <row r="114" spans="4:13" x14ac:dyDescent="0.15"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</row>
    <row r="115" spans="4:13" x14ac:dyDescent="0.15">
      <c r="D115" s="73"/>
      <c r="E115" s="73"/>
      <c r="F115" s="73"/>
      <c r="G115" s="73"/>
      <c r="H115" s="73"/>
      <c r="I115" s="73"/>
      <c r="J115" s="73"/>
      <c r="K115" s="73"/>
      <c r="L115" s="73"/>
      <c r="M115" s="7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Income Statement</vt:lpstr>
      <vt:lpstr>Balance Sheet</vt:lpstr>
      <vt:lpstr>Cashflow Statement</vt:lpstr>
      <vt:lpstr>Ratios</vt:lpstr>
      <vt:lpstr>WACC</vt:lpstr>
      <vt:lpstr>Growth Rate</vt:lpstr>
      <vt:lpstr>FCFF Model</vt:lpstr>
      <vt:lpstr>Senesitivity Analysis</vt:lpstr>
      <vt:lpstr>Quality</vt:lpstr>
      <vt:lpstr>Price VS Instr</vt:lpstr>
      <vt:lpstr>Relative Method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Sunzhaowei</dc:creator>
  <cp:lastModifiedBy>Sunzhaowei</cp:lastModifiedBy>
  <cp:lastPrinted>2013-04-11T21:02:30Z</cp:lastPrinted>
  <dcterms:created xsi:type="dcterms:W3CDTF">2013-04-06T00:41:47Z</dcterms:created>
  <dcterms:modified xsi:type="dcterms:W3CDTF">2013-04-22T16:26:06Z</dcterms:modified>
</cp:coreProperties>
</file>