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new_inputs\source data\"/>
    </mc:Choice>
  </mc:AlternateContent>
  <xr:revisionPtr revIDLastSave="0" documentId="13_ncr:1_{6233738B-1CEE-40DE-AAA2-6EBC47550B3F}" xr6:coauthVersionLast="47" xr6:coauthVersionMax="47" xr10:uidLastSave="{00000000-0000-0000-0000-000000000000}"/>
  <bookViews>
    <workbookView xWindow="-28920" yWindow="2790" windowWidth="29040" windowHeight="15840" activeTab="2" xr2:uid="{DFF12E6E-C586-4C61-9E68-0C84B7D4DF23}"/>
  </bookViews>
  <sheets>
    <sheet name="Sheet1" sheetId="1" r:id="rId1"/>
    <sheet name="breast cancer" sheetId="2" r:id="rId2"/>
    <sheet name="colon cancer" sheetId="3" r:id="rId3"/>
    <sheet name="cervical canc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" l="1"/>
  <c r="N5" i="2"/>
  <c r="N6" i="2"/>
  <c r="N7" i="2"/>
  <c r="N8" i="2"/>
  <c r="N11" i="2" s="1"/>
  <c r="N9" i="2"/>
  <c r="N10" i="2"/>
  <c r="N13" i="2"/>
  <c r="N27" i="2" s="1"/>
  <c r="N14" i="2"/>
  <c r="N15" i="2"/>
  <c r="N16" i="2"/>
  <c r="N17" i="2"/>
  <c r="N18" i="2"/>
  <c r="N19" i="2"/>
  <c r="N20" i="2"/>
  <c r="N21" i="2"/>
  <c r="N22" i="2"/>
  <c r="N23" i="2"/>
  <c r="N24" i="2"/>
  <c r="N25" i="2"/>
  <c r="N32" i="2" s="1"/>
  <c r="N37" i="2" s="1"/>
  <c r="N26" i="2"/>
  <c r="N33" i="2" s="1"/>
  <c r="N38" i="2" s="1"/>
  <c r="N34" i="2"/>
  <c r="N35" i="2"/>
  <c r="O37" i="3"/>
  <c r="N5" i="3"/>
  <c r="N6" i="3"/>
  <c r="N7" i="3"/>
  <c r="N8" i="3"/>
  <c r="N11" i="3" s="1"/>
  <c r="N9" i="3"/>
  <c r="N10" i="3"/>
  <c r="N13" i="3"/>
  <c r="N27" i="3" s="1"/>
  <c r="N14" i="3"/>
  <c r="N15" i="3"/>
  <c r="N16" i="3"/>
  <c r="N17" i="3"/>
  <c r="N18" i="3"/>
  <c r="N19" i="3"/>
  <c r="N20" i="3"/>
  <c r="N21" i="3"/>
  <c r="N22" i="3"/>
  <c r="N23" i="3"/>
  <c r="N32" i="3" s="1"/>
  <c r="N37" i="3" s="1"/>
  <c r="N24" i="3"/>
  <c r="N25" i="3"/>
  <c r="N26" i="3"/>
  <c r="N33" i="3"/>
  <c r="N38" i="3" s="1"/>
  <c r="N34" i="3"/>
  <c r="N35" i="3"/>
  <c r="O37" i="4"/>
  <c r="N5" i="4"/>
  <c r="N6" i="4"/>
  <c r="N7" i="4"/>
  <c r="N8" i="4"/>
  <c r="N11" i="4" s="1"/>
  <c r="N9" i="4"/>
  <c r="N10" i="4"/>
  <c r="N32" i="4"/>
  <c r="N33" i="4"/>
  <c r="N34" i="4"/>
  <c r="N37" i="4" s="1"/>
  <c r="N35" i="4"/>
  <c r="N38" i="4" s="1"/>
  <c r="N13" i="4"/>
  <c r="N27" i="4" s="1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R4" i="4"/>
  <c r="Y4" i="4"/>
  <c r="G26" i="2"/>
  <c r="G20" i="2"/>
  <c r="X14" i="2"/>
  <c r="X15" i="2"/>
  <c r="X16" i="2"/>
  <c r="X13" i="2"/>
  <c r="G26" i="3"/>
  <c r="H25" i="3"/>
  <c r="G24" i="3"/>
  <c r="H21" i="3"/>
  <c r="G20" i="3"/>
  <c r="G19" i="3"/>
  <c r="M16" i="3"/>
  <c r="L16" i="3"/>
  <c r="K16" i="3"/>
  <c r="J16" i="3"/>
  <c r="I16" i="3"/>
  <c r="H16" i="3"/>
  <c r="G16" i="3"/>
  <c r="M13" i="3"/>
  <c r="L13" i="3"/>
  <c r="K13" i="3"/>
  <c r="J13" i="3"/>
  <c r="I13" i="3"/>
  <c r="H13" i="3"/>
  <c r="G13" i="3"/>
  <c r="C10" i="3"/>
  <c r="D10" i="3" s="1"/>
  <c r="C9" i="3"/>
  <c r="D9" i="3" s="1"/>
  <c r="C8" i="3"/>
  <c r="D8" i="3" s="1"/>
  <c r="C7" i="3"/>
  <c r="C6" i="3"/>
  <c r="D7" i="3" s="1"/>
  <c r="C5" i="3"/>
  <c r="C11" i="3" s="1"/>
  <c r="X13" i="3"/>
  <c r="X14" i="3"/>
  <c r="X15" i="3"/>
  <c r="X12" i="3"/>
  <c r="X11" i="4"/>
  <c r="R5" i="3"/>
  <c r="R4" i="3"/>
  <c r="G26" i="4"/>
  <c r="C48" i="4"/>
  <c r="C10" i="4" s="1"/>
  <c r="C47" i="2"/>
  <c r="C7" i="2" s="1"/>
  <c r="C48" i="2"/>
  <c r="C10" i="2" s="1"/>
  <c r="C47" i="4"/>
  <c r="C6" i="4" s="1"/>
  <c r="C48" i="3"/>
  <c r="C47" i="3"/>
  <c r="R12" i="4"/>
  <c r="R11" i="4"/>
  <c r="R10" i="4"/>
  <c r="R9" i="4"/>
  <c r="R12" i="3"/>
  <c r="R11" i="3"/>
  <c r="R10" i="3"/>
  <c r="R9" i="3"/>
  <c r="N30" i="2" l="1"/>
  <c r="N28" i="2"/>
  <c r="N30" i="3"/>
  <c r="N28" i="3"/>
  <c r="N28" i="4"/>
  <c r="N30" i="4"/>
  <c r="C6" i="2"/>
  <c r="C9" i="2"/>
  <c r="C8" i="2"/>
  <c r="C5" i="2"/>
  <c r="D5" i="2" s="1"/>
  <c r="D6" i="3"/>
  <c r="D5" i="3"/>
  <c r="X14" i="4"/>
  <c r="X13" i="4"/>
  <c r="X12" i="4"/>
  <c r="C9" i="4"/>
  <c r="C7" i="4"/>
  <c r="C5" i="4"/>
  <c r="D5" i="4" s="1"/>
  <c r="E5" i="4" s="1"/>
  <c r="F5" i="4" s="1"/>
  <c r="C8" i="4"/>
  <c r="R10" i="2"/>
  <c r="R11" i="2"/>
  <c r="R12" i="2"/>
  <c r="H21" i="2" s="1"/>
  <c r="R9" i="2"/>
  <c r="G16" i="4" l="1"/>
  <c r="G13" i="4"/>
  <c r="D7" i="2"/>
  <c r="G24" i="2"/>
  <c r="G19" i="2"/>
  <c r="H25" i="2"/>
  <c r="D10" i="2"/>
  <c r="D8" i="2"/>
  <c r="E8" i="2" s="1"/>
  <c r="D9" i="2"/>
  <c r="C11" i="2"/>
  <c r="D6" i="2"/>
  <c r="E6" i="2" s="1"/>
  <c r="E5" i="2"/>
  <c r="D11" i="3"/>
  <c r="E5" i="3"/>
  <c r="E9" i="3"/>
  <c r="E6" i="3"/>
  <c r="E8" i="3"/>
  <c r="E10" i="3"/>
  <c r="F10" i="3" s="1"/>
  <c r="E7" i="3"/>
  <c r="G5" i="4"/>
  <c r="D8" i="4"/>
  <c r="D7" i="4"/>
  <c r="D9" i="4"/>
  <c r="D6" i="4"/>
  <c r="E6" i="4" s="1"/>
  <c r="F6" i="4" s="1"/>
  <c r="D10" i="4"/>
  <c r="C11" i="4"/>
  <c r="H13" i="4" l="1"/>
  <c r="H16" i="4"/>
  <c r="E9" i="4"/>
  <c r="E9" i="2"/>
  <c r="E7" i="2"/>
  <c r="F7" i="2" s="1"/>
  <c r="F17" i="2" s="1"/>
  <c r="D11" i="2"/>
  <c r="E10" i="2"/>
  <c r="F6" i="2"/>
  <c r="F14" i="2" s="1"/>
  <c r="F5" i="2"/>
  <c r="F9" i="2"/>
  <c r="F5" i="3"/>
  <c r="E11" i="3"/>
  <c r="F8" i="3"/>
  <c r="F6" i="3"/>
  <c r="F14" i="3" s="1"/>
  <c r="F7" i="3"/>
  <c r="F17" i="3" s="1"/>
  <c r="F9" i="3"/>
  <c r="H5" i="4"/>
  <c r="G6" i="4"/>
  <c r="H6" i="4" s="1"/>
  <c r="I6" i="4" s="1"/>
  <c r="F14" i="4"/>
  <c r="G14" i="4" s="1"/>
  <c r="H14" i="4" s="1"/>
  <c r="E10" i="4"/>
  <c r="E7" i="4"/>
  <c r="F7" i="4" s="1"/>
  <c r="E8" i="4"/>
  <c r="D11" i="4"/>
  <c r="G33" i="3"/>
  <c r="I16" i="4" l="1"/>
  <c r="I13" i="4"/>
  <c r="E11" i="2"/>
  <c r="F8" i="2"/>
  <c r="F10" i="2"/>
  <c r="F11" i="2" s="1"/>
  <c r="G22" i="2"/>
  <c r="F27" i="2"/>
  <c r="G14" i="2"/>
  <c r="G15" i="2"/>
  <c r="G13" i="2"/>
  <c r="G16" i="2"/>
  <c r="G18" i="2"/>
  <c r="G17" i="2"/>
  <c r="G23" i="2"/>
  <c r="H26" i="2" s="1"/>
  <c r="G7" i="2"/>
  <c r="G6" i="2"/>
  <c r="G9" i="2"/>
  <c r="G10" i="2"/>
  <c r="G5" i="2"/>
  <c r="G8" i="2"/>
  <c r="G8" i="3"/>
  <c r="G15" i="3"/>
  <c r="G22" i="3"/>
  <c r="G14" i="3"/>
  <c r="F27" i="3"/>
  <c r="F28" i="3" s="1"/>
  <c r="G18" i="3"/>
  <c r="G23" i="3"/>
  <c r="H26" i="3" s="1"/>
  <c r="G17" i="3"/>
  <c r="G9" i="3"/>
  <c r="H9" i="3" s="1"/>
  <c r="G7" i="3"/>
  <c r="G5" i="3"/>
  <c r="F11" i="3"/>
  <c r="G6" i="3"/>
  <c r="G10" i="3"/>
  <c r="H10" i="3" s="1"/>
  <c r="I5" i="4"/>
  <c r="F8" i="4"/>
  <c r="G8" i="4" s="1"/>
  <c r="F10" i="4"/>
  <c r="F34" i="4" s="1"/>
  <c r="F35" i="4" s="1"/>
  <c r="F9" i="4"/>
  <c r="G7" i="4"/>
  <c r="H7" i="4" s="1"/>
  <c r="I7" i="4" s="1"/>
  <c r="J7" i="4" s="1"/>
  <c r="F17" i="4"/>
  <c r="E11" i="4"/>
  <c r="F34" i="3"/>
  <c r="G9" i="4" l="1"/>
  <c r="J16" i="4"/>
  <c r="J13" i="4"/>
  <c r="H17" i="2"/>
  <c r="H18" i="2"/>
  <c r="H23" i="2"/>
  <c r="H19" i="2"/>
  <c r="H24" i="2"/>
  <c r="H20" i="2"/>
  <c r="F28" i="2"/>
  <c r="F30" i="2"/>
  <c r="G27" i="2"/>
  <c r="G28" i="2" s="1"/>
  <c r="H16" i="2"/>
  <c r="H13" i="2"/>
  <c r="H22" i="2"/>
  <c r="H15" i="2"/>
  <c r="H14" i="2"/>
  <c r="G30" i="2"/>
  <c r="H7" i="2"/>
  <c r="H6" i="2"/>
  <c r="H8" i="2"/>
  <c r="H10" i="2"/>
  <c r="G11" i="2"/>
  <c r="H5" i="2"/>
  <c r="H9" i="2"/>
  <c r="H23" i="3"/>
  <c r="H17" i="3"/>
  <c r="H18" i="3"/>
  <c r="H15" i="3"/>
  <c r="H14" i="3"/>
  <c r="H22" i="3"/>
  <c r="I26" i="3" s="1"/>
  <c r="G27" i="3"/>
  <c r="G28" i="3" s="1"/>
  <c r="H19" i="3"/>
  <c r="H24" i="3"/>
  <c r="H20" i="3"/>
  <c r="G11" i="3"/>
  <c r="H5" i="3"/>
  <c r="H8" i="3"/>
  <c r="H6" i="3"/>
  <c r="H7" i="3"/>
  <c r="H9" i="4"/>
  <c r="F37" i="4"/>
  <c r="J5" i="4"/>
  <c r="J6" i="4"/>
  <c r="K6" i="4" s="1"/>
  <c r="G10" i="4"/>
  <c r="G34" i="4" s="1"/>
  <c r="H8" i="4"/>
  <c r="H10" i="4"/>
  <c r="F38" i="4"/>
  <c r="F11" i="4"/>
  <c r="G18" i="4"/>
  <c r="H24" i="4" s="1"/>
  <c r="G22" i="4"/>
  <c r="G15" i="4"/>
  <c r="G24" i="4"/>
  <c r="G19" i="4"/>
  <c r="G20" i="4"/>
  <c r="G33" i="4"/>
  <c r="H33" i="3"/>
  <c r="G34" i="3"/>
  <c r="F37" i="3"/>
  <c r="F35" i="3"/>
  <c r="F38" i="3" s="1"/>
  <c r="F34" i="2"/>
  <c r="F35" i="2" s="1"/>
  <c r="F38" i="2" s="1"/>
  <c r="G33" i="2"/>
  <c r="K13" i="4" l="1"/>
  <c r="K16" i="4"/>
  <c r="I8" i="2"/>
  <c r="I20" i="2"/>
  <c r="I19" i="2"/>
  <c r="I24" i="2"/>
  <c r="H27" i="2"/>
  <c r="H28" i="2" s="1"/>
  <c r="I26" i="2"/>
  <c r="I16" i="2"/>
  <c r="I13" i="2"/>
  <c r="I15" i="2"/>
  <c r="I22" i="2"/>
  <c r="I14" i="2"/>
  <c r="I21" i="2"/>
  <c r="I25" i="2"/>
  <c r="I17" i="2"/>
  <c r="I18" i="2"/>
  <c r="I23" i="2"/>
  <c r="I9" i="2"/>
  <c r="I10" i="2"/>
  <c r="H11" i="2"/>
  <c r="I5" i="2"/>
  <c r="I7" i="2"/>
  <c r="I6" i="2"/>
  <c r="I20" i="3"/>
  <c r="I24" i="3"/>
  <c r="I19" i="3"/>
  <c r="I21" i="3"/>
  <c r="I25" i="3"/>
  <c r="I17" i="3"/>
  <c r="I18" i="3"/>
  <c r="J24" i="3" s="1"/>
  <c r="I23" i="3"/>
  <c r="I22" i="3"/>
  <c r="I14" i="3"/>
  <c r="I15" i="3"/>
  <c r="H27" i="3"/>
  <c r="H28" i="3" s="1"/>
  <c r="I7" i="3"/>
  <c r="I6" i="3"/>
  <c r="H11" i="3"/>
  <c r="I5" i="3"/>
  <c r="I8" i="3"/>
  <c r="I9" i="3"/>
  <c r="F30" i="3"/>
  <c r="G32" i="3"/>
  <c r="G37" i="3" s="1"/>
  <c r="I10" i="3"/>
  <c r="K7" i="4"/>
  <c r="K5" i="4"/>
  <c r="I10" i="4"/>
  <c r="I34" i="4" s="1"/>
  <c r="G35" i="4"/>
  <c r="G38" i="4" s="1"/>
  <c r="I8" i="4"/>
  <c r="J8" i="4" s="1"/>
  <c r="K8" i="4" s="1"/>
  <c r="I9" i="4"/>
  <c r="F27" i="4"/>
  <c r="G11" i="4"/>
  <c r="G17" i="4"/>
  <c r="G23" i="4"/>
  <c r="G32" i="4" s="1"/>
  <c r="G37" i="4" s="1"/>
  <c r="H11" i="4"/>
  <c r="H22" i="4"/>
  <c r="H15" i="4"/>
  <c r="H20" i="4"/>
  <c r="H19" i="4"/>
  <c r="H25" i="4"/>
  <c r="H21" i="4"/>
  <c r="H34" i="4"/>
  <c r="G35" i="3"/>
  <c r="G38" i="3" s="1"/>
  <c r="H34" i="3"/>
  <c r="G34" i="2"/>
  <c r="G35" i="2" s="1"/>
  <c r="G38" i="2" s="1"/>
  <c r="F37" i="2"/>
  <c r="H33" i="2"/>
  <c r="H34" i="2"/>
  <c r="L16" i="4" l="1"/>
  <c r="L13" i="4"/>
  <c r="I27" i="2"/>
  <c r="I28" i="2" s="1"/>
  <c r="J13" i="2"/>
  <c r="J16" i="2"/>
  <c r="J22" i="2"/>
  <c r="K26" i="2" s="1"/>
  <c r="J14" i="2"/>
  <c r="J15" i="2"/>
  <c r="J20" i="2"/>
  <c r="J19" i="2"/>
  <c r="J24" i="2"/>
  <c r="J18" i="2"/>
  <c r="J23" i="2"/>
  <c r="J17" i="2"/>
  <c r="J26" i="2"/>
  <c r="J21" i="2"/>
  <c r="J25" i="2"/>
  <c r="J9" i="2"/>
  <c r="J6" i="2"/>
  <c r="J8" i="2"/>
  <c r="J7" i="2"/>
  <c r="I11" i="2"/>
  <c r="J5" i="2"/>
  <c r="J10" i="2"/>
  <c r="J19" i="3"/>
  <c r="J20" i="3"/>
  <c r="I27" i="3"/>
  <c r="I28" i="3" s="1"/>
  <c r="J14" i="3"/>
  <c r="J22" i="3"/>
  <c r="J15" i="3"/>
  <c r="J18" i="3"/>
  <c r="J17" i="3"/>
  <c r="J23" i="3"/>
  <c r="J26" i="3"/>
  <c r="J21" i="3"/>
  <c r="J25" i="3"/>
  <c r="J5" i="3"/>
  <c r="I11" i="3"/>
  <c r="I32" i="3"/>
  <c r="J10" i="3"/>
  <c r="J9" i="3"/>
  <c r="I33" i="3"/>
  <c r="J6" i="3"/>
  <c r="K6" i="3" s="1"/>
  <c r="H32" i="3"/>
  <c r="H37" i="3" s="1"/>
  <c r="J8" i="3"/>
  <c r="G30" i="3"/>
  <c r="J7" i="3"/>
  <c r="K7" i="3" s="1"/>
  <c r="H23" i="4"/>
  <c r="H32" i="4" s="1"/>
  <c r="H37" i="4" s="1"/>
  <c r="H17" i="4"/>
  <c r="I23" i="4" s="1"/>
  <c r="H18" i="4"/>
  <c r="I19" i="4" s="1"/>
  <c r="I35" i="4"/>
  <c r="L5" i="4"/>
  <c r="L8" i="4"/>
  <c r="L7" i="4"/>
  <c r="L6" i="4"/>
  <c r="H35" i="4"/>
  <c r="F30" i="4"/>
  <c r="F28" i="4"/>
  <c r="J9" i="4"/>
  <c r="K9" i="4" s="1"/>
  <c r="L9" i="4" s="1"/>
  <c r="J10" i="4"/>
  <c r="H26" i="4"/>
  <c r="H33" i="4" s="1"/>
  <c r="G27" i="4"/>
  <c r="G28" i="4" s="1"/>
  <c r="I14" i="4"/>
  <c r="I22" i="4"/>
  <c r="I15" i="4"/>
  <c r="H35" i="2"/>
  <c r="H38" i="2" s="1"/>
  <c r="I25" i="4"/>
  <c r="I21" i="4"/>
  <c r="H35" i="3"/>
  <c r="H38" i="3" s="1"/>
  <c r="I34" i="3"/>
  <c r="G32" i="2"/>
  <c r="G37" i="2" s="1"/>
  <c r="M6" i="4" l="1"/>
  <c r="M13" i="4"/>
  <c r="M16" i="4"/>
  <c r="K24" i="3"/>
  <c r="K7" i="2"/>
  <c r="K18" i="2"/>
  <c r="K23" i="2"/>
  <c r="K17" i="2"/>
  <c r="K21" i="2"/>
  <c r="K25" i="2"/>
  <c r="K16" i="2"/>
  <c r="K13" i="2"/>
  <c r="J27" i="2"/>
  <c r="J28" i="2" s="1"/>
  <c r="K20" i="2"/>
  <c r="K24" i="2"/>
  <c r="K19" i="2"/>
  <c r="K15" i="2"/>
  <c r="K22" i="2"/>
  <c r="K14" i="2"/>
  <c r="K8" i="2"/>
  <c r="K10" i="2"/>
  <c r="K5" i="2"/>
  <c r="J11" i="2"/>
  <c r="K6" i="2"/>
  <c r="K9" i="2"/>
  <c r="K18" i="3"/>
  <c r="K17" i="3"/>
  <c r="K23" i="3"/>
  <c r="K25" i="3"/>
  <c r="K21" i="3"/>
  <c r="K15" i="3"/>
  <c r="K14" i="3"/>
  <c r="K22" i="3"/>
  <c r="J27" i="3"/>
  <c r="J28" i="3" s="1"/>
  <c r="K26" i="3"/>
  <c r="K20" i="3"/>
  <c r="K19" i="3"/>
  <c r="H30" i="3"/>
  <c r="J11" i="3"/>
  <c r="K5" i="3"/>
  <c r="L6" i="3" s="1"/>
  <c r="J33" i="3"/>
  <c r="K9" i="3"/>
  <c r="K8" i="3"/>
  <c r="L8" i="3" s="1"/>
  <c r="K10" i="3"/>
  <c r="I18" i="4"/>
  <c r="M7" i="4"/>
  <c r="I17" i="4"/>
  <c r="J23" i="4" s="1"/>
  <c r="H27" i="4"/>
  <c r="H28" i="4" s="1"/>
  <c r="M8" i="4"/>
  <c r="M9" i="4"/>
  <c r="M5" i="4"/>
  <c r="H38" i="4"/>
  <c r="I34" i="2"/>
  <c r="J34" i="2"/>
  <c r="I20" i="4"/>
  <c r="J25" i="4" s="1"/>
  <c r="I24" i="4"/>
  <c r="I32" i="4" s="1"/>
  <c r="I37" i="4" s="1"/>
  <c r="K10" i="4"/>
  <c r="L10" i="4" s="1"/>
  <c r="M10" i="4" s="1"/>
  <c r="G30" i="4"/>
  <c r="I26" i="4"/>
  <c r="I33" i="4" s="1"/>
  <c r="I11" i="4"/>
  <c r="J14" i="4"/>
  <c r="J15" i="4"/>
  <c r="J22" i="4"/>
  <c r="J11" i="4"/>
  <c r="J24" i="4"/>
  <c r="J19" i="4"/>
  <c r="J20" i="4"/>
  <c r="I37" i="3"/>
  <c r="J34" i="3"/>
  <c r="J35" i="3" s="1"/>
  <c r="I35" i="3"/>
  <c r="I38" i="3" s="1"/>
  <c r="H32" i="2"/>
  <c r="H37" i="2" s="1"/>
  <c r="I35" i="2"/>
  <c r="I33" i="2"/>
  <c r="H30" i="2"/>
  <c r="J17" i="4" l="1"/>
  <c r="L26" i="2"/>
  <c r="K27" i="2"/>
  <c r="K28" i="2" s="1"/>
  <c r="L23" i="2"/>
  <c r="L17" i="2"/>
  <c r="L18" i="2"/>
  <c r="L14" i="2"/>
  <c r="L15" i="2"/>
  <c r="L22" i="2"/>
  <c r="M26" i="2" s="1"/>
  <c r="L19" i="2"/>
  <c r="L20" i="2"/>
  <c r="L24" i="2"/>
  <c r="L13" i="2"/>
  <c r="L16" i="2"/>
  <c r="L21" i="2"/>
  <c r="L25" i="2"/>
  <c r="K11" i="2"/>
  <c r="L5" i="2"/>
  <c r="L10" i="2"/>
  <c r="L6" i="2"/>
  <c r="L7" i="2"/>
  <c r="L9" i="2"/>
  <c r="L8" i="2"/>
  <c r="L21" i="3"/>
  <c r="L25" i="3"/>
  <c r="L14" i="3"/>
  <c r="L15" i="3"/>
  <c r="L22" i="3"/>
  <c r="K27" i="3"/>
  <c r="K28" i="3" s="1"/>
  <c r="L26" i="3"/>
  <c r="L23" i="3"/>
  <c r="L17" i="3"/>
  <c r="L18" i="3"/>
  <c r="L20" i="3"/>
  <c r="L24" i="3"/>
  <c r="L19" i="3"/>
  <c r="J38" i="3"/>
  <c r="J35" i="2"/>
  <c r="L10" i="3"/>
  <c r="I30" i="3"/>
  <c r="L9" i="3"/>
  <c r="K11" i="3"/>
  <c r="L5" i="3"/>
  <c r="J32" i="3"/>
  <c r="J37" i="3" s="1"/>
  <c r="K33" i="3"/>
  <c r="K32" i="3"/>
  <c r="L7" i="3"/>
  <c r="J18" i="4"/>
  <c r="K24" i="4" s="1"/>
  <c r="J21" i="4"/>
  <c r="K21" i="4" s="1"/>
  <c r="H30" i="4"/>
  <c r="J26" i="4"/>
  <c r="J33" i="4" s="1"/>
  <c r="I38" i="4"/>
  <c r="I27" i="4"/>
  <c r="I28" i="4" s="1"/>
  <c r="J34" i="4"/>
  <c r="J35" i="4" s="1"/>
  <c r="K14" i="4"/>
  <c r="K22" i="4"/>
  <c r="K15" i="4"/>
  <c r="J32" i="4"/>
  <c r="K17" i="4"/>
  <c r="K18" i="4"/>
  <c r="K23" i="4"/>
  <c r="K34" i="4"/>
  <c r="K11" i="4"/>
  <c r="K34" i="3"/>
  <c r="I32" i="2"/>
  <c r="I37" i="2" s="1"/>
  <c r="I38" i="2"/>
  <c r="J33" i="2"/>
  <c r="I30" i="2"/>
  <c r="K20" i="4" l="1"/>
  <c r="K19" i="4"/>
  <c r="L20" i="4" s="1"/>
  <c r="K25" i="4"/>
  <c r="K32" i="4" s="1"/>
  <c r="K37" i="4" s="1"/>
  <c r="M16" i="2"/>
  <c r="M13" i="2"/>
  <c r="M17" i="2"/>
  <c r="M18" i="2"/>
  <c r="M23" i="2"/>
  <c r="M20" i="2"/>
  <c r="M24" i="2"/>
  <c r="M19" i="2"/>
  <c r="L27" i="2"/>
  <c r="L28" i="2" s="1"/>
  <c r="M6" i="2"/>
  <c r="M25" i="2"/>
  <c r="M21" i="2"/>
  <c r="M15" i="2"/>
  <c r="M22" i="2"/>
  <c r="M14" i="2"/>
  <c r="M8" i="2"/>
  <c r="M10" i="2"/>
  <c r="M9" i="2"/>
  <c r="L11" i="2"/>
  <c r="M5" i="2"/>
  <c r="M7" i="2"/>
  <c r="M21" i="3"/>
  <c r="M25" i="3"/>
  <c r="M14" i="3"/>
  <c r="M15" i="3"/>
  <c r="M22" i="3"/>
  <c r="L27" i="3"/>
  <c r="L28" i="3" s="1"/>
  <c r="M26" i="3"/>
  <c r="M19" i="3"/>
  <c r="M24" i="3"/>
  <c r="M20" i="3"/>
  <c r="M23" i="3"/>
  <c r="M17" i="3"/>
  <c r="M18" i="3"/>
  <c r="J38" i="2"/>
  <c r="L33" i="3"/>
  <c r="M10" i="3"/>
  <c r="L11" i="3"/>
  <c r="M5" i="3"/>
  <c r="M8" i="3"/>
  <c r="M9" i="3"/>
  <c r="J30" i="3"/>
  <c r="M7" i="3"/>
  <c r="M6" i="3"/>
  <c r="J32" i="2"/>
  <c r="J37" i="2" s="1"/>
  <c r="K34" i="2"/>
  <c r="K35" i="2" s="1"/>
  <c r="K26" i="4"/>
  <c r="K33" i="4" s="1"/>
  <c r="J27" i="4"/>
  <c r="J38" i="4"/>
  <c r="I30" i="4"/>
  <c r="J37" i="4"/>
  <c r="K35" i="4"/>
  <c r="L14" i="4"/>
  <c r="L15" i="4"/>
  <c r="L22" i="4"/>
  <c r="L11" i="4"/>
  <c r="L34" i="4"/>
  <c r="L35" i="4" s="1"/>
  <c r="M34" i="4"/>
  <c r="L25" i="4"/>
  <c r="L21" i="4"/>
  <c r="L24" i="4"/>
  <c r="L23" i="4"/>
  <c r="L18" i="4"/>
  <c r="L17" i="4"/>
  <c r="L32" i="3"/>
  <c r="M34" i="3"/>
  <c r="L34" i="3"/>
  <c r="K35" i="3"/>
  <c r="K38" i="3" s="1"/>
  <c r="K37" i="3"/>
  <c r="K33" i="2"/>
  <c r="J30" i="2"/>
  <c r="L34" i="2"/>
  <c r="K32" i="2"/>
  <c r="L19" i="4" l="1"/>
  <c r="M27" i="2"/>
  <c r="M28" i="2" s="1"/>
  <c r="M11" i="2"/>
  <c r="M27" i="3"/>
  <c r="M28" i="3" s="1"/>
  <c r="L35" i="2"/>
  <c r="L30" i="3"/>
  <c r="K30" i="3"/>
  <c r="M11" i="3"/>
  <c r="M33" i="3"/>
  <c r="J30" i="4"/>
  <c r="J28" i="4"/>
  <c r="K38" i="4"/>
  <c r="L26" i="4"/>
  <c r="L33" i="4" s="1"/>
  <c r="L38" i="4" s="1"/>
  <c r="K27" i="4"/>
  <c r="K28" i="4" s="1"/>
  <c r="K38" i="2"/>
  <c r="K37" i="2"/>
  <c r="M35" i="4"/>
  <c r="M14" i="4"/>
  <c r="M22" i="4"/>
  <c r="M15" i="4"/>
  <c r="L37" i="3"/>
  <c r="M23" i="4"/>
  <c r="M17" i="4"/>
  <c r="M18" i="4"/>
  <c r="M25" i="4"/>
  <c r="M21" i="4"/>
  <c r="M11" i="4"/>
  <c r="M24" i="4"/>
  <c r="M19" i="4"/>
  <c r="M20" i="4"/>
  <c r="L32" i="4"/>
  <c r="L37" i="4" s="1"/>
  <c r="L35" i="3"/>
  <c r="L38" i="3" s="1"/>
  <c r="M32" i="3"/>
  <c r="M37" i="3" s="1"/>
  <c r="M35" i="3"/>
  <c r="L33" i="2"/>
  <c r="M34" i="2"/>
  <c r="M35" i="2" s="1"/>
  <c r="K30" i="2"/>
  <c r="K30" i="4" l="1"/>
  <c r="L38" i="2"/>
  <c r="M38" i="3"/>
  <c r="M26" i="4"/>
  <c r="M33" i="4" s="1"/>
  <c r="M38" i="4" s="1"/>
  <c r="L27" i="4"/>
  <c r="L28" i="4" s="1"/>
  <c r="M32" i="4"/>
  <c r="M37" i="4" s="1"/>
  <c r="Q37" i="3"/>
  <c r="P37" i="3"/>
  <c r="L32" i="2"/>
  <c r="L37" i="2" s="1"/>
  <c r="M33" i="2"/>
  <c r="M38" i="2" s="1"/>
  <c r="L30" i="2"/>
  <c r="M27" i="4" l="1"/>
  <c r="M30" i="3"/>
  <c r="M30" i="4"/>
  <c r="M28" i="4"/>
  <c r="L30" i="4"/>
  <c r="Q37" i="4"/>
  <c r="P37" i="4"/>
  <c r="M32" i="2"/>
  <c r="M37" i="2" s="1"/>
  <c r="P37" i="2" s="1"/>
  <c r="M30" i="2"/>
  <c r="P30" i="4" l="1"/>
  <c r="O30" i="3"/>
  <c r="P30" i="3"/>
  <c r="Q30" i="3"/>
  <c r="O30" i="4"/>
  <c r="Q30" i="4"/>
  <c r="Q37" i="2"/>
  <c r="Q30" i="2"/>
  <c r="O30" i="2"/>
  <c r="P30" i="2"/>
</calcChain>
</file>

<file path=xl/sharedStrings.xml><?xml version="1.0" encoding="utf-8"?>
<sst xmlns="http://schemas.openxmlformats.org/spreadsheetml/2006/main" count="353" uniqueCount="115">
  <si>
    <t>Stage 1</t>
  </si>
  <si>
    <t>Stage 2</t>
  </si>
  <si>
    <t>Stage 3</t>
  </si>
  <si>
    <t>Stage 4</t>
  </si>
  <si>
    <t>Dead</t>
  </si>
  <si>
    <t>Transition probabilities</t>
  </si>
  <si>
    <t>Mortality reduction if found at that stage</t>
  </si>
  <si>
    <t>Estimate of current distribution</t>
  </si>
  <si>
    <t>Healthy</t>
  </si>
  <si>
    <t>y</t>
  </si>
  <si>
    <t>H -&gt; ddx1</t>
  </si>
  <si>
    <t>ddx1 -&gt;Stage 1</t>
  </si>
  <si>
    <t>d1</t>
  </si>
  <si>
    <t>m1</t>
  </si>
  <si>
    <t>ddx1 -&gt; ddx2</t>
  </si>
  <si>
    <t>p2</t>
  </si>
  <si>
    <t>**</t>
  </si>
  <si>
    <t>H</t>
  </si>
  <si>
    <t>UC1</t>
  </si>
  <si>
    <t>UC2</t>
  </si>
  <si>
    <t>UC3</t>
  </si>
  <si>
    <t>UC4</t>
  </si>
  <si>
    <t>C1</t>
  </si>
  <si>
    <t>C2</t>
  </si>
  <si>
    <t>C3</t>
  </si>
  <si>
    <t>C4</t>
  </si>
  <si>
    <t xml:space="preserve"> -y-m</t>
  </si>
  <si>
    <t xml:space="preserve"> -p1-d1-m</t>
  </si>
  <si>
    <t>p1</t>
  </si>
  <si>
    <t>p3</t>
  </si>
  <si>
    <t xml:space="preserve">Q = </t>
  </si>
  <si>
    <t>d2</t>
  </si>
  <si>
    <t>d3</t>
  </si>
  <si>
    <t>d4</t>
  </si>
  <si>
    <t xml:space="preserve"> - d4-m5</t>
  </si>
  <si>
    <t xml:space="preserve"> -p3 -d3-m</t>
  </si>
  <si>
    <t xml:space="preserve"> -p2 - d2 -m</t>
  </si>
  <si>
    <t xml:space="preserve"> -m1</t>
  </si>
  <si>
    <t xml:space="preserve"> -m2</t>
  </si>
  <si>
    <t xml:space="preserve"> -m3</t>
  </si>
  <si>
    <t xml:space="preserve"> -m4</t>
  </si>
  <si>
    <t>m2</t>
  </si>
  <si>
    <t>Stage 2 - &gt; dead (on treatment)</t>
  </si>
  <si>
    <t>Stage 1 -&gt; dead (on treatment)</t>
  </si>
  <si>
    <t>ddx2 -&gt; Stage 2</t>
  </si>
  <si>
    <t>ddx2 -&gt;ddx3</t>
  </si>
  <si>
    <t>m3</t>
  </si>
  <si>
    <t>m4</t>
  </si>
  <si>
    <t>m5</t>
  </si>
  <si>
    <t>m</t>
  </si>
  <si>
    <t>other mortality</t>
  </si>
  <si>
    <t>Untreated mortality</t>
  </si>
  <si>
    <t>Stage 4 - &gt; dead (on treatment)</t>
  </si>
  <si>
    <t>Stage 3 - &gt; dead (on treatment)</t>
  </si>
  <si>
    <t>ddx3 -&gt;Stage 3</t>
  </si>
  <si>
    <t>pre-ddx @ 1</t>
  </si>
  <si>
    <t>pre-ddx @ 2</t>
  </si>
  <si>
    <t>pre-ddx @ 3</t>
  </si>
  <si>
    <t>pre-ddx @ 4</t>
  </si>
  <si>
    <t>dead</t>
  </si>
  <si>
    <t>Prev</t>
  </si>
  <si>
    <t>Other MX</t>
  </si>
  <si>
    <t xml:space="preserve"> -y - m</t>
  </si>
  <si>
    <t xml:space="preserve"> - p1 -m1</t>
  </si>
  <si>
    <t xml:space="preserve"> - p2 - m2</t>
  </si>
  <si>
    <t xml:space="preserve"> - p3 - m3</t>
  </si>
  <si>
    <t>m+m1+m2+m3+m4</t>
  </si>
  <si>
    <t>Transitions</t>
  </si>
  <si>
    <t>sum</t>
  </si>
  <si>
    <t>Undo the coverage equation with effect sizes.**</t>
  </si>
  <si>
    <t>Baseline coverage**</t>
  </si>
  <si>
    <t>Median year with ddx (3-7 years)</t>
  </si>
  <si>
    <t>Baseline coverage</t>
  </si>
  <si>
    <t>1-&gt;2</t>
  </si>
  <si>
    <t>2-&gt;3</t>
  </si>
  <si>
    <t>3-&gt;4</t>
  </si>
  <si>
    <t>4-&gt;dead</t>
  </si>
  <si>
    <t>What proportion of people with Stage 1/2 in 2023 would die by 2030?</t>
  </si>
  <si>
    <t>1-&gt;dead</t>
  </si>
  <si>
    <t>2-&gt;dead</t>
  </si>
  <si>
    <t>3-&gt;dead</t>
  </si>
  <si>
    <t>Stay at 1</t>
  </si>
  <si>
    <t>Stay at 2</t>
  </si>
  <si>
    <t>Stay at 3</t>
  </si>
  <si>
    <t>Stay at 4</t>
  </si>
  <si>
    <t>check sum</t>
  </si>
  <si>
    <t>still dead</t>
  </si>
  <si>
    <t>Treated death rates</t>
  </si>
  <si>
    <t>Untreated mx --&gt;</t>
  </si>
  <si>
    <t>Mortality reduction if found at that stage (effect sizes)</t>
  </si>
  <si>
    <t>Cummulative proportion --&gt;</t>
  </si>
  <si>
    <t>New CA deaths</t>
  </si>
  <si>
    <t>New stage 1-2 deaths</t>
  </si>
  <si>
    <t>Cumulative stage 1-2 deaths</t>
  </si>
  <si>
    <t>Cumulative CA deaths</t>
  </si>
  <si>
    <t>stage 1-2 as share of cumulative CA deaths</t>
  </si>
  <si>
    <t>stage 1-2 as share of yearly CA deaths</t>
  </si>
  <si>
    <t>GBD 2019 age standardized incidence rate for females</t>
  </si>
  <si>
    <t>GBD 2019 age standardized all-cause mortality rate for females</t>
  </si>
  <si>
    <t>AFFECTED FRACTION</t>
  </si>
  <si>
    <t>H-&gt;1</t>
  </si>
  <si>
    <t>y1</t>
  </si>
  <si>
    <t>y2</t>
  </si>
  <si>
    <t>y3</t>
  </si>
  <si>
    <t>y4</t>
  </si>
  <si>
    <t>&gt; assuming the same distribution of stages over time…</t>
  </si>
  <si>
    <t>pop</t>
  </si>
  <si>
    <t xml:space="preserve">GBD 2019 age standardized incidence rate </t>
  </si>
  <si>
    <t>GBD 2019 age standardized all-cause mortality rate</t>
  </si>
  <si>
    <t>H-&gt;2</t>
  </si>
  <si>
    <t>H-&gt;3</t>
  </si>
  <si>
    <t>H-&gt;4</t>
  </si>
  <si>
    <t>Screening coverage</t>
  </si>
  <si>
    <t>Current incidence</t>
  </si>
  <si>
    <t>Current screening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</si>
</sst>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6"/>
      <color rgb="FF45454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10" fontId="0" fillId="0" borderId="0" xfId="2" applyNumberFormat="1" applyFont="1" applyFill="1"/>
    <xf numFmtId="166" fontId="0" fillId="0" borderId="0" xfId="2" applyNumberFormat="1" applyFont="1"/>
    <xf numFmtId="166" fontId="0" fillId="0" borderId="0" xfId="0" applyNumberFormat="1"/>
    <xf numFmtId="165" fontId="1" fillId="0" borderId="0" xfId="0" applyNumberFormat="1" applyFont="1"/>
    <xf numFmtId="9" fontId="0" fillId="0" borderId="0" xfId="2" applyFont="1"/>
    <xf numFmtId="10" fontId="0" fillId="0" borderId="0" xfId="0" applyNumberFormat="1"/>
    <xf numFmtId="0" fontId="9" fillId="0" borderId="0" xfId="0" applyFont="1"/>
    <xf numFmtId="10" fontId="1" fillId="0" borderId="0" xfId="2" applyNumberFormat="1" applyFont="1" applyFill="1"/>
    <xf numFmtId="0" fontId="2" fillId="2" borderId="0" xfId="0" applyFont="1" applyFill="1"/>
    <xf numFmtId="167" fontId="0" fillId="0" borderId="0" xfId="0" applyNumberFormat="1"/>
    <xf numFmtId="4" fontId="0" fillId="0" borderId="0" xfId="0" applyNumberFormat="1"/>
    <xf numFmtId="0" fontId="0" fillId="0" borderId="0" xfId="0" applyFill="1"/>
    <xf numFmtId="166" fontId="0" fillId="3" borderId="0" xfId="2" applyNumberFormat="1" applyFont="1" applyFill="1"/>
    <xf numFmtId="0" fontId="2" fillId="0" borderId="0" xfId="0" applyFont="1" applyFill="1"/>
    <xf numFmtId="167" fontId="0" fillId="0" borderId="0" xfId="0" applyNumberFormat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165" fontId="0" fillId="0" borderId="0" xfId="0" applyNumberFormat="1" applyFont="1"/>
    <xf numFmtId="167" fontId="0" fillId="2" borderId="0" xfId="0" applyNumberFormat="1" applyFont="1" applyFill="1"/>
    <xf numFmtId="167" fontId="0" fillId="0" borderId="0" xfId="0" applyNumberFormat="1" applyFont="1" applyFill="1"/>
    <xf numFmtId="0" fontId="0" fillId="0" borderId="0" xfId="0" applyFont="1"/>
    <xf numFmtId="9" fontId="1" fillId="2" borderId="0" xfId="2" applyFont="1" applyFill="1"/>
    <xf numFmtId="0" fontId="0" fillId="3" borderId="0" xfId="0" applyFill="1"/>
    <xf numFmtId="167" fontId="0" fillId="3" borderId="0" xfId="0" applyNumberFormat="1" applyFill="1"/>
    <xf numFmtId="165" fontId="0" fillId="3" borderId="0" xfId="0" applyNumberFormat="1" applyFill="1"/>
    <xf numFmtId="9" fontId="0" fillId="0" borderId="0" xfId="0" applyNumberFormat="1"/>
    <xf numFmtId="166" fontId="1" fillId="2" borderId="0" xfId="2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428625</xdr:colOff>
      <xdr:row>12</xdr:row>
      <xdr:rowOff>114300</xdr:rowOff>
    </xdr:from>
    <xdr:to>
      <xdr:col>25</xdr:col>
      <xdr:colOff>425450</xdr:colOff>
      <xdr:row>39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89540-F345-4A90-9331-946C93DB87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2286000"/>
          <a:ext cx="6188075" cy="4930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F59A-9D14-4F45-9923-ABC8586F2101}">
  <dimension ref="B1:P42"/>
  <sheetViews>
    <sheetView topLeftCell="F10" workbookViewId="0">
      <selection activeCell="H17" sqref="H17"/>
    </sheetView>
  </sheetViews>
  <sheetFormatPr defaultColWidth="8.81640625" defaultRowHeight="14.5" x14ac:dyDescent="0.35"/>
  <cols>
    <col min="3" max="3" width="28" customWidth="1"/>
    <col min="7" max="7" width="9.6328125" customWidth="1"/>
    <col min="8" max="8" width="10.6328125" customWidth="1"/>
    <col min="9" max="9" width="10" customWidth="1"/>
  </cols>
  <sheetData>
    <row r="1" spans="3:15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</row>
    <row r="2" spans="3:15" x14ac:dyDescent="0.35">
      <c r="D2" t="s">
        <v>8</v>
      </c>
    </row>
    <row r="3" spans="3:15" x14ac:dyDescent="0.35">
      <c r="D3" t="s">
        <v>55</v>
      </c>
    </row>
    <row r="4" spans="3:15" x14ac:dyDescent="0.35">
      <c r="D4" t="s">
        <v>56</v>
      </c>
    </row>
    <row r="5" spans="3:15" x14ac:dyDescent="0.35">
      <c r="D5" t="s">
        <v>57</v>
      </c>
    </row>
    <row r="6" spans="3:15" x14ac:dyDescent="0.35">
      <c r="D6" t="s">
        <v>58</v>
      </c>
    </row>
    <row r="7" spans="3:15" x14ac:dyDescent="0.35">
      <c r="D7" t="s">
        <v>0</v>
      </c>
    </row>
    <row r="8" spans="3:15" x14ac:dyDescent="0.35">
      <c r="D8" t="s">
        <v>1</v>
      </c>
    </row>
    <row r="9" spans="3:15" x14ac:dyDescent="0.35">
      <c r="D9" t="s">
        <v>2</v>
      </c>
    </row>
    <row r="10" spans="3:15" x14ac:dyDescent="0.35">
      <c r="D10" t="s">
        <v>3</v>
      </c>
    </row>
    <row r="11" spans="3:15" x14ac:dyDescent="0.35">
      <c r="D11" t="s">
        <v>4</v>
      </c>
    </row>
    <row r="13" spans="3:15" x14ac:dyDescent="0.35">
      <c r="H13" s="5" t="s">
        <v>70</v>
      </c>
    </row>
    <row r="14" spans="3:15" x14ac:dyDescent="0.35">
      <c r="D14" t="s">
        <v>5</v>
      </c>
      <c r="H14" t="s">
        <v>69</v>
      </c>
    </row>
    <row r="15" spans="3:15" x14ac:dyDescent="0.35">
      <c r="C15" t="s">
        <v>10</v>
      </c>
      <c r="D15" t="s">
        <v>9</v>
      </c>
    </row>
    <row r="16" spans="3:15" x14ac:dyDescent="0.35">
      <c r="C16" t="s">
        <v>11</v>
      </c>
      <c r="D16" t="s">
        <v>12</v>
      </c>
      <c r="H16" t="s">
        <v>71</v>
      </c>
    </row>
    <row r="17" spans="2:16" x14ac:dyDescent="0.35">
      <c r="C17" t="s">
        <v>43</v>
      </c>
      <c r="D17" t="s">
        <v>13</v>
      </c>
    </row>
    <row r="18" spans="2:16" x14ac:dyDescent="0.35">
      <c r="C18" t="s">
        <v>14</v>
      </c>
      <c r="D18" t="s">
        <v>28</v>
      </c>
      <c r="H18" s="4" t="s">
        <v>6</v>
      </c>
      <c r="I18" s="4"/>
      <c r="J18" s="4"/>
      <c r="K18" s="4"/>
    </row>
    <row r="19" spans="2:16" x14ac:dyDescent="0.35">
      <c r="B19" s="6" t="s">
        <v>16</v>
      </c>
      <c r="C19" t="s">
        <v>44</v>
      </c>
      <c r="D19" t="s">
        <v>31</v>
      </c>
      <c r="H19" t="s">
        <v>0</v>
      </c>
      <c r="I19">
        <v>0.95699999999999996</v>
      </c>
      <c r="P19" s="1"/>
    </row>
    <row r="20" spans="2:16" x14ac:dyDescent="0.35">
      <c r="C20" t="s">
        <v>42</v>
      </c>
      <c r="D20" t="s">
        <v>41</v>
      </c>
      <c r="H20" t="s">
        <v>1</v>
      </c>
      <c r="I20">
        <v>0.78300000000000003</v>
      </c>
      <c r="P20" s="1"/>
    </row>
    <row r="21" spans="2:16" x14ac:dyDescent="0.35">
      <c r="C21" t="s">
        <v>45</v>
      </c>
      <c r="D21" t="s">
        <v>15</v>
      </c>
      <c r="H21" t="s">
        <v>2</v>
      </c>
      <c r="I21">
        <v>0.59599999999999997</v>
      </c>
      <c r="P21" s="1"/>
    </row>
    <row r="22" spans="2:16" x14ac:dyDescent="0.35">
      <c r="C22" t="s">
        <v>54</v>
      </c>
      <c r="D22" t="s">
        <v>32</v>
      </c>
      <c r="H22" t="s">
        <v>3</v>
      </c>
      <c r="I22">
        <v>0.46</v>
      </c>
      <c r="P22" s="1"/>
    </row>
    <row r="23" spans="2:16" x14ac:dyDescent="0.35">
      <c r="C23" t="s">
        <v>53</v>
      </c>
      <c r="D23" t="s">
        <v>46</v>
      </c>
      <c r="P23" s="2"/>
    </row>
    <row r="24" spans="2:16" x14ac:dyDescent="0.35">
      <c r="D24" t="s">
        <v>29</v>
      </c>
      <c r="H24" t="s">
        <v>7</v>
      </c>
      <c r="P24" s="3"/>
    </row>
    <row r="25" spans="2:16" x14ac:dyDescent="0.35">
      <c r="D25" t="s">
        <v>33</v>
      </c>
      <c r="H25" t="s">
        <v>0</v>
      </c>
      <c r="I25">
        <v>9.4E-2</v>
      </c>
      <c r="P25" s="3"/>
    </row>
    <row r="26" spans="2:16" x14ac:dyDescent="0.35">
      <c r="C26" t="s">
        <v>52</v>
      </c>
      <c r="D26" t="s">
        <v>47</v>
      </c>
      <c r="H26" t="s">
        <v>1</v>
      </c>
      <c r="I26">
        <v>0.14199999999999999</v>
      </c>
      <c r="P26" s="3"/>
    </row>
    <row r="27" spans="2:16" x14ac:dyDescent="0.35">
      <c r="C27" t="s">
        <v>51</v>
      </c>
      <c r="D27" t="s">
        <v>48</v>
      </c>
      <c r="H27" t="s">
        <v>2</v>
      </c>
      <c r="I27">
        <v>0.57999999999999996</v>
      </c>
      <c r="P27" s="3"/>
    </row>
    <row r="28" spans="2:16" x14ac:dyDescent="0.35">
      <c r="C28" t="s">
        <v>50</v>
      </c>
      <c r="D28" t="s">
        <v>49</v>
      </c>
      <c r="H28" t="s">
        <v>3</v>
      </c>
      <c r="I28">
        <v>0.184</v>
      </c>
    </row>
    <row r="33" spans="4:14" x14ac:dyDescent="0.35"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</row>
    <row r="34" spans="4:14" x14ac:dyDescent="0.35">
      <c r="E34" t="s">
        <v>17</v>
      </c>
      <c r="F34" t="s">
        <v>26</v>
      </c>
      <c r="G34" t="s">
        <v>9</v>
      </c>
    </row>
    <row r="35" spans="4:14" x14ac:dyDescent="0.35">
      <c r="E35" t="s">
        <v>18</v>
      </c>
      <c r="G35" t="s">
        <v>27</v>
      </c>
      <c r="H35" t="s">
        <v>28</v>
      </c>
      <c r="K35" t="s">
        <v>12</v>
      </c>
    </row>
    <row r="36" spans="4:14" x14ac:dyDescent="0.35">
      <c r="D36" t="s">
        <v>30</v>
      </c>
      <c r="E36" t="s">
        <v>19</v>
      </c>
      <c r="H36" t="s">
        <v>36</v>
      </c>
      <c r="I36" t="s">
        <v>15</v>
      </c>
      <c r="L36" t="s">
        <v>31</v>
      </c>
    </row>
    <row r="37" spans="4:14" x14ac:dyDescent="0.35">
      <c r="E37" t="s">
        <v>20</v>
      </c>
      <c r="I37" t="s">
        <v>35</v>
      </c>
      <c r="J37" t="s">
        <v>29</v>
      </c>
      <c r="M37" t="s">
        <v>32</v>
      </c>
    </row>
    <row r="38" spans="4:14" x14ac:dyDescent="0.35">
      <c r="E38" t="s">
        <v>21</v>
      </c>
      <c r="J38" t="s">
        <v>34</v>
      </c>
      <c r="N38" t="s">
        <v>33</v>
      </c>
    </row>
    <row r="39" spans="4:14" x14ac:dyDescent="0.35">
      <c r="E39" t="s">
        <v>22</v>
      </c>
      <c r="K39" t="s">
        <v>37</v>
      </c>
    </row>
    <row r="40" spans="4:14" x14ac:dyDescent="0.35">
      <c r="E40" t="s">
        <v>23</v>
      </c>
      <c r="L40" t="s">
        <v>38</v>
      </c>
    </row>
    <row r="41" spans="4:14" x14ac:dyDescent="0.35">
      <c r="E41" t="s">
        <v>24</v>
      </c>
      <c r="M41" t="s">
        <v>39</v>
      </c>
    </row>
    <row r="42" spans="4:14" x14ac:dyDescent="0.35">
      <c r="E42" t="s">
        <v>25</v>
      </c>
      <c r="N42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0BDA-32A8-4300-9E1F-7246C9406CC6}">
  <dimension ref="B2:Y51"/>
  <sheetViews>
    <sheetView topLeftCell="B4" workbookViewId="0">
      <selection activeCell="F37" sqref="F37:O37"/>
    </sheetView>
  </sheetViews>
  <sheetFormatPr defaultColWidth="8.81640625" defaultRowHeight="14.5" x14ac:dyDescent="0.35"/>
  <cols>
    <col min="6" max="8" width="10.6328125" bestFit="1" customWidth="1"/>
    <col min="9" max="9" width="9.1796875" customWidth="1"/>
    <col min="10" max="10" width="10.6328125" bestFit="1" customWidth="1"/>
    <col min="11" max="11" width="13.1796875" customWidth="1"/>
    <col min="12" max="12" width="12.81640625" customWidth="1"/>
    <col min="13" max="13" width="12.36328125" customWidth="1"/>
    <col min="14" max="14" width="11.6328125" customWidth="1"/>
    <col min="15" max="15" width="11.1796875" customWidth="1"/>
    <col min="23" max="23" width="13.08984375" customWidth="1"/>
    <col min="24" max="24" width="10.81640625" bestFit="1" customWidth="1"/>
  </cols>
  <sheetData>
    <row r="2" spans="2:25" x14ac:dyDescent="0.35">
      <c r="B2" s="12" t="s">
        <v>77</v>
      </c>
      <c r="C2" s="12"/>
      <c r="D2" s="12"/>
      <c r="E2" s="12"/>
      <c r="F2" s="12"/>
      <c r="G2" s="12"/>
      <c r="H2" s="12"/>
    </row>
    <row r="3" spans="2:25" x14ac:dyDescent="0.35">
      <c r="Q3" s="9" t="s">
        <v>67</v>
      </c>
      <c r="X3" t="s">
        <v>105</v>
      </c>
    </row>
    <row r="4" spans="2:25" x14ac:dyDescent="0.35">
      <c r="B4" s="9"/>
      <c r="C4" s="9">
        <v>2020</v>
      </c>
      <c r="D4" s="9">
        <v>2021</v>
      </c>
      <c r="E4" s="9">
        <v>2022</v>
      </c>
      <c r="F4" s="9">
        <v>2023</v>
      </c>
      <c r="G4" s="9">
        <v>2024</v>
      </c>
      <c r="H4" s="9">
        <v>2025</v>
      </c>
      <c r="I4" s="9">
        <v>2026</v>
      </c>
      <c r="J4" s="9">
        <v>2027</v>
      </c>
      <c r="K4" s="9">
        <v>2028</v>
      </c>
      <c r="L4" s="9">
        <v>2029</v>
      </c>
      <c r="M4" s="9">
        <v>2030</v>
      </c>
      <c r="N4" s="9">
        <v>2031</v>
      </c>
      <c r="Q4" t="s">
        <v>9</v>
      </c>
      <c r="R4">
        <v>4.6000000000000001E-4</v>
      </c>
      <c r="S4" s="20" t="s">
        <v>97</v>
      </c>
      <c r="X4" s="36" t="s">
        <v>101</v>
      </c>
      <c r="Y4">
        <v>4.3239999999999999E-5</v>
      </c>
    </row>
    <row r="5" spans="2:25" x14ac:dyDescent="0.35">
      <c r="B5" t="s">
        <v>8</v>
      </c>
      <c r="C5" s="23">
        <f>1-C47-C48</f>
        <v>0.98942999999999992</v>
      </c>
      <c r="D5" s="23">
        <f>C5-(C5*$R$4)-(C5*$R$5)</f>
        <v>0.9828799734</v>
      </c>
      <c r="E5" s="23">
        <f t="shared" ref="E5:N5" si="0">D5-(D5*$R$4)-(D5*$R$5)</f>
        <v>0.97637330797609201</v>
      </c>
      <c r="F5" s="23">
        <f t="shared" si="0"/>
        <v>0.9699097166772902</v>
      </c>
      <c r="G5" s="23">
        <f t="shared" si="0"/>
        <v>0.96348891435288653</v>
      </c>
      <c r="H5" s="23">
        <f t="shared" si="0"/>
        <v>0.95711061773987038</v>
      </c>
      <c r="I5" s="23">
        <f t="shared" si="0"/>
        <v>0.9507745454504325</v>
      </c>
      <c r="J5" s="23">
        <f t="shared" si="0"/>
        <v>0.94448041795955062</v>
      </c>
      <c r="K5" s="23">
        <f t="shared" si="0"/>
        <v>0.93822795759265842</v>
      </c>
      <c r="L5" s="23">
        <f t="shared" si="0"/>
        <v>0.93201688851339504</v>
      </c>
      <c r="M5" s="23">
        <f t="shared" si="0"/>
        <v>0.92584693671143636</v>
      </c>
      <c r="N5" s="23">
        <f t="shared" si="0"/>
        <v>0.91971782999040663</v>
      </c>
      <c r="Q5" t="s">
        <v>49</v>
      </c>
      <c r="R5">
        <v>6.1599999999999997E-3</v>
      </c>
      <c r="S5" s="20" t="s">
        <v>98</v>
      </c>
      <c r="X5" s="36" t="s">
        <v>102</v>
      </c>
      <c r="Y5">
        <v>6.5319999999999991E-5</v>
      </c>
    </row>
    <row r="6" spans="2:25" x14ac:dyDescent="0.35">
      <c r="B6" t="s">
        <v>0</v>
      </c>
      <c r="C6" s="23">
        <f>$C$47*C42</f>
        <v>4.1453999999999997E-4</v>
      </c>
      <c r="D6" s="23">
        <f>C6+(C5*$Y$4)-(C6*$R$6)-(C6*$R$9)</f>
        <v>3.7223613278137543E-4</v>
      </c>
      <c r="E6" s="23">
        <f t="shared" ref="E6:N6" si="1">D6+(D5*$Y$4)-(D6*$R$6)-(D6*$R$9)</f>
        <v>3.3833216479652126E-4</v>
      </c>
      <c r="F6" s="29">
        <f>E6+(E5*$Y$4)-(E6*$R$6)-(E6*$R$9)</f>
        <v>3.111058413024718E-4</v>
      </c>
      <c r="G6" s="23">
        <f t="shared" si="1"/>
        <v>2.8918839825613175E-4</v>
      </c>
      <c r="H6" s="23">
        <f t="shared" si="1"/>
        <v>2.7149200631090478E-4</v>
      </c>
      <c r="I6" s="23">
        <f t="shared" si="1"/>
        <v>2.5715210736748743E-4</v>
      </c>
      <c r="J6" s="23">
        <f t="shared" si="1"/>
        <v>2.4548158689279925E-4</v>
      </c>
      <c r="K6" s="23">
        <f t="shared" si="1"/>
        <v>2.3593435264468085E-4</v>
      </c>
      <c r="L6" s="23">
        <f t="shared" si="1"/>
        <v>2.2807638908118187E-4</v>
      </c>
      <c r="M6" s="23">
        <f t="shared" si="1"/>
        <v>2.2156275302535934E-4</v>
      </c>
      <c r="N6" s="23">
        <f t="shared" si="1"/>
        <v>2.1611929110727489E-4</v>
      </c>
      <c r="Q6" t="s">
        <v>28</v>
      </c>
      <c r="R6">
        <v>0.19</v>
      </c>
      <c r="X6" s="36" t="s">
        <v>103</v>
      </c>
      <c r="Y6">
        <v>2.6679999999999998E-4</v>
      </c>
    </row>
    <row r="7" spans="2:25" x14ac:dyDescent="0.35">
      <c r="B7" t="s">
        <v>1</v>
      </c>
      <c r="C7" s="23">
        <f t="shared" ref="C7:C9" si="2">$C$47*C43</f>
        <v>6.2621999999999992E-4</v>
      </c>
      <c r="D7" s="23">
        <f>C7+(C6*$R$6)-(C7*$R$7)-(C7*$R$10)+(C5*$Y$5)</f>
        <v>5.4551902841434852E-4</v>
      </c>
      <c r="E7" s="23">
        <f t="shared" ref="E7:N7" si="3">D7+(D6*$R$6)-(D7*$R$7)-(D7*$R$10)+(D5*$Y$5)</f>
        <v>4.8523135723293678E-4</v>
      </c>
      <c r="F7" s="29">
        <f t="shared" si="3"/>
        <v>4.3965088993602763E-4</v>
      </c>
      <c r="G7" s="23">
        <f t="shared" si="3"/>
        <v>4.0478621233676376E-4</v>
      </c>
      <c r="H7" s="23">
        <f t="shared" si="3"/>
        <v>3.7781415601063765E-4</v>
      </c>
      <c r="I7" s="23">
        <f t="shared" si="3"/>
        <v>3.5671511868267574E-4</v>
      </c>
      <c r="J7" s="23">
        <f t="shared" si="3"/>
        <v>3.4002792933970449E-4</v>
      </c>
      <c r="K7" s="23">
        <f t="shared" si="3"/>
        <v>3.2668372772418346E-4</v>
      </c>
      <c r="L7" s="23">
        <f t="shared" si="3"/>
        <v>3.1589237009087246E-4</v>
      </c>
      <c r="M7" s="23">
        <f t="shared" si="3"/>
        <v>3.0706398505706955E-4</v>
      </c>
      <c r="N7" s="23">
        <f t="shared" si="3"/>
        <v>2.9975422990646388E-4</v>
      </c>
      <c r="Q7" t="s">
        <v>15</v>
      </c>
      <c r="R7">
        <v>0.33</v>
      </c>
      <c r="X7" s="36" t="s">
        <v>104</v>
      </c>
      <c r="Y7">
        <v>8.4640000000000003E-5</v>
      </c>
    </row>
    <row r="8" spans="2:25" x14ac:dyDescent="0.35">
      <c r="B8" t="s">
        <v>2</v>
      </c>
      <c r="C8" s="23">
        <f t="shared" si="2"/>
        <v>2.5577999999999998E-3</v>
      </c>
      <c r="D8" s="23">
        <f>C8+(C7*$R$7)-(C8*$R$8)-(C8*$R$11)+(C5*$Y$6)</f>
        <v>1.668057032861275E-3</v>
      </c>
      <c r="E8" s="23">
        <f t="shared" ref="E8:N8" si="4">D8+(D7*$R$7)-(D8*$R$8)-(D8*$R$11)+(D5*$Y$6)</f>
        <v>1.2231483209629843E-3</v>
      </c>
      <c r="F8" s="23">
        <f t="shared" si="4"/>
        <v>9.9323506074591966E-4</v>
      </c>
      <c r="G8" s="23">
        <f t="shared" si="4"/>
        <v>8.6883598703196721E-4</v>
      </c>
      <c r="H8" s="23">
        <f t="shared" si="4"/>
        <v>7.9738061201261408E-4</v>
      </c>
      <c r="I8" s="23">
        <f t="shared" si="4"/>
        <v>7.5332653717582109E-4</v>
      </c>
      <c r="J8" s="23">
        <f t="shared" si="4"/>
        <v>7.2404964031147663E-4</v>
      </c>
      <c r="K8" s="23">
        <f t="shared" si="4"/>
        <v>7.0315772478466874E-4</v>
      </c>
      <c r="L8" s="23">
        <f t="shared" si="4"/>
        <v>6.8730550966643756E-4</v>
      </c>
      <c r="M8" s="23">
        <f t="shared" si="4"/>
        <v>6.7466609316558786E-4</v>
      </c>
      <c r="N8" s="23">
        <f t="shared" si="4"/>
        <v>6.6418948737534335E-4</v>
      </c>
      <c r="Q8" t="s">
        <v>29</v>
      </c>
      <c r="R8">
        <v>0.43</v>
      </c>
      <c r="T8" s="5" t="s">
        <v>87</v>
      </c>
    </row>
    <row r="9" spans="2:25" x14ac:dyDescent="0.35">
      <c r="B9" t="s">
        <v>3</v>
      </c>
      <c r="C9" s="23">
        <f t="shared" si="2"/>
        <v>8.1143999999999997E-4</v>
      </c>
      <c r="D9" s="23">
        <f>C9+(C8*$R$8)-(C9*$R$12)+(C5*$Y$7)</f>
        <v>1.7324688854013423E-3</v>
      </c>
      <c r="E9" s="23">
        <f t="shared" ref="E9:N9" si="5">D9+(D8*$R$8)-(D9*$R$12)+(D5*$Y$7)</f>
        <v>1.9723220226154983E-3</v>
      </c>
      <c r="F9" s="23">
        <f t="shared" si="5"/>
        <v>1.9427006178263323E-3</v>
      </c>
      <c r="G9" s="23">
        <f t="shared" si="5"/>
        <v>1.823254499043166E-3</v>
      </c>
      <c r="H9" s="23">
        <f t="shared" si="5"/>
        <v>1.6884243909715383E-3</v>
      </c>
      <c r="I9" s="23">
        <f t="shared" si="5"/>
        <v>1.5659577223709844E-3</v>
      </c>
      <c r="J9" s="23">
        <f t="shared" si="5"/>
        <v>1.4636399926091044E-3</v>
      </c>
      <c r="K9" s="23">
        <f t="shared" si="5"/>
        <v>1.3813090277237639E-3</v>
      </c>
      <c r="L9" s="23">
        <f t="shared" si="5"/>
        <v>1.3161064628903658E-3</v>
      </c>
      <c r="M9" s="23">
        <f t="shared" si="5"/>
        <v>1.2646603654355797E-3</v>
      </c>
      <c r="N9" s="23">
        <f t="shared" si="5"/>
        <v>1.2239043212895419E-3</v>
      </c>
      <c r="O9" s="5" t="s">
        <v>88</v>
      </c>
      <c r="Q9" s="5" t="s">
        <v>13</v>
      </c>
      <c r="R9">
        <f>T9/(1-($Q$18*R21))</f>
        <v>1.5255995606273264E-2</v>
      </c>
      <c r="T9">
        <v>0.01</v>
      </c>
      <c r="U9" t="s">
        <v>13</v>
      </c>
    </row>
    <row r="10" spans="2:25" x14ac:dyDescent="0.35">
      <c r="B10" t="s">
        <v>4</v>
      </c>
      <c r="C10" s="23">
        <f>C48</f>
        <v>6.1599999999999997E-3</v>
      </c>
      <c r="D10" s="23">
        <f t="shared" ref="D10:N10" si="6">C10+(C5*$R$5)+(C6*$R$9)+(C7*$R$10)+(C8*$R$11)+(C9*$R$12)</f>
        <v>1.2801745520541658E-2</v>
      </c>
      <c r="E10" s="23">
        <f t="shared" si="6"/>
        <v>1.9607658158300061E-2</v>
      </c>
      <c r="F10" s="23">
        <f t="shared" si="6"/>
        <v>2.640359091289898E-2</v>
      </c>
      <c r="G10" s="23">
        <f t="shared" si="6"/>
        <v>3.3125020550445375E-2</v>
      </c>
      <c r="H10" s="23">
        <f t="shared" si="6"/>
        <v>3.9754271094823823E-2</v>
      </c>
      <c r="I10" s="23">
        <f t="shared" si="6"/>
        <v>4.6292303063970489E-2</v>
      </c>
      <c r="J10" s="23">
        <f t="shared" si="6"/>
        <v>5.2746382891296233E-2</v>
      </c>
      <c r="K10" s="23">
        <f t="shared" si="6"/>
        <v>5.9124957574464239E-2</v>
      </c>
      <c r="L10" s="23">
        <f t="shared" si="6"/>
        <v>6.5435730754876062E-2</v>
      </c>
      <c r="M10" s="23">
        <f t="shared" si="6"/>
        <v>7.168511009188E-2</v>
      </c>
      <c r="N10" s="23">
        <f t="shared" si="6"/>
        <v>7.7878202679914688E-2</v>
      </c>
      <c r="Q10" s="5" t="s">
        <v>41</v>
      </c>
      <c r="R10">
        <f>T10/(1-($Q$18*R22))</f>
        <v>2.7850498523923579E-2</v>
      </c>
      <c r="T10">
        <v>0.02</v>
      </c>
      <c r="U10" t="s">
        <v>41</v>
      </c>
    </row>
    <row r="11" spans="2:25" x14ac:dyDescent="0.35">
      <c r="B11" t="s">
        <v>68</v>
      </c>
      <c r="C11" s="23">
        <f>SUM(C5:C10)</f>
        <v>1</v>
      </c>
      <c r="D11" s="23">
        <f t="shared" ref="D11:M11" si="7">SUM(D5:D10)</f>
        <v>1</v>
      </c>
      <c r="E11" s="23">
        <f t="shared" si="7"/>
        <v>0.99999999999999989</v>
      </c>
      <c r="F11" s="23">
        <f t="shared" si="7"/>
        <v>0.99999999999999989</v>
      </c>
      <c r="G11" s="23">
        <f t="shared" si="7"/>
        <v>0.99999999999999989</v>
      </c>
      <c r="H11" s="23">
        <f t="shared" si="7"/>
        <v>1</v>
      </c>
      <c r="I11" s="23">
        <f t="shared" si="7"/>
        <v>1</v>
      </c>
      <c r="J11" s="23">
        <f t="shared" si="7"/>
        <v>0.99999999999999989</v>
      </c>
      <c r="K11" s="23">
        <f t="shared" si="7"/>
        <v>0.99999999999999989</v>
      </c>
      <c r="L11" s="23">
        <f t="shared" si="7"/>
        <v>1</v>
      </c>
      <c r="M11" s="23">
        <f t="shared" si="7"/>
        <v>1</v>
      </c>
      <c r="N11" s="23">
        <f t="shared" ref="N11" si="8">SUM(N5:N10)</f>
        <v>1</v>
      </c>
      <c r="Q11" s="5" t="s">
        <v>46</v>
      </c>
      <c r="R11">
        <f>T11/(1-($Q$18*R23))</f>
        <v>0.10185373803218578</v>
      </c>
      <c r="T11">
        <v>0.08</v>
      </c>
      <c r="U11" t="s">
        <v>46</v>
      </c>
    </row>
    <row r="12" spans="2:25" x14ac:dyDescent="0.35">
      <c r="Q12" s="5" t="s">
        <v>47</v>
      </c>
      <c r="R12">
        <f>T12/(1-($Q$18*R24))</f>
        <v>0.32358581016299137</v>
      </c>
      <c r="T12">
        <v>0.27</v>
      </c>
      <c r="U12" t="s">
        <v>47</v>
      </c>
    </row>
    <row r="13" spans="2:25" x14ac:dyDescent="0.35">
      <c r="B13" s="36" t="s">
        <v>100</v>
      </c>
      <c r="C13" s="36"/>
      <c r="D13" s="36"/>
      <c r="E13" s="36"/>
      <c r="F13" s="37">
        <v>0</v>
      </c>
      <c r="G13" s="37">
        <f>F5*$Y$4</f>
        <v>4.1938896149126027E-5</v>
      </c>
      <c r="H13" s="37">
        <f t="shared" ref="H13:M13" si="9">G5*$Y$4</f>
        <v>4.1661260656618813E-5</v>
      </c>
      <c r="I13" s="37">
        <f t="shared" si="9"/>
        <v>4.1385463111071997E-5</v>
      </c>
      <c r="J13" s="37">
        <f t="shared" si="9"/>
        <v>4.1111491345276701E-5</v>
      </c>
      <c r="K13" s="37">
        <f t="shared" si="9"/>
        <v>4.0839333272570971E-5</v>
      </c>
      <c r="L13" s="37">
        <f t="shared" si="9"/>
        <v>4.056897688630655E-5</v>
      </c>
      <c r="M13" s="37">
        <f t="shared" si="9"/>
        <v>4.0300410259319203E-5</v>
      </c>
      <c r="N13" s="37">
        <f t="shared" ref="N13" si="10">M5*$Y$4</f>
        <v>4.0033621543402508E-5</v>
      </c>
      <c r="Q13" s="5"/>
      <c r="X13">
        <f>$R$4*C42</f>
        <v>4.3239999999999999E-5</v>
      </c>
    </row>
    <row r="14" spans="2:25" x14ac:dyDescent="0.35">
      <c r="B14" s="11" t="s">
        <v>81</v>
      </c>
      <c r="C14" s="11"/>
      <c r="D14" s="11"/>
      <c r="E14" s="11"/>
      <c r="F14" s="29">
        <f>F6</f>
        <v>3.111058413024718E-4</v>
      </c>
      <c r="G14" s="23">
        <f>F14-(F14*$R$6)-(F14*$R$9)</f>
        <v>2.4724950210700572E-4</v>
      </c>
      <c r="H14" s="23">
        <f>(G14+G13)-((G14+G13)*$R$6)-((G14+G13)*$R$9)</f>
        <v>2.2983074565428597E-4</v>
      </c>
      <c r="I14" s="23">
        <f t="shared" ref="I14:N14" si="11">(H14+H13)-((H14+H13)*$R$6)-((H14+H13)*$R$9)</f>
        <v>2.1576664425641538E-4</v>
      </c>
      <c r="J14" s="23">
        <f t="shared" si="11"/>
        <v>2.0437009554752247E-4</v>
      </c>
      <c r="K14" s="23">
        <f t="shared" si="11"/>
        <v>1.9509501937210982E-4</v>
      </c>
      <c r="L14" s="23">
        <f t="shared" si="11"/>
        <v>1.8750741219487527E-4</v>
      </c>
      <c r="M14" s="23">
        <f t="shared" si="11"/>
        <v>1.8126234276604007E-4</v>
      </c>
      <c r="N14" s="23">
        <f t="shared" si="11"/>
        <v>1.7608566956387232E-4</v>
      </c>
      <c r="X14">
        <f>$R$4*C43</f>
        <v>6.5319999999999991E-5</v>
      </c>
    </row>
    <row r="15" spans="2:25" x14ac:dyDescent="0.35">
      <c r="B15" s="11" t="s">
        <v>73</v>
      </c>
      <c r="C15" s="11"/>
      <c r="D15" s="11"/>
      <c r="E15" s="11"/>
      <c r="F15" s="23">
        <v>0</v>
      </c>
      <c r="G15" s="23">
        <f>F14*$R$6</f>
        <v>5.9110109847469643E-5</v>
      </c>
      <c r="H15" s="23">
        <f>(G14+G13)*$R$6</f>
        <v>5.4945795668665032E-5</v>
      </c>
      <c r="I15" s="23">
        <f t="shared" ref="I15:N15" si="12">(H14+H13)*$R$6</f>
        <v>5.1583481199071912E-5</v>
      </c>
      <c r="J15" s="23">
        <f t="shared" si="12"/>
        <v>4.8858900399822598E-5</v>
      </c>
      <c r="K15" s="23">
        <f t="shared" si="12"/>
        <v>4.6641501509631847E-5</v>
      </c>
      <c r="L15" s="23">
        <f t="shared" si="12"/>
        <v>4.4827527002489353E-5</v>
      </c>
      <c r="M15" s="23">
        <f t="shared" si="12"/>
        <v>4.3334513925424544E-5</v>
      </c>
      <c r="N15" s="23">
        <f t="shared" si="12"/>
        <v>4.2096923074818261E-5</v>
      </c>
      <c r="X15">
        <f>$R$4*C44</f>
        <v>2.6679999999999998E-4</v>
      </c>
    </row>
    <row r="16" spans="2:25" x14ac:dyDescent="0.35">
      <c r="B16" s="11" t="s">
        <v>109</v>
      </c>
      <c r="C16" s="11"/>
      <c r="D16" s="11"/>
      <c r="E16" s="11"/>
      <c r="F16" s="37">
        <v>0</v>
      </c>
      <c r="G16" s="37">
        <f>F5*$Y$5</f>
        <v>6.3354502693360588E-5</v>
      </c>
      <c r="H16" s="37">
        <f t="shared" ref="H16:M16" si="13">G5*$Y$5</f>
        <v>6.2935095885530533E-5</v>
      </c>
      <c r="I16" s="37">
        <f t="shared" si="13"/>
        <v>6.2518465550768319E-5</v>
      </c>
      <c r="J16" s="37">
        <f t="shared" si="13"/>
        <v>6.2104593308822238E-5</v>
      </c>
      <c r="K16" s="37">
        <f t="shared" si="13"/>
        <v>6.1693460901117843E-5</v>
      </c>
      <c r="L16" s="37">
        <f t="shared" si="13"/>
        <v>6.1285050189952434E-5</v>
      </c>
      <c r="M16" s="37">
        <f t="shared" si="13"/>
        <v>6.0879343157694959E-5</v>
      </c>
      <c r="N16" s="37">
        <f t="shared" ref="N16" si="14">M5*$Y$5</f>
        <v>6.0476321905991014E-5</v>
      </c>
      <c r="X16">
        <f>$R$4*C45</f>
        <v>8.4640000000000003E-5</v>
      </c>
    </row>
    <row r="17" spans="2:23" x14ac:dyDescent="0.35">
      <c r="B17" s="11" t="s">
        <v>82</v>
      </c>
      <c r="C17" s="11"/>
      <c r="D17" s="11"/>
      <c r="E17" s="11"/>
      <c r="F17" s="29">
        <f>F7</f>
        <v>4.3965088993602763E-4</v>
      </c>
      <c r="G17" s="23">
        <f t="shared" ref="G17:N17" si="15">(F17+F15)-((F17+F15)*$R$10)-((F17+F15)*$R$7)</f>
        <v>2.823215997959335E-4</v>
      </c>
      <c r="H17" s="23">
        <f>(G17+G16+G15)-((G17+G16+G15)*$R$10)-((G17+G16+G15)*$R$7)</f>
        <v>2.5993326445644205E-4</v>
      </c>
      <c r="I17" s="23">
        <f t="shared" si="15"/>
        <v>2.02199431484593E-4</v>
      </c>
      <c r="J17" s="23">
        <f t="shared" si="15"/>
        <v>1.6296657086296203E-4</v>
      </c>
      <c r="K17" s="23">
        <f t="shared" si="15"/>
        <v>1.3602362077133211E-4</v>
      </c>
      <c r="L17" s="23">
        <f t="shared" si="15"/>
        <v>1.1729831720978754E-4</v>
      </c>
      <c r="M17" s="23">
        <f t="shared" si="15"/>
        <v>1.0410903003730163E-4</v>
      </c>
      <c r="N17" s="23">
        <f t="shared" si="15"/>
        <v>9.4680798251530585E-5</v>
      </c>
      <c r="Q17" t="s">
        <v>72</v>
      </c>
    </row>
    <row r="18" spans="2:23" x14ac:dyDescent="0.35">
      <c r="B18" s="11" t="s">
        <v>74</v>
      </c>
      <c r="C18" s="11"/>
      <c r="D18" s="11"/>
      <c r="E18" s="11"/>
      <c r="F18" s="23">
        <v>0</v>
      </c>
      <c r="G18" s="23">
        <f>(F17+F15)*$R$7</f>
        <v>1.4508479367888913E-4</v>
      </c>
      <c r="H18" s="23">
        <f>(G17+G16+G15)*$R$7</f>
        <v>1.3357945007113202E-4</v>
      </c>
      <c r="I18" s="23">
        <f t="shared" ref="I18:N18" si="16">(H17+H15)*$R$7</f>
        <v>1.0391008984128534E-4</v>
      </c>
      <c r="J18" s="23">
        <f t="shared" si="16"/>
        <v>8.3748361185609414E-5</v>
      </c>
      <c r="K18" s="23">
        <f t="shared" si="16"/>
        <v>6.9902405516718928E-5</v>
      </c>
      <c r="L18" s="23">
        <f t="shared" si="16"/>
        <v>6.0279490352718109E-5</v>
      </c>
      <c r="M18" s="23">
        <f t="shared" si="16"/>
        <v>5.3501528590051383E-5</v>
      </c>
      <c r="N18" s="23">
        <f t="shared" si="16"/>
        <v>4.8656369507699642E-5</v>
      </c>
      <c r="Q18">
        <v>0.36</v>
      </c>
    </row>
    <row r="19" spans="2:23" x14ac:dyDescent="0.35">
      <c r="B19" s="11" t="s">
        <v>83</v>
      </c>
      <c r="C19" s="11"/>
      <c r="D19" s="11"/>
      <c r="E19" s="11"/>
      <c r="F19" s="23">
        <v>0</v>
      </c>
      <c r="G19" s="23">
        <f>F18-(F18*R11)-(F18*R8)</f>
        <v>0</v>
      </c>
      <c r="H19" s="23">
        <f t="shared" ref="H19:N19" si="17">(G19+G18)-((G19+G18)*$R$11)-((G19+G18)*$R$8)</f>
        <v>6.7920903829143514E-5</v>
      </c>
      <c r="I19" s="23">
        <f t="shared" si="17"/>
        <v>9.4331637463605653E-5</v>
      </c>
      <c r="J19" s="23">
        <f t="shared" si="17"/>
        <v>9.2806123603827496E-5</v>
      </c>
      <c r="K19" s="23">
        <f t="shared" si="17"/>
        <v>8.265332208782822E-5</v>
      </c>
      <c r="L19" s="23">
        <f t="shared" si="17"/>
        <v>7.1418393619848832E-5</v>
      </c>
      <c r="M19" s="23">
        <f t="shared" si="17"/>
        <v>6.1653872090828128E-5</v>
      </c>
      <c r="N19" s="23">
        <f t="shared" si="17"/>
        <v>5.3909570374159628E-5</v>
      </c>
    </row>
    <row r="20" spans="2:23" x14ac:dyDescent="0.35">
      <c r="B20" s="11" t="s">
        <v>75</v>
      </c>
      <c r="C20" s="11"/>
      <c r="D20" s="11"/>
      <c r="E20" s="11"/>
      <c r="F20" s="28">
        <v>0</v>
      </c>
      <c r="G20" s="23">
        <f>F18*R8</f>
        <v>0</v>
      </c>
      <c r="H20" s="23">
        <f>(G19+G18)*$R$8</f>
        <v>6.2386461281922323E-5</v>
      </c>
      <c r="I20" s="23">
        <f t="shared" ref="I20:N20" si="18">(H19+H18)*$R$8</f>
        <v>8.6645152177118476E-5</v>
      </c>
      <c r="J20" s="23">
        <f t="shared" si="18"/>
        <v>8.5243942741103129E-5</v>
      </c>
      <c r="K20" s="23">
        <f t="shared" si="18"/>
        <v>7.5918428459457868E-5</v>
      </c>
      <c r="L20" s="23">
        <f t="shared" si="18"/>
        <v>6.5598962869955281E-5</v>
      </c>
      <c r="M20" s="23">
        <f t="shared" si="18"/>
        <v>5.6630090108203788E-5</v>
      </c>
      <c r="N20" s="23">
        <f t="shared" si="18"/>
        <v>4.9516822292778192E-5</v>
      </c>
      <c r="Q20" t="s">
        <v>89</v>
      </c>
    </row>
    <row r="21" spans="2:23" x14ac:dyDescent="0.35">
      <c r="B21" s="11" t="s">
        <v>84</v>
      </c>
      <c r="C21" s="11"/>
      <c r="D21" s="11"/>
      <c r="E21" s="11"/>
      <c r="F21" s="28">
        <v>0</v>
      </c>
      <c r="G21" s="28">
        <v>0</v>
      </c>
      <c r="H21" s="23">
        <f>G20-(G20*R12)</f>
        <v>0</v>
      </c>
      <c r="I21" s="23">
        <f>(H20+H21)-((H20+H21)*$R$12)</f>
        <v>4.2199087664809392E-5</v>
      </c>
      <c r="J21" s="23">
        <f>(I20+I21)-((I20+I21)*$R$12)</f>
        <v>8.7152072107842871E-5</v>
      </c>
      <c r="K21" s="23">
        <f>(J20+J21)-((J20+J21)*$R$12)</f>
        <v>1.1661111071517872E-4</v>
      </c>
      <c r="L21" s="23">
        <f>(K20+K21)-((K20+K21)*$R$12)</f>
        <v>1.3022971226050442E-4</v>
      </c>
      <c r="M21" s="23">
        <f>(L20+L21)-((L20+L21)*$R$12)</f>
        <v>1.3246129463522464E-4</v>
      </c>
      <c r="N21" s="23">
        <f>(M20+M21)-((M20+M21)*$R$12)</f>
        <v>1.2790409581638423E-4</v>
      </c>
      <c r="Q21" t="s">
        <v>0</v>
      </c>
      <c r="R21">
        <v>0.95699999999999996</v>
      </c>
    </row>
    <row r="22" spans="2:23" x14ac:dyDescent="0.35">
      <c r="B22" s="11" t="s">
        <v>78</v>
      </c>
      <c r="C22" s="11"/>
      <c r="D22" s="11"/>
      <c r="E22" s="11"/>
      <c r="F22" s="23">
        <v>0</v>
      </c>
      <c r="G22" s="23">
        <f t="shared" ref="G22" si="19">F14*$R$9</f>
        <v>4.7462293479964574E-6</v>
      </c>
      <c r="H22" s="23">
        <f>(G14+G13)*$R$9</f>
        <v>4.4118569331807488E-6</v>
      </c>
      <c r="I22" s="23">
        <f t="shared" ref="I22:N22" si="20">(H14+H13)*$R$9</f>
        <v>4.1418808554174769E-6</v>
      </c>
      <c r="J22" s="23">
        <f t="shared" si="20"/>
        <v>3.9231114201422983E-6</v>
      </c>
      <c r="K22" s="23">
        <f t="shared" si="20"/>
        <v>3.745066011057533E-6</v>
      </c>
      <c r="L22" s="23">
        <f t="shared" si="20"/>
        <v>3.599413447316177E-6</v>
      </c>
      <c r="M22" s="23">
        <f t="shared" si="20"/>
        <v>3.4795323897171811E-6</v>
      </c>
      <c r="N22" s="23">
        <f t="shared" si="20"/>
        <v>3.3801603866686892E-6</v>
      </c>
      <c r="Q22" t="s">
        <v>1</v>
      </c>
      <c r="R22">
        <v>0.78300000000000003</v>
      </c>
    </row>
    <row r="23" spans="2:23" x14ac:dyDescent="0.35">
      <c r="B23" s="11" t="s">
        <v>79</v>
      </c>
      <c r="C23" s="11"/>
      <c r="D23" s="11"/>
      <c r="E23" s="11"/>
      <c r="F23" s="23">
        <v>0</v>
      </c>
      <c r="G23" s="23">
        <f t="shared" ref="G23:N23" si="21">(F17+F15)*$R$10</f>
        <v>1.2244496461205025E-5</v>
      </c>
      <c r="H23" s="23">
        <f>(G17+G16+G15)*$R$10</f>
        <v>1.1273497809189655E-5</v>
      </c>
      <c r="I23" s="23">
        <f t="shared" si="21"/>
        <v>8.769538799228739E-6</v>
      </c>
      <c r="J23" s="23">
        <f t="shared" si="21"/>
        <v>7.0679806350934354E-6</v>
      </c>
      <c r="K23" s="23">
        <f t="shared" si="21"/>
        <v>5.8994449747335997E-6</v>
      </c>
      <c r="L23" s="23">
        <f t="shared" si="21"/>
        <v>5.0873147184583073E-6</v>
      </c>
      <c r="M23" s="23">
        <f t="shared" si="21"/>
        <v>4.5152855849238817E-6</v>
      </c>
      <c r="N23" s="23">
        <f t="shared" si="21"/>
        <v>4.106376203495967E-6</v>
      </c>
      <c r="Q23" t="s">
        <v>2</v>
      </c>
      <c r="R23">
        <v>0.59599999999999997</v>
      </c>
      <c r="U23" s="5"/>
      <c r="V23" s="5"/>
      <c r="W23" s="5"/>
    </row>
    <row r="24" spans="2:23" x14ac:dyDescent="0.35">
      <c r="B24" s="11" t="s">
        <v>80</v>
      </c>
      <c r="C24" s="11"/>
      <c r="D24" s="11"/>
      <c r="E24" s="11"/>
      <c r="F24" s="28">
        <v>0</v>
      </c>
      <c r="G24" s="23">
        <f>F18*R11</f>
        <v>0</v>
      </c>
      <c r="H24" s="23">
        <f>(G19+G18)*$R$11</f>
        <v>1.4777428567823297E-5</v>
      </c>
      <c r="I24" s="23">
        <f t="shared" ref="I24:N24" si="22">(H19+H18)*$R$11</f>
        <v>2.0523564259551389E-5</v>
      </c>
      <c r="J24" s="23">
        <f t="shared" si="22"/>
        <v>2.0191660959960378E-5</v>
      </c>
      <c r="K24" s="23">
        <f t="shared" si="22"/>
        <v>1.7982734242150836E-5</v>
      </c>
      <c r="L24" s="23">
        <f t="shared" si="22"/>
        <v>1.5538371114743038E-5</v>
      </c>
      <c r="M24" s="23">
        <f t="shared" si="22"/>
        <v>1.3413921773535032E-5</v>
      </c>
      <c r="N24" s="23">
        <f t="shared" si="22"/>
        <v>1.1729008013941691E-5</v>
      </c>
      <c r="Q24" t="s">
        <v>3</v>
      </c>
      <c r="R24">
        <v>0.46</v>
      </c>
      <c r="U24" s="5"/>
      <c r="V24" s="5"/>
      <c r="W24" s="5"/>
    </row>
    <row r="25" spans="2:23" x14ac:dyDescent="0.35">
      <c r="B25" s="11" t="s">
        <v>76</v>
      </c>
      <c r="C25" s="11"/>
      <c r="D25" s="11"/>
      <c r="E25" s="11"/>
      <c r="F25" s="28">
        <v>0</v>
      </c>
      <c r="G25" s="28">
        <v>0</v>
      </c>
      <c r="H25" s="23">
        <f>G20*R12</f>
        <v>0</v>
      </c>
      <c r="I25" s="23">
        <f>(H20+H21)*$R$12</f>
        <v>2.0187373617112927E-5</v>
      </c>
      <c r="J25" s="23">
        <f>(I20+I21)*$R$12</f>
        <v>4.1692167734085004E-5</v>
      </c>
      <c r="K25" s="23">
        <f>(J20+J21)*$R$12</f>
        <v>5.5784904133767285E-5</v>
      </c>
      <c r="L25" s="23">
        <f>(K20+K21)*$R$12</f>
        <v>6.229982691413216E-5</v>
      </c>
      <c r="M25" s="23">
        <f>(L20+L21)*$R$12</f>
        <v>6.3367380495235042E-5</v>
      </c>
      <c r="N25" s="23">
        <f>(M20+M21)*$R$12</f>
        <v>6.1187288927044191E-5</v>
      </c>
      <c r="U25" s="5"/>
      <c r="V25" s="5"/>
      <c r="W25" s="5"/>
    </row>
    <row r="26" spans="2:23" x14ac:dyDescent="0.35">
      <c r="B26" s="11" t="s">
        <v>86</v>
      </c>
      <c r="C26" s="11"/>
      <c r="D26" s="11"/>
      <c r="E26" s="11"/>
      <c r="F26" s="28">
        <v>0</v>
      </c>
      <c r="G26" s="23">
        <f>SUM(F22:F25)</f>
        <v>0</v>
      </c>
      <c r="H26" s="23">
        <f>SUM(G22:G26)</f>
        <v>1.6990725809201483E-5</v>
      </c>
      <c r="I26" s="23">
        <f t="shared" ref="I26:N26" si="23">SUM(H22:H26)</f>
        <v>4.7453509119395183E-5</v>
      </c>
      <c r="J26" s="23">
        <f t="shared" si="23"/>
        <v>1.0107586665070571E-4</v>
      </c>
      <c r="K26" s="23">
        <f t="shared" si="23"/>
        <v>1.7395078739998682E-4</v>
      </c>
      <c r="L26" s="23">
        <f t="shared" si="23"/>
        <v>2.5736293676169607E-4</v>
      </c>
      <c r="M26" s="23">
        <f t="shared" si="23"/>
        <v>3.4388786295634578E-4</v>
      </c>
      <c r="N26" s="23">
        <f t="shared" si="23"/>
        <v>4.2866398319975693E-4</v>
      </c>
      <c r="U26" s="5"/>
      <c r="V26" s="5"/>
      <c r="W26" s="5"/>
    </row>
    <row r="27" spans="2:23" x14ac:dyDescent="0.35">
      <c r="B27" s="11" t="s">
        <v>106</v>
      </c>
      <c r="C27" s="11"/>
      <c r="D27" s="11"/>
      <c r="E27" s="11"/>
      <c r="F27" s="32">
        <f>SUM(F13:F26)</f>
        <v>7.5075673123849943E-4</v>
      </c>
      <c r="G27" s="33">
        <f>SUM(G13:G26)</f>
        <v>8.5605013008098604E-4</v>
      </c>
      <c r="H27" s="33">
        <f>SUM(H13:H26)</f>
        <v>9.6064648662313535E-4</v>
      </c>
      <c r="I27" s="33">
        <f t="shared" ref="I27:M27" si="24">SUM(I13:I26)</f>
        <v>1.001615319399445E-3</v>
      </c>
      <c r="J27" s="33">
        <f t="shared" si="24"/>
        <v>1.0423129385027758E-3</v>
      </c>
      <c r="K27" s="33">
        <f t="shared" si="24"/>
        <v>1.0827411393676423E-3</v>
      </c>
      <c r="L27" s="33">
        <f t="shared" si="24"/>
        <v>1.1229017055427834E-3</v>
      </c>
      <c r="M27" s="33">
        <f t="shared" si="24"/>
        <v>1.162796408769845E-3</v>
      </c>
      <c r="N27" s="33">
        <f t="shared" ref="N27" si="25">SUM(N13:N26)</f>
        <v>1.2024270090615439E-3</v>
      </c>
    </row>
    <row r="28" spans="2:23" x14ac:dyDescent="0.35">
      <c r="B28" s="11" t="s">
        <v>85</v>
      </c>
      <c r="C28" s="11"/>
      <c r="D28" s="11"/>
      <c r="E28" s="11"/>
      <c r="F28" s="30">
        <f>F27-F13</f>
        <v>7.5075673123849943E-4</v>
      </c>
      <c r="G28" s="30">
        <f>G27-G13-G16</f>
        <v>7.5075673123849943E-4</v>
      </c>
      <c r="H28" s="30">
        <f>H27-H13-G13-G16-H16</f>
        <v>7.5075673123849943E-4</v>
      </c>
      <c r="I28" s="30">
        <f>I27-I13-H13-G13-G16-H16-I16</f>
        <v>6.8782163535296883E-4</v>
      </c>
      <c r="J28" s="30">
        <f>J27-J13-I13-H13-G13-G16-H16-I16-J16</f>
        <v>6.2530316980220074E-4</v>
      </c>
      <c r="K28" s="30">
        <f>K27-K13-J13-I13-H13-G13-G16-H16-I16-J16-K16</f>
        <v>5.6319857649337842E-4</v>
      </c>
      <c r="L28" s="30">
        <f>L27-L13-K13-J13-I13-H13-G13-G16-H16-I16-J16-K16-L16</f>
        <v>5.0150511559226044E-4</v>
      </c>
      <c r="M28" s="30">
        <f>M27-M13-L13-K13-J13-I13-H13-G13-G16-H16-I16-J16-K16-L16-M16</f>
        <v>4.4022006540230787E-4</v>
      </c>
      <c r="N28" s="30">
        <f>N27-N13-M13-L13-K13-J13-I13-H13-H16-I16-J16-K16-L16-M16-N16</f>
        <v>4.8463412108709977E-4</v>
      </c>
    </row>
    <row r="29" spans="2:23" x14ac:dyDescent="0.3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2:23" x14ac:dyDescent="0.35">
      <c r="B30" s="13" t="s">
        <v>90</v>
      </c>
      <c r="C30" s="11"/>
      <c r="D30" s="11"/>
      <c r="E30" s="11"/>
      <c r="F30" s="14">
        <f>SUM(F22:F26)/F27</f>
        <v>0</v>
      </c>
      <c r="G30" s="14">
        <f>SUM(G22:G26)/G27</f>
        <v>1.9847816397848203E-2</v>
      </c>
      <c r="H30" s="14">
        <f>SUM(H22:H26)/H27</f>
        <v>4.9397473243465204E-2</v>
      </c>
      <c r="I30" s="14">
        <f>SUM(I22:I26)/I27</f>
        <v>0.10091286015005185</v>
      </c>
      <c r="J30" s="14">
        <f>SUM(J22:J26)/J27</f>
        <v>0.16688921433697004</v>
      </c>
      <c r="K30" s="14">
        <f>SUM(K22:K26)/K27</f>
        <v>0.23769572190819754</v>
      </c>
      <c r="L30" s="14">
        <f>SUM(L22:L26)/L27</f>
        <v>0.30624930148282103</v>
      </c>
      <c r="M30" s="14">
        <f>SUM(M22:M26)/M27</f>
        <v>0.36864921491566405</v>
      </c>
      <c r="N30" s="14">
        <f>SUM(N22:N26)/N27</f>
        <v>0.42336608616951976</v>
      </c>
      <c r="O30" s="21">
        <f>GEOMEAN(G30:M30)</f>
        <v>0.12369650649586665</v>
      </c>
      <c r="P30" s="18">
        <f>AVERAGE(F30:M30)</f>
        <v>0.15620520030437723</v>
      </c>
      <c r="Q30" s="19">
        <f>MEDIAN(F30:M30)</f>
        <v>0.13390103724351093</v>
      </c>
      <c r="U30" s="5"/>
      <c r="W30" s="24"/>
    </row>
    <row r="31" spans="2:23" x14ac:dyDescent="0.35">
      <c r="U31" s="5"/>
      <c r="W31" s="24"/>
    </row>
    <row r="32" spans="2:23" x14ac:dyDescent="0.35">
      <c r="B32" s="17" t="s">
        <v>92</v>
      </c>
      <c r="F32">
        <v>0</v>
      </c>
      <c r="G32" s="10">
        <f>SUM(G22:G25)</f>
        <v>1.6990725809201483E-5</v>
      </c>
      <c r="H32" s="10">
        <f>SUM(H22:H25)</f>
        <v>3.04627833101937E-5</v>
      </c>
      <c r="I32" s="10">
        <f>SUM(I22:I25)</f>
        <v>5.3622357531310529E-5</v>
      </c>
      <c r="J32" s="10">
        <f>SUM(J22:J25)</f>
        <v>7.2874920749281107E-5</v>
      </c>
      <c r="K32" s="10">
        <f>SUM(K22:K25)</f>
        <v>8.3412149361709246E-5</v>
      </c>
      <c r="L32" s="10">
        <f>SUM(L22:L25)</f>
        <v>8.6524926194649689E-5</v>
      </c>
      <c r="M32" s="10">
        <f>SUM(M22:M25)</f>
        <v>8.4776120243411137E-5</v>
      </c>
      <c r="N32" s="10">
        <f>SUM(N22:N25)</f>
        <v>8.0402833531150535E-5</v>
      </c>
    </row>
    <row r="33" spans="2:21" x14ac:dyDescent="0.35">
      <c r="B33" s="11" t="s">
        <v>93</v>
      </c>
      <c r="F33">
        <v>0</v>
      </c>
      <c r="G33" s="10">
        <f>G26</f>
        <v>0</v>
      </c>
      <c r="H33" s="10">
        <f>H26</f>
        <v>1.6990725809201483E-5</v>
      </c>
      <c r="I33" s="10">
        <f>I26</f>
        <v>4.7453509119395183E-5</v>
      </c>
      <c r="J33" s="10">
        <f>J26</f>
        <v>1.0107586665070571E-4</v>
      </c>
      <c r="K33" s="10">
        <f>K26</f>
        <v>1.7395078739998682E-4</v>
      </c>
      <c r="L33" s="10">
        <f>L26</f>
        <v>2.5736293676169607E-4</v>
      </c>
      <c r="M33" s="10">
        <f>M26</f>
        <v>3.4388786295634578E-4</v>
      </c>
      <c r="N33" s="10">
        <f>N26</f>
        <v>4.2866398319975693E-4</v>
      </c>
    </row>
    <row r="34" spans="2:21" x14ac:dyDescent="0.35">
      <c r="B34" s="5" t="s">
        <v>91</v>
      </c>
      <c r="F34" s="10">
        <f>F10-E10-(E5*$R$5)</f>
        <v>7.8147317746619233E-4</v>
      </c>
      <c r="G34" s="10">
        <f>G10-F10-(F5*$R$5)</f>
        <v>7.4678578281428803E-4</v>
      </c>
      <c r="H34" s="10">
        <f>H10-G10-(G5*$R$5)</f>
        <v>6.9415883196466757E-4</v>
      </c>
      <c r="I34" s="10">
        <f>I10-H10-(H5*$R$5)</f>
        <v>6.42230563869064E-4</v>
      </c>
      <c r="J34" s="10">
        <f>J10-I10-(I5*$R$5)</f>
        <v>5.9730862735108033E-4</v>
      </c>
      <c r="K34" s="10">
        <f>K10-J10-(J5*$R$5)</f>
        <v>5.6057530853717476E-4</v>
      </c>
      <c r="L34" s="10">
        <f>L10-K10-(K5*$R$5)</f>
        <v>5.3128896164104759E-4</v>
      </c>
      <c r="M34" s="10">
        <f>M10-L10-(L5*$R$5)</f>
        <v>5.0815530376142459E-4</v>
      </c>
      <c r="N34" s="10">
        <f>N10-M10-(M5*$R$5)</f>
        <v>4.8987545789223961E-4</v>
      </c>
      <c r="T34" s="25"/>
      <c r="U34" s="25"/>
    </row>
    <row r="35" spans="2:21" x14ac:dyDescent="0.35">
      <c r="B35" t="s">
        <v>94</v>
      </c>
      <c r="F35" s="10">
        <f>SUM($F34:F34)</f>
        <v>7.8147317746619233E-4</v>
      </c>
      <c r="G35" s="10">
        <f>SUM($F34:G34)</f>
        <v>1.5282589602804804E-3</v>
      </c>
      <c r="H35" s="10">
        <f>SUM($F34:H34)</f>
        <v>2.2224177922451479E-3</v>
      </c>
      <c r="I35" s="10">
        <f>SUM($F34:I34)</f>
        <v>2.8646483561142119E-3</v>
      </c>
      <c r="J35" s="10">
        <f>SUM($F34:J34)</f>
        <v>3.4619569834652923E-3</v>
      </c>
      <c r="K35" s="10">
        <f>SUM($F34:K34)</f>
        <v>4.022532292002467E-3</v>
      </c>
      <c r="L35" s="10">
        <f>SUM($F34:L34)</f>
        <v>4.5538212536435146E-3</v>
      </c>
      <c r="M35" s="10">
        <f>SUM($F34:M34)</f>
        <v>5.0619765574049392E-3</v>
      </c>
      <c r="N35" s="10">
        <f>SUM($F34:N34)</f>
        <v>5.5518520152971788E-3</v>
      </c>
      <c r="T35" s="25"/>
      <c r="U35" s="25"/>
    </row>
    <row r="36" spans="2:21" x14ac:dyDescent="0.35">
      <c r="F36" s="9">
        <v>2022</v>
      </c>
      <c r="G36" s="9">
        <v>2023</v>
      </c>
      <c r="H36" s="9">
        <v>2024</v>
      </c>
      <c r="I36" s="9">
        <v>2025</v>
      </c>
      <c r="J36" s="9">
        <v>2026</v>
      </c>
      <c r="K36" s="9">
        <v>2027</v>
      </c>
      <c r="L36" s="9">
        <v>2028</v>
      </c>
      <c r="M36" s="9">
        <v>2029</v>
      </c>
      <c r="N36" s="9">
        <v>2030</v>
      </c>
      <c r="O36" s="22" t="s">
        <v>99</v>
      </c>
      <c r="P36" s="4"/>
      <c r="T36" s="25"/>
      <c r="U36" s="25"/>
    </row>
    <row r="37" spans="2:21" x14ac:dyDescent="0.35">
      <c r="B37" s="5" t="s">
        <v>96</v>
      </c>
      <c r="F37" s="26">
        <f>F32/F34</f>
        <v>0</v>
      </c>
      <c r="G37" s="26">
        <f>G32/G34</f>
        <v>2.2751806743255536E-2</v>
      </c>
      <c r="H37" s="26">
        <f t="shared" ref="H37:M37" si="26">H32/H34</f>
        <v>4.38844568525842E-2</v>
      </c>
      <c r="I37" s="26">
        <f>I32/I34</f>
        <v>8.349393589782951E-2</v>
      </c>
      <c r="J37" s="26">
        <f>J32/J34</f>
        <v>0.12200547156411218</v>
      </c>
      <c r="K37" s="26">
        <f t="shared" si="26"/>
        <v>0.14879740168965672</v>
      </c>
      <c r="L37" s="26">
        <f t="shared" si="26"/>
        <v>0.1628585053365143</v>
      </c>
      <c r="M37" s="26">
        <f t="shared" si="26"/>
        <v>0.16683112350867629</v>
      </c>
      <c r="N37" s="26">
        <f t="shared" ref="N37" si="27">N32/N34</f>
        <v>0.16412913167174248</v>
      </c>
      <c r="O37" s="40">
        <f>GEOMEAN(G37:N37)</f>
        <v>9.5203666600856107E-2</v>
      </c>
      <c r="P37" s="16">
        <f>AVERAGE(G37:M37)</f>
        <v>0.10723181451323269</v>
      </c>
      <c r="Q37" s="16">
        <f>MEDIAN(G37:M37)</f>
        <v>0.12200547156411218</v>
      </c>
      <c r="T37" s="25"/>
      <c r="U37" s="25"/>
    </row>
    <row r="38" spans="2:21" x14ac:dyDescent="0.35">
      <c r="B38" t="s">
        <v>95</v>
      </c>
      <c r="F38" s="15">
        <f>F33/F35</f>
        <v>0</v>
      </c>
      <c r="G38" s="15">
        <f t="shared" ref="G38:M38" si="28">G33/G35</f>
        <v>0</v>
      </c>
      <c r="H38" s="15">
        <f t="shared" si="28"/>
        <v>7.6451537908347024E-3</v>
      </c>
      <c r="I38" s="15">
        <f t="shared" si="28"/>
        <v>1.6565212626573157E-2</v>
      </c>
      <c r="J38" s="15">
        <f t="shared" si="28"/>
        <v>2.9196164808937768E-2</v>
      </c>
      <c r="K38" s="15">
        <f t="shared" si="28"/>
        <v>4.3244099679655257E-2</v>
      </c>
      <c r="L38" s="15">
        <f t="shared" si="28"/>
        <v>5.6515818787524839E-2</v>
      </c>
      <c r="M38" s="15">
        <f t="shared" si="28"/>
        <v>6.7935491019468983E-2</v>
      </c>
      <c r="N38" s="15">
        <f t="shared" ref="N38" si="29">N33/N35</f>
        <v>7.7210988696861271E-2</v>
      </c>
      <c r="T38" s="25"/>
      <c r="U38" s="25"/>
    </row>
    <row r="39" spans="2:21" x14ac:dyDescent="0.35">
      <c r="F39" s="15"/>
      <c r="G39" s="15"/>
      <c r="H39" s="15"/>
      <c r="I39" s="15"/>
      <c r="J39" s="15"/>
      <c r="K39" s="15"/>
      <c r="L39" s="15"/>
      <c r="M39" s="15"/>
    </row>
    <row r="41" spans="2:21" x14ac:dyDescent="0.35">
      <c r="B41" t="s">
        <v>7</v>
      </c>
    </row>
    <row r="42" spans="2:21" x14ac:dyDescent="0.35">
      <c r="B42" t="s">
        <v>0</v>
      </c>
      <c r="C42">
        <v>9.4E-2</v>
      </c>
    </row>
    <row r="43" spans="2:21" x14ac:dyDescent="0.35">
      <c r="B43" t="s">
        <v>1</v>
      </c>
      <c r="C43">
        <v>0.14199999999999999</v>
      </c>
      <c r="J43" s="7" t="s">
        <v>17</v>
      </c>
      <c r="K43">
        <v>1</v>
      </c>
      <c r="L43">
        <v>2</v>
      </c>
      <c r="M43">
        <v>3</v>
      </c>
      <c r="N43">
        <v>4</v>
      </c>
      <c r="O43" s="7" t="s">
        <v>59</v>
      </c>
    </row>
    <row r="44" spans="2:21" x14ac:dyDescent="0.35">
      <c r="B44" t="s">
        <v>2</v>
      </c>
      <c r="C44">
        <v>0.57999999999999996</v>
      </c>
      <c r="I44" s="7" t="s">
        <v>17</v>
      </c>
      <c r="J44" t="s">
        <v>62</v>
      </c>
      <c r="K44" t="s">
        <v>9</v>
      </c>
      <c r="O44" t="s">
        <v>49</v>
      </c>
    </row>
    <row r="45" spans="2:21" x14ac:dyDescent="0.35">
      <c r="B45" t="s">
        <v>3</v>
      </c>
      <c r="C45">
        <v>0.184</v>
      </c>
      <c r="I45">
        <v>1</v>
      </c>
      <c r="K45" t="s">
        <v>63</v>
      </c>
      <c r="L45" t="s">
        <v>28</v>
      </c>
      <c r="O45" t="s">
        <v>13</v>
      </c>
    </row>
    <row r="46" spans="2:21" x14ac:dyDescent="0.35">
      <c r="I46">
        <v>2</v>
      </c>
      <c r="L46" t="s">
        <v>64</v>
      </c>
      <c r="M46" t="s">
        <v>15</v>
      </c>
      <c r="O46" t="s">
        <v>41</v>
      </c>
    </row>
    <row r="47" spans="2:21" x14ac:dyDescent="0.35">
      <c r="B47" s="4" t="s">
        <v>60</v>
      </c>
      <c r="C47" s="4">
        <f>441/100000</f>
        <v>4.4099999999999999E-3</v>
      </c>
      <c r="I47">
        <v>3</v>
      </c>
      <c r="M47" t="s">
        <v>65</v>
      </c>
      <c r="N47" t="s">
        <v>29</v>
      </c>
      <c r="O47" t="s">
        <v>46</v>
      </c>
    </row>
    <row r="48" spans="2:21" x14ac:dyDescent="0.35">
      <c r="B48" s="4" t="s">
        <v>61</v>
      </c>
      <c r="C48" s="4">
        <f>616/100000</f>
        <v>6.1599999999999997E-3</v>
      </c>
      <c r="I48">
        <v>4</v>
      </c>
      <c r="N48" t="s">
        <v>40</v>
      </c>
      <c r="O48" t="s">
        <v>47</v>
      </c>
    </row>
    <row r="49" spans="8:15" x14ac:dyDescent="0.35">
      <c r="I49" t="s">
        <v>59</v>
      </c>
      <c r="O49" t="s">
        <v>66</v>
      </c>
    </row>
    <row r="50" spans="8:15" ht="15.5" x14ac:dyDescent="0.35">
      <c r="H50" s="8"/>
    </row>
    <row r="51" spans="8:15" ht="15.5" x14ac:dyDescent="0.35">
      <c r="H51" s="8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0031-D208-4D6D-8D55-0FF1A8BCE227}">
  <dimension ref="B2:Y50"/>
  <sheetViews>
    <sheetView tabSelected="1" topLeftCell="A13" workbookViewId="0">
      <selection activeCell="F37" sqref="F37:O37"/>
    </sheetView>
  </sheetViews>
  <sheetFormatPr defaultColWidth="8.81640625" defaultRowHeight="14.5" x14ac:dyDescent="0.35"/>
  <cols>
    <col min="18" max="18" width="9.81640625" bestFit="1" customWidth="1"/>
    <col min="23" max="23" width="15.54296875" customWidth="1"/>
    <col min="24" max="24" width="11.81640625" bestFit="1" customWidth="1"/>
  </cols>
  <sheetData>
    <row r="2" spans="2:25" x14ac:dyDescent="0.35">
      <c r="B2" s="12" t="s">
        <v>77</v>
      </c>
      <c r="C2" s="12"/>
      <c r="D2" s="12"/>
      <c r="E2" s="12"/>
      <c r="F2" s="12"/>
      <c r="G2" s="12"/>
      <c r="H2" s="12"/>
    </row>
    <row r="3" spans="2:25" x14ac:dyDescent="0.35">
      <c r="Q3" s="9" t="s">
        <v>67</v>
      </c>
      <c r="X3" t="s">
        <v>105</v>
      </c>
    </row>
    <row r="4" spans="2:25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Q4" t="s">
        <v>9</v>
      </c>
      <c r="R4">
        <f>26.71/100000</f>
        <v>2.6709999999999999E-4</v>
      </c>
      <c r="S4" s="20" t="s">
        <v>107</v>
      </c>
      <c r="X4" s="36" t="s">
        <v>101</v>
      </c>
      <c r="Y4">
        <v>1.3622099999999998E-5</v>
      </c>
    </row>
    <row r="5" spans="2:25" x14ac:dyDescent="0.35">
      <c r="B5" t="s">
        <v>8</v>
      </c>
      <c r="C5" s="23">
        <f>1-C47-C48</f>
        <v>0.99126000000000003</v>
      </c>
      <c r="D5" s="23">
        <f>C5-(C5*$R$4)-(C5*$R$5)</f>
        <v>0.98370947345400006</v>
      </c>
      <c r="E5" s="23">
        <f t="shared" ref="E5:N5" si="0">D5-(D5*$R$4)-(D5*$R$5)</f>
        <v>0.97621646002375362</v>
      </c>
      <c r="F5" s="23">
        <f t="shared" si="0"/>
        <v>0.96878052162610673</v>
      </c>
      <c r="G5" s="23">
        <f t="shared" si="0"/>
        <v>0.96140122351482848</v>
      </c>
      <c r="H5" s="23">
        <f t="shared" si="0"/>
        <v>0.95407813425519372</v>
      </c>
      <c r="I5" s="23">
        <f t="shared" si="0"/>
        <v>0.94681082569875852</v>
      </c>
      <c r="J5" s="23">
        <f t="shared" si="0"/>
        <v>0.93959887295832856</v>
      </c>
      <c r="K5" s="23">
        <f t="shared" si="0"/>
        <v>0.93244185438311766</v>
      </c>
      <c r="L5" s="23">
        <f t="shared" si="0"/>
        <v>0.92533935153409597</v>
      </c>
      <c r="M5" s="23">
        <f t="shared" si="0"/>
        <v>0.91829094915952558</v>
      </c>
      <c r="N5" s="23">
        <f t="shared" si="0"/>
        <v>0.91129623517068259</v>
      </c>
      <c r="Q5" t="s">
        <v>49</v>
      </c>
      <c r="R5">
        <f>735/100000</f>
        <v>7.3499999999999998E-3</v>
      </c>
      <c r="S5" s="20" t="s">
        <v>108</v>
      </c>
      <c r="X5" s="36" t="s">
        <v>102</v>
      </c>
      <c r="Y5">
        <v>5.4221300000000002E-5</v>
      </c>
    </row>
    <row r="6" spans="2:25" x14ac:dyDescent="0.35">
      <c r="B6" t="s">
        <v>0</v>
      </c>
      <c r="C6" s="23">
        <f>$C$47*C42</f>
        <v>7.0889999999999994E-5</v>
      </c>
      <c r="D6" s="23">
        <f>C6+(C5*$Y$4)-(C6*$R$6)-(C6*$R$9)</f>
        <v>6.276111225947551E-5</v>
      </c>
      <c r="E6" s="23">
        <f t="shared" ref="E6:N6" si="1">D6+(D5*$Y$4)-(D6*$R$6)-(D6*$R$9)</f>
        <v>5.7009883050869456E-5</v>
      </c>
      <c r="F6" s="29">
        <f>E6+(E5*$Y$4)-(E6*$R$6)-(E6*$R$9)</f>
        <v>5.291155845131611E-5</v>
      </c>
      <c r="G6" s="23">
        <f t="shared" si="1"/>
        <v>4.9962535666567188E-5</v>
      </c>
      <c r="H6" s="23">
        <f t="shared" si="1"/>
        <v>4.7812879286584795E-5</v>
      </c>
      <c r="I6" s="23">
        <f t="shared" si="1"/>
        <v>4.6219430059827965E-5</v>
      </c>
      <c r="J6" s="23">
        <f t="shared" si="1"/>
        <v>4.5013222423575195E-5</v>
      </c>
      <c r="K6" s="23">
        <f t="shared" si="1"/>
        <v>4.4076844504245942E-5</v>
      </c>
      <c r="L6" s="23">
        <f t="shared" si="1"/>
        <v>4.3328706664449988E-5</v>
      </c>
      <c r="M6" s="23">
        <f t="shared" si="1"/>
        <v>4.2712110468635264E-5</v>
      </c>
      <c r="N6" s="23">
        <f t="shared" si="1"/>
        <v>4.2187653229956185E-5</v>
      </c>
      <c r="Q6" t="s">
        <v>28</v>
      </c>
      <c r="R6">
        <v>0.28999999999999998</v>
      </c>
      <c r="X6" s="36" t="s">
        <v>103</v>
      </c>
      <c r="Y6">
        <v>1.3354999999999999E-4</v>
      </c>
    </row>
    <row r="7" spans="2:25" x14ac:dyDescent="0.35">
      <c r="B7" t="s">
        <v>1</v>
      </c>
      <c r="C7" s="23">
        <f>$C$47*C43</f>
        <v>2.8216999999999999E-4</v>
      </c>
      <c r="D7" s="23">
        <f>C7+(C6*$R$6)-(C7*$R$7)-(C7*$R$10)+(C5*$Y$5)</f>
        <v>2.5626343899359864E-4</v>
      </c>
      <c r="E7" s="23">
        <f t="shared" ref="E7:N7" si="2">D7+(D6*$R$6)-(D7*$R$7)-(D7*$R$10)+(D5*$Y$5)</f>
        <v>2.3679076043703912E-4</v>
      </c>
      <c r="F7" s="29">
        <f t="shared" si="2"/>
        <v>2.2215962426664406E-4</v>
      </c>
      <c r="G7" s="23">
        <f t="shared" si="2"/>
        <v>2.111330041665202E-4</v>
      </c>
      <c r="H7" s="23">
        <f t="shared" si="2"/>
        <v>2.0276713266569496E-4</v>
      </c>
      <c r="I7" s="23">
        <f t="shared" si="2"/>
        <v>1.9635191461289263E-4</v>
      </c>
      <c r="J7" s="23">
        <f t="shared" si="2"/>
        <v>1.9135890422038821E-4</v>
      </c>
      <c r="K7" s="23">
        <f t="shared" si="2"/>
        <v>1.8739830903095653E-4</v>
      </c>
      <c r="L7" s="23">
        <f t="shared" si="2"/>
        <v>1.8418469823196088E-4</v>
      </c>
      <c r="M7" s="23">
        <f t="shared" si="2"/>
        <v>1.8151032746503178E-4</v>
      </c>
      <c r="N7" s="23">
        <f t="shared" si="2"/>
        <v>1.7922476727075994E-4</v>
      </c>
      <c r="Q7" t="s">
        <v>15</v>
      </c>
      <c r="R7">
        <v>0.34</v>
      </c>
      <c r="X7" s="36" t="s">
        <v>104</v>
      </c>
      <c r="Y7">
        <v>6.5706599999999999E-5</v>
      </c>
    </row>
    <row r="8" spans="2:25" x14ac:dyDescent="0.35">
      <c r="B8" t="s">
        <v>2</v>
      </c>
      <c r="C8" s="23">
        <f>$C$47*C44</f>
        <v>6.9499999999999998E-4</v>
      </c>
      <c r="D8" s="23">
        <f>C8+(C7*$R$7)-(C8*$R$8)-(C8*$R$11)+(C5*$Y$6)</f>
        <v>4.2672911002158102E-4</v>
      </c>
      <c r="E8" s="23">
        <f t="shared" ref="E8:N8" si="3">D8+(D7*$R$7)-(D8*$R$8)-(D8*$R$11)+(D5*$Y$6)</f>
        <v>3.4032655709789761E-4</v>
      </c>
      <c r="F8" s="23">
        <f t="shared" si="3"/>
        <v>3.0803896146589568E-4</v>
      </c>
      <c r="G8" s="23">
        <f t="shared" si="3"/>
        <v>2.9285384571971841E-4</v>
      </c>
      <c r="H8" s="23">
        <f t="shared" si="3"/>
        <v>2.8378424415571732E-4</v>
      </c>
      <c r="I8" s="23">
        <f t="shared" si="3"/>
        <v>2.7737266024217643E-4</v>
      </c>
      <c r="J8" s="23">
        <f t="shared" si="3"/>
        <v>2.7239055865186897E-4</v>
      </c>
      <c r="K8" s="23">
        <f t="shared" si="3"/>
        <v>2.6830748891939224E-4</v>
      </c>
      <c r="L8" s="23">
        <f t="shared" si="3"/>
        <v>2.6483943234703188E-4</v>
      </c>
      <c r="M8" s="23">
        <f t="shared" si="3"/>
        <v>2.6180820494387197E-4</v>
      </c>
      <c r="N8" s="23">
        <f t="shared" si="3"/>
        <v>2.5909225022161707E-4</v>
      </c>
      <c r="Q8" t="s">
        <v>29</v>
      </c>
      <c r="R8">
        <v>0.64</v>
      </c>
      <c r="T8" s="5" t="s">
        <v>87</v>
      </c>
    </row>
    <row r="9" spans="2:25" x14ac:dyDescent="0.35">
      <c r="B9" t="s">
        <v>3</v>
      </c>
      <c r="C9" s="23">
        <f>$C$47*C45</f>
        <v>3.4194E-4</v>
      </c>
      <c r="D9" s="23">
        <f>C9+(C8*$R$8)-(C9*$R$12)+(C5*$Y$7)</f>
        <v>6.2729542428373753E-4</v>
      </c>
      <c r="E9" s="23">
        <f t="shared" ref="E9:N9" si="4">D9+(D8*$R$8)-(D9*$R$12)+(D5*$Y$7)</f>
        <v>5.530476712077351E-4</v>
      </c>
      <c r="F9" s="23">
        <f t="shared" si="4"/>
        <v>4.7177385041661482E-4</v>
      </c>
      <c r="G9" s="23">
        <f t="shared" si="4"/>
        <v>4.227258151304623E-4</v>
      </c>
      <c r="H9" s="23">
        <f t="shared" si="4"/>
        <v>3.9568785390917686E-4</v>
      </c>
      <c r="I9" s="23">
        <f t="shared" si="4"/>
        <v>3.8012197058363508E-4</v>
      </c>
      <c r="J9" s="23">
        <f t="shared" si="4"/>
        <v>3.7019841259383011E-4</v>
      </c>
      <c r="K9" s="23">
        <f t="shared" si="4"/>
        <v>3.6312995991461612E-4</v>
      </c>
      <c r="L9" s="23">
        <f t="shared" si="4"/>
        <v>3.5762044688961354E-4</v>
      </c>
      <c r="M9" s="23">
        <f t="shared" si="4"/>
        <v>3.5304319478246261E-4</v>
      </c>
      <c r="N9" s="23">
        <f t="shared" si="4"/>
        <v>3.4906904538234526E-4</v>
      </c>
      <c r="O9" s="5" t="s">
        <v>88</v>
      </c>
      <c r="Q9" s="5" t="s">
        <v>13</v>
      </c>
      <c r="R9">
        <f>T9/(1-($Q$18*R21))</f>
        <v>1.5147842947164323E-2</v>
      </c>
      <c r="T9">
        <v>0.01</v>
      </c>
      <c r="U9" t="s">
        <v>13</v>
      </c>
    </row>
    <row r="10" spans="2:25" x14ac:dyDescent="0.35">
      <c r="B10" t="s">
        <v>4</v>
      </c>
      <c r="C10" s="23">
        <f>C48</f>
        <v>7.3499999999999998E-3</v>
      </c>
      <c r="D10" s="23">
        <f t="shared" ref="D10:N10" si="5">C10+(C5*$R$5)+(C6*$R$9)+(C7*$R$10)+(C8*$R$11)+(C9*$R$12)</f>
        <v>1.4917477460441607E-2</v>
      </c>
      <c r="E10" s="23">
        <f t="shared" si="5"/>
        <v>2.2596365104452922E-2</v>
      </c>
      <c r="F10" s="23">
        <f t="shared" si="5"/>
        <v>3.0164594379292926E-2</v>
      </c>
      <c r="G10" s="23">
        <f t="shared" si="5"/>
        <v>3.7622101284488348E-2</v>
      </c>
      <c r="H10" s="23">
        <f t="shared" si="5"/>
        <v>4.4991813634789234E-2</v>
      </c>
      <c r="I10" s="23">
        <f t="shared" si="5"/>
        <v>5.2289108325743114E-2</v>
      </c>
      <c r="J10" s="23">
        <f t="shared" si="5"/>
        <v>5.9522165943781999E-2</v>
      </c>
      <c r="K10" s="23">
        <f t="shared" si="5"/>
        <v>6.6695233014513328E-2</v>
      </c>
      <c r="L10" s="23">
        <f t="shared" si="5"/>
        <v>7.3810675181771132E-2</v>
      </c>
      <c r="M10" s="23">
        <f t="shared" si="5"/>
        <v>8.086997700281455E-2</v>
      </c>
      <c r="N10" s="23">
        <f t="shared" si="5"/>
        <v>8.7874191113212902E-2</v>
      </c>
      <c r="Q10" s="5" t="s">
        <v>41</v>
      </c>
      <c r="R10">
        <f>T10/(1-($Q$18*R22))</f>
        <v>1.5147842947164323E-2</v>
      </c>
      <c r="T10">
        <v>0.01</v>
      </c>
      <c r="U10" t="s">
        <v>41</v>
      </c>
    </row>
    <row r="11" spans="2:25" x14ac:dyDescent="0.35">
      <c r="B11" t="s">
        <v>68</v>
      </c>
      <c r="C11" s="23">
        <f>SUM(C5:C10)</f>
        <v>1</v>
      </c>
      <c r="D11" s="23">
        <f t="shared" ref="D11:M11" si="6">SUM(D5:D10)</f>
        <v>1.0000000000000002</v>
      </c>
      <c r="E11" s="23">
        <f t="shared" si="6"/>
        <v>1.0000000000000002</v>
      </c>
      <c r="F11" s="23">
        <f t="shared" si="6"/>
        <v>1.0000000000000002</v>
      </c>
      <c r="G11" s="23">
        <f t="shared" si="6"/>
        <v>1.0000000000000002</v>
      </c>
      <c r="H11" s="23">
        <f t="shared" si="6"/>
        <v>1.0000000000000002</v>
      </c>
      <c r="I11" s="23">
        <f t="shared" si="6"/>
        <v>1.0000000000000002</v>
      </c>
      <c r="J11" s="23">
        <f t="shared" si="6"/>
        <v>1.0000000000000002</v>
      </c>
      <c r="K11" s="23">
        <f t="shared" si="6"/>
        <v>1.0000000000000002</v>
      </c>
      <c r="L11" s="23">
        <f t="shared" si="6"/>
        <v>1.0000000000000002</v>
      </c>
      <c r="M11" s="23">
        <f t="shared" si="6"/>
        <v>1.0000000000000002</v>
      </c>
      <c r="N11" s="23">
        <f t="shared" ref="N11" si="7">SUM(N5:N10)</f>
        <v>1</v>
      </c>
      <c r="Q11" s="5" t="s">
        <v>46</v>
      </c>
      <c r="R11">
        <f>T11/(1-($Q$18*R23))</f>
        <v>7.4520090616430196E-2</v>
      </c>
      <c r="T11">
        <v>0.05</v>
      </c>
      <c r="U11" t="s">
        <v>46</v>
      </c>
    </row>
    <row r="12" spans="2:25" x14ac:dyDescent="0.35">
      <c r="Q12" s="5" t="s">
        <v>47</v>
      </c>
      <c r="R12">
        <f>T12/(1-($Q$18*R24))</f>
        <v>0.65677282573627682</v>
      </c>
      <c r="T12">
        <v>0.56999999999999995</v>
      </c>
      <c r="U12" t="s">
        <v>47</v>
      </c>
      <c r="X12">
        <f>$R$4*C42</f>
        <v>1.3622099999999998E-5</v>
      </c>
    </row>
    <row r="13" spans="2:25" x14ac:dyDescent="0.35">
      <c r="B13" s="36" t="s">
        <v>100</v>
      </c>
      <c r="C13" s="36"/>
      <c r="D13" s="36"/>
      <c r="E13" s="36"/>
      <c r="F13" s="37">
        <v>0</v>
      </c>
      <c r="G13" s="37">
        <f>F5*$Y$4</f>
        <v>1.3196825143642987E-5</v>
      </c>
      <c r="H13" s="37">
        <f t="shared" ref="H13:M13" si="8">G5*$Y$4</f>
        <v>1.3096303606841343E-5</v>
      </c>
      <c r="I13" s="37">
        <f t="shared" si="8"/>
        <v>1.2996547752637673E-5</v>
      </c>
      <c r="J13" s="37">
        <f t="shared" si="8"/>
        <v>1.2897551748751056E-5</v>
      </c>
      <c r="K13" s="37">
        <f t="shared" si="8"/>
        <v>1.2799309807325646E-5</v>
      </c>
      <c r="L13" s="37">
        <f t="shared" si="8"/>
        <v>1.2701816184592265E-5</v>
      </c>
      <c r="M13" s="37">
        <f t="shared" si="8"/>
        <v>1.2605065180532606E-5</v>
      </c>
      <c r="N13" s="37">
        <f t="shared" ref="N13" si="9">M5*$Y$4</f>
        <v>1.2509051138545972E-5</v>
      </c>
      <c r="Q13" s="5"/>
      <c r="X13">
        <f t="shared" ref="X13:X15" si="10">$R$4*C43</f>
        <v>5.4221300000000002E-5</v>
      </c>
    </row>
    <row r="14" spans="2:25" x14ac:dyDescent="0.35">
      <c r="B14" s="11" t="s">
        <v>81</v>
      </c>
      <c r="C14" s="11"/>
      <c r="D14" s="11"/>
      <c r="E14" s="11"/>
      <c r="F14" s="29">
        <f>F6</f>
        <v>5.291155845131611E-5</v>
      </c>
      <c r="G14" s="23">
        <f>F14-(F14*$R$6)-(F14*$R$9)</f>
        <v>3.6765710522924199E-5</v>
      </c>
      <c r="H14" s="23">
        <f>(G14+G13)-((G14+G13)*$R$6)-((G14+G13)*$R$9)</f>
        <v>3.4716575679743449E-5</v>
      </c>
      <c r="I14" s="23">
        <f t="shared" ref="I14:N14" si="11">(H14+H13)-((H14+H13)*$R$6)-((H14+H13)*$R$9)</f>
        <v>3.3222882307190289E-5</v>
      </c>
      <c r="J14" s="23">
        <f t="shared" si="11"/>
        <v>3.2115670674824128E-5</v>
      </c>
      <c r="K14" s="23">
        <f t="shared" si="11"/>
        <v>3.1277534696920291E-5</v>
      </c>
      <c r="L14" s="23">
        <f t="shared" si="11"/>
        <v>3.062689047985772E-5</v>
      </c>
      <c r="M14" s="23">
        <f t="shared" si="11"/>
        <v>3.0107045288102646E-5</v>
      </c>
      <c r="N14" s="23">
        <f t="shared" si="11"/>
        <v>2.9678602091410206E-5</v>
      </c>
      <c r="X14">
        <f t="shared" si="10"/>
        <v>1.3354999999999999E-4</v>
      </c>
    </row>
    <row r="15" spans="2:25" x14ac:dyDescent="0.35">
      <c r="B15" s="11" t="s">
        <v>73</v>
      </c>
      <c r="C15" s="11"/>
      <c r="D15" s="11"/>
      <c r="E15" s="11"/>
      <c r="F15" s="23">
        <v>0</v>
      </c>
      <c r="G15" s="23">
        <f>F14*$R$6</f>
        <v>1.5344351950881671E-5</v>
      </c>
      <c r="H15" s="23">
        <f>(G14+G13)*$R$6</f>
        <v>1.4489135343304484E-5</v>
      </c>
      <c r="I15" s="23">
        <f t="shared" ref="I15:N15" si="12">(H14+H13)*$R$6</f>
        <v>1.3865734993109589E-5</v>
      </c>
      <c r="J15" s="23">
        <f t="shared" si="12"/>
        <v>1.3403634717350107E-5</v>
      </c>
      <c r="K15" s="23">
        <f t="shared" si="12"/>
        <v>1.3053834502836804E-5</v>
      </c>
      <c r="L15" s="23">
        <f t="shared" si="12"/>
        <v>1.278228490623132E-5</v>
      </c>
      <c r="M15" s="23">
        <f t="shared" si="12"/>
        <v>1.2565324932690495E-5</v>
      </c>
      <c r="N15" s="23">
        <f t="shared" si="12"/>
        <v>1.2386512035904221E-5</v>
      </c>
      <c r="X15">
        <f t="shared" si="10"/>
        <v>6.5706599999999999E-5</v>
      </c>
    </row>
    <row r="16" spans="2:25" x14ac:dyDescent="0.35">
      <c r="B16" s="11" t="s">
        <v>109</v>
      </c>
      <c r="C16" s="11"/>
      <c r="D16" s="11"/>
      <c r="E16" s="11"/>
      <c r="F16" s="37">
        <v>0</v>
      </c>
      <c r="G16" s="37">
        <f>F5*$Y$5</f>
        <v>5.2528539297245623E-5</v>
      </c>
      <c r="H16" s="37">
        <f t="shared" ref="H16:M16" si="13">G5*$Y$5</f>
        <v>5.2128424160564575E-5</v>
      </c>
      <c r="I16" s="37">
        <f t="shared" si="13"/>
        <v>5.1731356740891137E-5</v>
      </c>
      <c r="J16" s="37">
        <f t="shared" si="13"/>
        <v>5.1337313823460098E-5</v>
      </c>
      <c r="K16" s="37">
        <f t="shared" si="13"/>
        <v>5.0946272370335422E-5</v>
      </c>
      <c r="L16" s="37">
        <f t="shared" si="13"/>
        <v>5.055820951906334E-5</v>
      </c>
      <c r="M16" s="37">
        <f t="shared" si="13"/>
        <v>5.0173102581335681E-5</v>
      </c>
      <c r="N16" s="37">
        <f t="shared" ref="N16" si="14">M5*$Y$5</f>
        <v>4.9790929041663386E-5</v>
      </c>
    </row>
    <row r="17" spans="2:23" x14ac:dyDescent="0.35">
      <c r="B17" s="11" t="s">
        <v>82</v>
      </c>
      <c r="C17" s="11"/>
      <c r="D17" s="11"/>
      <c r="E17" s="11"/>
      <c r="F17" s="29">
        <f>F7</f>
        <v>2.2215962426664406E-4</v>
      </c>
      <c r="G17" s="23">
        <f t="shared" ref="G17:N17" si="15">(F17+F15)-((F17+F15)*$R$10)-((F17+F15)*$R$7)</f>
        <v>1.4326011291839291E-4</v>
      </c>
      <c r="H17" s="23">
        <f>(G17+G16+G15)-((G17+G16+G15)*$R$10)-((G17+G16+G15)*$R$7)</f>
        <v>1.361495731618259E-4</v>
      </c>
      <c r="I17" s="23">
        <f t="shared" si="15"/>
        <v>9.7139696115186672E-5</v>
      </c>
      <c r="J17" s="23">
        <f t="shared" si="15"/>
        <v>7.1582091694764784E-5</v>
      </c>
      <c r="K17" s="23">
        <f t="shared" si="15"/>
        <v>5.4803228995554436E-5</v>
      </c>
      <c r="L17" s="23">
        <f t="shared" si="15"/>
        <v>4.3757773768208823E-5</v>
      </c>
      <c r="M17" s="23">
        <f t="shared" si="15"/>
        <v>3.6459978796106616E-5</v>
      </c>
      <c r="N17" s="23">
        <f t="shared" si="15"/>
        <v>3.1614072859685244E-5</v>
      </c>
      <c r="Q17" t="s">
        <v>72</v>
      </c>
    </row>
    <row r="18" spans="2:23" x14ac:dyDescent="0.35">
      <c r="B18" s="11" t="s">
        <v>74</v>
      </c>
      <c r="C18" s="11"/>
      <c r="D18" s="11"/>
      <c r="E18" s="11"/>
      <c r="F18" s="23">
        <v>0</v>
      </c>
      <c r="G18" s="23">
        <f>(F17+F15)*$R$7</f>
        <v>7.5534272250658987E-5</v>
      </c>
      <c r="H18" s="23">
        <f>(G17+G16+G15)*$R$7</f>
        <v>7.1785221416616871E-5</v>
      </c>
      <c r="I18" s="23">
        <f t="shared" ref="I18:N18" si="16">(H17+H15)*$R$7</f>
        <v>5.1217160891744332E-5</v>
      </c>
      <c r="J18" s="23">
        <f t="shared" si="16"/>
        <v>3.7741846576820734E-5</v>
      </c>
      <c r="K18" s="23">
        <f t="shared" si="16"/>
        <v>2.8895146980119065E-5</v>
      </c>
      <c r="L18" s="23">
        <f t="shared" si="16"/>
        <v>2.307140158945302E-5</v>
      </c>
      <c r="M18" s="23">
        <f t="shared" si="16"/>
        <v>1.922361994930965E-5</v>
      </c>
      <c r="N18" s="23">
        <f t="shared" si="16"/>
        <v>1.6668603267791018E-5</v>
      </c>
      <c r="Q18">
        <v>0.36</v>
      </c>
    </row>
    <row r="19" spans="2:23" x14ac:dyDescent="0.35">
      <c r="B19" s="11" t="s">
        <v>83</v>
      </c>
      <c r="C19" s="11"/>
      <c r="D19" s="11"/>
      <c r="E19" s="11"/>
      <c r="F19" s="23">
        <v>0</v>
      </c>
      <c r="G19" s="23">
        <f>F18-(F18*R11)-(F18*R8)</f>
        <v>0</v>
      </c>
      <c r="H19" s="23">
        <f t="shared" ref="H19:N19" si="17">(G19+G18)-((G19+G18)*$R$11)-((G19+G18)*$R$8)</f>
        <v>2.1563517197472014E-5</v>
      </c>
      <c r="I19" s="23">
        <f t="shared" si="17"/>
        <v>2.6649189440620636E-5</v>
      </c>
      <c r="J19" s="23">
        <f t="shared" si="17"/>
        <v>2.2229278636912852E-5</v>
      </c>
      <c r="K19" s="23">
        <f t="shared" si="17"/>
        <v>1.712055139164738E-5</v>
      </c>
      <c r="L19" s="23">
        <f t="shared" si="17"/>
        <v>1.3136557401393567E-5</v>
      </c>
      <c r="M19" s="23">
        <f t="shared" si="17"/>
        <v>1.0336644851670892E-5</v>
      </c>
      <c r="N19" s="23">
        <f t="shared" si="17"/>
        <v>8.4388617167382547E-6</v>
      </c>
    </row>
    <row r="20" spans="2:23" x14ac:dyDescent="0.35">
      <c r="B20" s="11" t="s">
        <v>75</v>
      </c>
      <c r="C20" s="11"/>
      <c r="D20" s="11"/>
      <c r="E20" s="11"/>
      <c r="F20" s="28">
        <v>0</v>
      </c>
      <c r="G20" s="23">
        <f>F18*R8</f>
        <v>0</v>
      </c>
      <c r="H20" s="23">
        <f>(G19+G18)*$R$8</f>
        <v>4.8341934240421756E-5</v>
      </c>
      <c r="I20" s="23">
        <f t="shared" ref="I20:N20" si="18">(H19+H18)*$R$8</f>
        <v>5.9743192713016884E-5</v>
      </c>
      <c r="J20" s="23">
        <f t="shared" si="18"/>
        <v>4.9834464212713582E-5</v>
      </c>
      <c r="K20" s="23">
        <f t="shared" si="18"/>
        <v>3.8381520136789498E-5</v>
      </c>
      <c r="L20" s="23">
        <f t="shared" si="18"/>
        <v>2.9450046957930529E-5</v>
      </c>
      <c r="M20" s="23">
        <f t="shared" si="18"/>
        <v>2.3173093754141816E-5</v>
      </c>
      <c r="N20" s="23">
        <f t="shared" si="18"/>
        <v>1.8918569472627546E-5</v>
      </c>
      <c r="Q20" t="s">
        <v>89</v>
      </c>
    </row>
    <row r="21" spans="2:23" x14ac:dyDescent="0.35">
      <c r="B21" s="11" t="s">
        <v>84</v>
      </c>
      <c r="C21" s="11"/>
      <c r="D21" s="11"/>
      <c r="E21" s="11"/>
      <c r="F21" s="28">
        <v>0</v>
      </c>
      <c r="G21" s="28">
        <v>0</v>
      </c>
      <c r="H21" s="23">
        <f>G20-(G20*R12)</f>
        <v>0</v>
      </c>
      <c r="I21" s="23">
        <f>(H20+H21)-((H20+H21)*$R$12)</f>
        <v>1.6592265487782684E-5</v>
      </c>
      <c r="J21" s="23">
        <f>(I20+I21)-((I20+I21)*$R$12)</f>
        <v>2.6200403614386989E-5</v>
      </c>
      <c r="K21" s="23">
        <f>(J20+J21)-((J20+J21)*$R$12)</f>
        <v>2.6097232829811404E-5</v>
      </c>
      <c r="L21" s="23">
        <f>(K20+K21)-((K20+K21)*$R$12)</f>
        <v>2.2130860180775085E-5</v>
      </c>
      <c r="M21" s="23">
        <f>(L20+L21)-((L20+L21)*$R$12)</f>
        <v>1.7703969003177438E-5</v>
      </c>
      <c r="N21" s="23">
        <f>(M20+M21)-((M20+M21)*$R$12)</f>
        <v>1.4030118742395565E-5</v>
      </c>
      <c r="Q21" t="s">
        <v>0</v>
      </c>
      <c r="R21">
        <v>0.94399999999999995</v>
      </c>
    </row>
    <row r="22" spans="2:23" x14ac:dyDescent="0.35">
      <c r="B22" s="11" t="s">
        <v>78</v>
      </c>
      <c r="C22" s="11"/>
      <c r="D22" s="11"/>
      <c r="E22" s="11"/>
      <c r="F22" s="23">
        <v>0</v>
      </c>
      <c r="G22" s="23">
        <f t="shared" ref="G22" si="19">F14*$R$9</f>
        <v>8.0149597751024152E-7</v>
      </c>
      <c r="H22" s="23">
        <f>(G14+G13)*$R$9</f>
        <v>7.5682464351925569E-7</v>
      </c>
      <c r="I22" s="23">
        <f t="shared" ref="I22:N22" si="20">(H14+H13)*$R$9</f>
        <v>7.2426198628491261E-7</v>
      </c>
      <c r="J22" s="23">
        <f t="shared" si="20"/>
        <v>7.0012466765371958E-7</v>
      </c>
      <c r="K22" s="23">
        <f t="shared" si="20"/>
        <v>6.818532238180924E-7</v>
      </c>
      <c r="L22" s="23">
        <f t="shared" si="20"/>
        <v>6.6766911815690033E-7</v>
      </c>
      <c r="M22" s="23">
        <f t="shared" si="20"/>
        <v>6.5633644365684041E-7</v>
      </c>
      <c r="N22" s="23">
        <f t="shared" si="20"/>
        <v>6.4699634132081995E-7</v>
      </c>
      <c r="Q22" t="s">
        <v>1</v>
      </c>
      <c r="R22">
        <v>0.94399999999999995</v>
      </c>
    </row>
    <row r="23" spans="2:23" x14ac:dyDescent="0.35">
      <c r="B23" s="11" t="s">
        <v>79</v>
      </c>
      <c r="C23" s="11"/>
      <c r="D23" s="11"/>
      <c r="E23" s="11"/>
      <c r="F23" s="23">
        <v>0</v>
      </c>
      <c r="G23" s="23">
        <f t="shared" ref="G23:N23" si="21">(F17+F15)*$R$10</f>
        <v>3.3652390975921601E-6</v>
      </c>
      <c r="H23" s="23">
        <f>(G17+G16+G15)*$R$10</f>
        <v>3.1982095880774385E-6</v>
      </c>
      <c r="I23" s="23">
        <f t="shared" si="21"/>
        <v>2.2818514981993815E-6</v>
      </c>
      <c r="J23" s="23">
        <f t="shared" si="21"/>
        <v>1.6814928367107407E-6</v>
      </c>
      <c r="K23" s="23">
        <f t="shared" si="21"/>
        <v>1.2873504364413913E-6</v>
      </c>
      <c r="L23" s="23">
        <f t="shared" si="21"/>
        <v>1.0278881407293872E-6</v>
      </c>
      <c r="M23" s="23">
        <f t="shared" si="21"/>
        <v>8.5645992902387509E-7</v>
      </c>
      <c r="N23" s="23">
        <f t="shared" si="21"/>
        <v>7.4262760132084809E-7</v>
      </c>
      <c r="Q23" t="s">
        <v>2</v>
      </c>
      <c r="R23">
        <v>0.91400000000000003</v>
      </c>
      <c r="U23" s="5"/>
      <c r="V23" s="5"/>
      <c r="W23" s="5"/>
    </row>
    <row r="24" spans="2:23" x14ac:dyDescent="0.35">
      <c r="B24" s="11" t="s">
        <v>80</v>
      </c>
      <c r="C24" s="11"/>
      <c r="D24" s="11"/>
      <c r="E24" s="11"/>
      <c r="F24" s="28">
        <v>0</v>
      </c>
      <c r="G24" s="23">
        <f>F18*R11</f>
        <v>0</v>
      </c>
      <c r="H24" s="23">
        <f>(G19+G18)*$R$11</f>
        <v>5.6288208127652162E-6</v>
      </c>
      <c r="I24" s="23">
        <f t="shared" ref="I24:N24" si="22">(H19+H18)*$R$11</f>
        <v>6.9563564604513593E-6</v>
      </c>
      <c r="J24" s="23">
        <f t="shared" si="22"/>
        <v>5.8026074827385373E-6</v>
      </c>
      <c r="K24" s="23">
        <f t="shared" si="22"/>
        <v>4.4690536852967086E-6</v>
      </c>
      <c r="L24" s="23">
        <f t="shared" si="22"/>
        <v>3.4290940124423551E-6</v>
      </c>
      <c r="M24" s="23">
        <f t="shared" si="22"/>
        <v>2.6982203850338762E-6</v>
      </c>
      <c r="N24" s="23">
        <f t="shared" si="22"/>
        <v>2.2028336116147417E-6</v>
      </c>
      <c r="Q24" t="s">
        <v>3</v>
      </c>
      <c r="R24">
        <v>0.36699999999999999</v>
      </c>
      <c r="U24" s="5"/>
      <c r="V24" s="5"/>
      <c r="W24" s="5"/>
    </row>
    <row r="25" spans="2:23" x14ac:dyDescent="0.35">
      <c r="B25" s="11" t="s">
        <v>76</v>
      </c>
      <c r="C25" s="11"/>
      <c r="D25" s="11"/>
      <c r="E25" s="11"/>
      <c r="F25" s="28">
        <v>0</v>
      </c>
      <c r="G25" s="28">
        <v>0</v>
      </c>
      <c r="H25" s="23">
        <f>G20*R12</f>
        <v>0</v>
      </c>
      <c r="I25" s="23">
        <f>(H20+H21)*$R$12</f>
        <v>3.1749668752639072E-5</v>
      </c>
      <c r="J25" s="23">
        <f>(I20+I21)*$R$12</f>
        <v>5.0135054586412573E-5</v>
      </c>
      <c r="K25" s="23">
        <f>(J20+J21)*$R$12</f>
        <v>4.9937634997289166E-5</v>
      </c>
      <c r="L25" s="23">
        <f>(K20+K21)*$R$12</f>
        <v>4.2347892785825824E-5</v>
      </c>
      <c r="M25" s="23">
        <f>(L20+L21)*$R$12</f>
        <v>3.3876938135528177E-5</v>
      </c>
      <c r="N25" s="23">
        <f>(M20+M21)*$R$12</f>
        <v>2.684694401492369E-5</v>
      </c>
      <c r="U25" s="5"/>
      <c r="V25" s="5"/>
      <c r="W25" s="5"/>
    </row>
    <row r="26" spans="2:23" x14ac:dyDescent="0.35">
      <c r="B26" s="11" t="s">
        <v>86</v>
      </c>
      <c r="C26" s="11"/>
      <c r="D26" s="11"/>
      <c r="E26" s="11"/>
      <c r="F26" s="28">
        <v>0</v>
      </c>
      <c r="G26" s="23">
        <f>SUM(F22:F25)</f>
        <v>0</v>
      </c>
      <c r="H26" s="23">
        <f>SUM(G22:G26)</f>
        <v>4.1667350751024018E-6</v>
      </c>
      <c r="I26" s="23">
        <f t="shared" ref="I26:N26" si="23">SUM(H22:H26)</f>
        <v>1.3750590119464313E-5</v>
      </c>
      <c r="J26" s="23">
        <f t="shared" si="23"/>
        <v>5.5462728817039033E-5</v>
      </c>
      <c r="K26" s="23">
        <f t="shared" si="23"/>
        <v>1.137820083905546E-4</v>
      </c>
      <c r="L26" s="23">
        <f t="shared" si="23"/>
        <v>1.7015790073339997E-4</v>
      </c>
      <c r="M26" s="23">
        <f t="shared" si="23"/>
        <v>2.1763044479055445E-4</v>
      </c>
      <c r="N26" s="23">
        <f t="shared" si="23"/>
        <v>2.5571839968379723E-4</v>
      </c>
      <c r="U26" s="5"/>
      <c r="V26" s="5"/>
      <c r="W26" s="5"/>
    </row>
    <row r="27" spans="2:23" x14ac:dyDescent="0.35">
      <c r="B27" s="11" t="s">
        <v>106</v>
      </c>
      <c r="C27" s="11"/>
      <c r="D27" s="11"/>
      <c r="E27" s="11"/>
      <c r="F27" s="32">
        <f>SUM(F13:F26)</f>
        <v>2.7507118271796017E-4</v>
      </c>
      <c r="G27" s="33">
        <f>SUM(G13:G26)</f>
        <v>3.4079654715884875E-4</v>
      </c>
      <c r="H27" s="33">
        <f>SUM(H13:H26)</f>
        <v>4.0602127492625473E-4</v>
      </c>
      <c r="I27" s="33">
        <f t="shared" ref="I27:M27" si="24">SUM(I13:I26)</f>
        <v>4.1862075525921891E-4</v>
      </c>
      <c r="J27" s="33">
        <f t="shared" si="24"/>
        <v>4.31124264090539E-4</v>
      </c>
      <c r="K27" s="33">
        <f t="shared" si="24"/>
        <v>4.4353253244473994E-4</v>
      </c>
      <c r="L27" s="33">
        <f t="shared" si="24"/>
        <v>4.5584628577806006E-4</v>
      </c>
      <c r="M27" s="33">
        <f t="shared" si="24"/>
        <v>4.6806624402086509E-4</v>
      </c>
      <c r="N27" s="33">
        <f t="shared" ref="N27" si="25">SUM(N13:N26)</f>
        <v>4.8019312161973876E-4</v>
      </c>
    </row>
    <row r="28" spans="2:23" x14ac:dyDescent="0.35">
      <c r="B28" s="11" t="s">
        <v>85</v>
      </c>
      <c r="C28" s="11"/>
      <c r="D28" s="11"/>
      <c r="E28" s="11"/>
      <c r="F28" s="30">
        <f>F27-F13</f>
        <v>2.7507118271796017E-4</v>
      </c>
      <c r="G28" s="30">
        <f>G27-G13-G16</f>
        <v>2.7507118271796017E-4</v>
      </c>
      <c r="H28" s="30">
        <f>H27-H13-G13-G16-H16</f>
        <v>2.7507118271796022E-4</v>
      </c>
      <c r="I28" s="30">
        <f>I27-I13-H13-G13-G16-H16-I16</f>
        <v>2.2294275855739562E-4</v>
      </c>
      <c r="J28" s="30">
        <f>J27-J13-I13-H13-G13-G16-H16-I16-J16</f>
        <v>1.7121140181650455E-4</v>
      </c>
      <c r="K28" s="30">
        <f>K27-K13-J13-I13-H13-G13-G16-H16-I16-J16-K16</f>
        <v>1.1987408799304442E-4</v>
      </c>
      <c r="L28" s="30">
        <f>L27-L13-K13-J13-I13-H13-G13-G16-H16-I16-J16-K16-L16</f>
        <v>6.8927815622708952E-5</v>
      </c>
      <c r="M28" s="30">
        <f>M27-M13-L13-K13-J13-I13-H13-G13-G16-H16-I16-J16-K16-L16-M16</f>
        <v>1.8369606103645727E-5</v>
      </c>
      <c r="N28" s="30">
        <f>N27-N13-M13-L13-K13-J13-I13-H13-H16-I16-J16-K16-L16-M16-N16</f>
        <v>3.3921867963198597E-5</v>
      </c>
      <c r="U28" s="5"/>
      <c r="W28" s="24"/>
    </row>
    <row r="29" spans="2:23" x14ac:dyDescent="0.35">
      <c r="B29" s="11"/>
      <c r="C29" s="11"/>
      <c r="D29" s="11"/>
      <c r="E29" s="11"/>
      <c r="F29" s="30"/>
      <c r="G29" s="30"/>
      <c r="H29" s="11"/>
      <c r="I29" s="11"/>
      <c r="J29" s="11"/>
      <c r="K29" s="11"/>
      <c r="L29" s="11"/>
      <c r="M29" s="11"/>
      <c r="N29" s="11"/>
      <c r="U29" s="5"/>
      <c r="W29" s="24"/>
    </row>
    <row r="30" spans="2:23" x14ac:dyDescent="0.35">
      <c r="B30" s="13" t="s">
        <v>90</v>
      </c>
      <c r="C30" s="11"/>
      <c r="D30" s="11"/>
      <c r="E30" s="11"/>
      <c r="F30" s="14">
        <f>SUM(F22:F26)/F27</f>
        <v>0</v>
      </c>
      <c r="G30" s="14">
        <f>SUM(G22:G26)/G27</f>
        <v>1.222645918756989E-2</v>
      </c>
      <c r="H30" s="14">
        <f t="shared" ref="H30:M30" si="26">SUM(H22:H26)/H27</f>
        <v>3.3866673912498355E-2</v>
      </c>
      <c r="I30" s="14">
        <f t="shared" si="26"/>
        <v>0.13248919964012612</v>
      </c>
      <c r="J30" s="14">
        <f t="shared" si="26"/>
        <v>0.26391928700783962</v>
      </c>
      <c r="K30" s="14">
        <f t="shared" si="26"/>
        <v>0.38364243496524142</v>
      </c>
      <c r="L30" s="14">
        <f t="shared" si="26"/>
        <v>0.47742068232297313</v>
      </c>
      <c r="M30" s="14">
        <f t="shared" si="26"/>
        <v>0.54632950559963478</v>
      </c>
      <c r="N30" s="14">
        <f t="shared" ref="N30" si="27">SUM(N22:N26)/N27</f>
        <v>0.59592232451755833</v>
      </c>
      <c r="O30" s="21">
        <f>GEOMEAN(G30:M30)</f>
        <v>0.14650693976919332</v>
      </c>
      <c r="P30" s="18">
        <f>AVERAGE(F30:M30)</f>
        <v>0.23123678032948541</v>
      </c>
      <c r="Q30" s="19">
        <f>MEDIAN(F30:M30)</f>
        <v>0.19820424332398287</v>
      </c>
      <c r="U30" s="5"/>
      <c r="W30" s="24"/>
    </row>
    <row r="32" spans="2:23" x14ac:dyDescent="0.35">
      <c r="B32" s="17" t="s">
        <v>92</v>
      </c>
      <c r="F32">
        <v>0</v>
      </c>
      <c r="G32" s="10">
        <f>SUM(G22:G25)</f>
        <v>4.1667350751024018E-6</v>
      </c>
      <c r="H32" s="10">
        <f t="shared" ref="H32:M32" si="28">SUM(H22:H25)</f>
        <v>9.5838550443619107E-6</v>
      </c>
      <c r="I32" s="10">
        <f t="shared" si="28"/>
        <v>4.1712138697574723E-5</v>
      </c>
      <c r="J32" s="10">
        <f t="shared" si="28"/>
        <v>5.8319279573515571E-5</v>
      </c>
      <c r="K32" s="10">
        <f t="shared" si="28"/>
        <v>5.6375892342845355E-5</v>
      </c>
      <c r="L32" s="10">
        <f t="shared" si="28"/>
        <v>4.7472544057154467E-5</v>
      </c>
      <c r="M32" s="10">
        <f t="shared" si="28"/>
        <v>3.8087954893242768E-5</v>
      </c>
      <c r="N32" s="10">
        <f t="shared" ref="N32" si="29">SUM(N22:N25)</f>
        <v>3.0439401569180101E-5</v>
      </c>
    </row>
    <row r="33" spans="2:21" x14ac:dyDescent="0.35">
      <c r="B33" s="11" t="s">
        <v>93</v>
      </c>
      <c r="F33">
        <v>0</v>
      </c>
      <c r="G33" s="10">
        <f>G26</f>
        <v>0</v>
      </c>
      <c r="H33" s="10">
        <f>H26</f>
        <v>4.1667350751024018E-6</v>
      </c>
      <c r="I33" s="10">
        <f t="shared" ref="I33:M33" si="30">I26</f>
        <v>1.3750590119464313E-5</v>
      </c>
      <c r="J33" s="10">
        <f t="shared" si="30"/>
        <v>5.5462728817039033E-5</v>
      </c>
      <c r="K33" s="10">
        <f t="shared" si="30"/>
        <v>1.137820083905546E-4</v>
      </c>
      <c r="L33" s="10">
        <f t="shared" si="30"/>
        <v>1.7015790073339997E-4</v>
      </c>
      <c r="M33" s="10">
        <f t="shared" si="30"/>
        <v>2.1763044479055445E-4</v>
      </c>
      <c r="N33" s="10">
        <f t="shared" ref="N33" si="31">N26</f>
        <v>2.5571839968379723E-4</v>
      </c>
    </row>
    <row r="34" spans="2:21" x14ac:dyDescent="0.35">
      <c r="B34" s="5" t="s">
        <v>91</v>
      </c>
      <c r="F34" s="10">
        <f>F10-E10-(E5*$R$5)</f>
        <v>3.9303829366541497E-4</v>
      </c>
      <c r="G34" s="10">
        <f>G10-F10-(F5*$R$5)</f>
        <v>3.3697007124353692E-4</v>
      </c>
      <c r="H34" s="10">
        <f>H10-G10-(G5*$R$5)</f>
        <v>3.03413357466897E-4</v>
      </c>
      <c r="I34" s="10">
        <f t="shared" ref="I34:N34" si="32">I10-H10-(H5*$R$5)</f>
        <v>2.8482040417820639E-4</v>
      </c>
      <c r="J34" s="10">
        <f t="shared" si="32"/>
        <v>2.7399804915300991E-4</v>
      </c>
      <c r="K34" s="10">
        <f t="shared" si="32"/>
        <v>2.670153544876144E-4</v>
      </c>
      <c r="L34" s="10">
        <f t="shared" si="32"/>
        <v>2.6199453754189011E-4</v>
      </c>
      <c r="M34" s="10">
        <f t="shared" si="32"/>
        <v>2.5805758726781241E-4</v>
      </c>
      <c r="N34" s="10">
        <f t="shared" si="32"/>
        <v>2.547756340758392E-4</v>
      </c>
      <c r="T34" s="27"/>
      <c r="U34" s="25"/>
    </row>
    <row r="35" spans="2:21" x14ac:dyDescent="0.35">
      <c r="B35" t="s">
        <v>94</v>
      </c>
      <c r="F35" s="10">
        <f>SUM($F34:F34)</f>
        <v>3.9303829366541497E-4</v>
      </c>
      <c r="G35" s="10">
        <f>SUM($F34:G34)</f>
        <v>7.3000836490895189E-4</v>
      </c>
      <c r="H35" s="10">
        <f>SUM($F34:H34)</f>
        <v>1.0334217223758489E-3</v>
      </c>
      <c r="I35" s="10">
        <f>SUM($F34:I34)</f>
        <v>1.3182421265540553E-3</v>
      </c>
      <c r="J35" s="10">
        <f>SUM($F34:J34)</f>
        <v>1.5922401757070652E-3</v>
      </c>
      <c r="K35" s="10">
        <f>SUM($F34:K34)</f>
        <v>1.8592555301946796E-3</v>
      </c>
      <c r="L35" s="10">
        <f>SUM($F34:L34)</f>
        <v>2.1212500677365697E-3</v>
      </c>
      <c r="M35" s="10">
        <f>SUM($F34:M34)</f>
        <v>2.3793076550043821E-3</v>
      </c>
      <c r="N35" s="10">
        <f>SUM($F34:N34)</f>
        <v>2.6340832890802213E-3</v>
      </c>
      <c r="T35" s="25"/>
      <c r="U35" s="25"/>
    </row>
    <row r="36" spans="2:21" x14ac:dyDescent="0.35">
      <c r="F36">
        <v>2022</v>
      </c>
      <c r="G36">
        <v>2023</v>
      </c>
      <c r="H36">
        <v>2024</v>
      </c>
      <c r="I36">
        <v>2025</v>
      </c>
      <c r="J36">
        <v>2026</v>
      </c>
      <c r="K36">
        <v>2027</v>
      </c>
      <c r="L36">
        <v>2028</v>
      </c>
      <c r="M36">
        <v>2029</v>
      </c>
      <c r="N36">
        <v>2030</v>
      </c>
      <c r="O36" s="5"/>
      <c r="T36" s="25"/>
      <c r="U36" s="25"/>
    </row>
    <row r="37" spans="2:21" x14ac:dyDescent="0.35">
      <c r="B37" s="5" t="s">
        <v>96</v>
      </c>
      <c r="F37" s="15">
        <f>F32/F34</f>
        <v>0</v>
      </c>
      <c r="G37" s="15">
        <f>G32/G34</f>
        <v>1.2365297190120471E-2</v>
      </c>
      <c r="H37" s="15">
        <f t="shared" ref="H37:L37" si="33">H32/H34</f>
        <v>3.1586793423910242E-2</v>
      </c>
      <c r="I37" s="15">
        <f t="shared" si="33"/>
        <v>0.14645066886246069</v>
      </c>
      <c r="J37" s="15">
        <f t="shared" si="33"/>
        <v>0.21284560146976844</v>
      </c>
      <c r="K37" s="15">
        <f t="shared" si="33"/>
        <v>0.21113352245614164</v>
      </c>
      <c r="L37" s="15">
        <f t="shared" si="33"/>
        <v>0.18119669403246286</v>
      </c>
      <c r="M37" s="15">
        <f>M32/M34</f>
        <v>0.14759478803355258</v>
      </c>
      <c r="N37" s="15">
        <f>N32/N34</f>
        <v>0.11947532455210842</v>
      </c>
      <c r="O37" s="40">
        <f>GEOMEAN(G37:N37)</f>
        <v>9.756978662110076E-2</v>
      </c>
      <c r="P37" s="16">
        <f>AVERAGE(G37:M37)</f>
        <v>0.13473905220977384</v>
      </c>
      <c r="Q37" s="16">
        <f>MEDIAN(G37:M37)</f>
        <v>0.14759478803355258</v>
      </c>
      <c r="T37" s="25"/>
      <c r="U37" s="25"/>
    </row>
    <row r="38" spans="2:21" x14ac:dyDescent="0.35">
      <c r="B38" t="s">
        <v>95</v>
      </c>
      <c r="F38" s="15">
        <f>F33/F35</f>
        <v>0</v>
      </c>
      <c r="G38" s="15">
        <f t="shared" ref="G38:M38" si="34">G33/G35</f>
        <v>0</v>
      </c>
      <c r="H38" s="15">
        <f t="shared" si="34"/>
        <v>4.0319793796505729E-3</v>
      </c>
      <c r="I38" s="15">
        <f t="shared" si="34"/>
        <v>1.043100492882061E-2</v>
      </c>
      <c r="J38" s="15">
        <f t="shared" si="34"/>
        <v>3.4833142426147948E-2</v>
      </c>
      <c r="K38" s="15">
        <f t="shared" si="34"/>
        <v>6.1197617295047482E-2</v>
      </c>
      <c r="L38" s="15">
        <f t="shared" si="34"/>
        <v>8.021586107241141E-2</v>
      </c>
      <c r="M38" s="15">
        <f t="shared" si="34"/>
        <v>9.1467971505414095E-2</v>
      </c>
      <c r="N38" s="15">
        <f t="shared" ref="N38" si="35">N33/N35</f>
        <v>9.7080605136479911E-2</v>
      </c>
    </row>
    <row r="39" spans="2:21" x14ac:dyDescent="0.35">
      <c r="F39" s="15"/>
      <c r="G39" s="15"/>
      <c r="H39" s="15"/>
      <c r="I39" s="15"/>
      <c r="J39" s="15"/>
      <c r="K39" s="15"/>
      <c r="L39" s="15"/>
      <c r="M39" s="15"/>
    </row>
    <row r="41" spans="2:21" x14ac:dyDescent="0.35">
      <c r="B41" t="s">
        <v>7</v>
      </c>
    </row>
    <row r="42" spans="2:21" x14ac:dyDescent="0.35">
      <c r="B42" t="s">
        <v>0</v>
      </c>
      <c r="C42">
        <v>5.0999999999999997E-2</v>
      </c>
    </row>
    <row r="43" spans="2:21" x14ac:dyDescent="0.35">
      <c r="B43" t="s">
        <v>1</v>
      </c>
      <c r="C43">
        <v>0.20300000000000001</v>
      </c>
      <c r="J43" s="7" t="s">
        <v>17</v>
      </c>
      <c r="K43">
        <v>1</v>
      </c>
      <c r="L43">
        <v>2</v>
      </c>
      <c r="M43">
        <v>3</v>
      </c>
      <c r="N43">
        <v>4</v>
      </c>
      <c r="O43" s="7" t="s">
        <v>59</v>
      </c>
    </row>
    <row r="44" spans="2:21" x14ac:dyDescent="0.35">
      <c r="B44" t="s">
        <v>2</v>
      </c>
      <c r="C44">
        <v>0.5</v>
      </c>
      <c r="I44" s="7" t="s">
        <v>17</v>
      </c>
      <c r="J44" t="s">
        <v>62</v>
      </c>
      <c r="K44" t="s">
        <v>9</v>
      </c>
      <c r="O44" t="s">
        <v>49</v>
      </c>
    </row>
    <row r="45" spans="2:21" x14ac:dyDescent="0.35">
      <c r="B45" t="s">
        <v>3</v>
      </c>
      <c r="C45">
        <v>0.246</v>
      </c>
      <c r="I45">
        <v>1</v>
      </c>
      <c r="K45" t="s">
        <v>63</v>
      </c>
      <c r="L45" t="s">
        <v>28</v>
      </c>
      <c r="O45" t="s">
        <v>13</v>
      </c>
    </row>
    <row r="46" spans="2:21" x14ac:dyDescent="0.35">
      <c r="I46">
        <v>2</v>
      </c>
      <c r="L46" t="s">
        <v>64</v>
      </c>
      <c r="M46" t="s">
        <v>15</v>
      </c>
      <c r="O46" t="s">
        <v>41</v>
      </c>
    </row>
    <row r="47" spans="2:21" x14ac:dyDescent="0.35">
      <c r="B47" t="s">
        <v>60</v>
      </c>
      <c r="C47">
        <f>139/100000</f>
        <v>1.39E-3</v>
      </c>
      <c r="I47">
        <v>3</v>
      </c>
      <c r="M47" t="s">
        <v>65</v>
      </c>
      <c r="N47" t="s">
        <v>29</v>
      </c>
      <c r="O47" t="s">
        <v>46</v>
      </c>
    </row>
    <row r="48" spans="2:21" x14ac:dyDescent="0.35">
      <c r="B48" t="s">
        <v>61</v>
      </c>
      <c r="C48">
        <f>735/100000</f>
        <v>7.3499999999999998E-3</v>
      </c>
      <c r="I48">
        <v>4</v>
      </c>
      <c r="N48" t="s">
        <v>40</v>
      </c>
      <c r="O48" t="s">
        <v>47</v>
      </c>
    </row>
    <row r="49" spans="8:15" x14ac:dyDescent="0.35">
      <c r="I49" t="s">
        <v>59</v>
      </c>
      <c r="O49" t="s">
        <v>66</v>
      </c>
    </row>
    <row r="50" spans="8:15" ht="15.5" x14ac:dyDescent="0.35">
      <c r="H50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01A7-B50F-4BD5-8A7A-3C79B49992F5}">
  <dimension ref="B2:AB50"/>
  <sheetViews>
    <sheetView topLeftCell="A10" workbookViewId="0">
      <selection activeCell="T41" sqref="T41"/>
    </sheetView>
  </sheetViews>
  <sheetFormatPr defaultRowHeight="14.5" x14ac:dyDescent="0.35"/>
  <cols>
    <col min="18" max="18" width="10.6328125" customWidth="1"/>
    <col min="23" max="23" width="13.54296875" customWidth="1"/>
    <col min="24" max="24" width="11.81640625" bestFit="1" customWidth="1"/>
    <col min="25" max="25" width="11.7265625" customWidth="1"/>
  </cols>
  <sheetData>
    <row r="2" spans="2:25" x14ac:dyDescent="0.35">
      <c r="B2" s="12" t="s">
        <v>77</v>
      </c>
      <c r="C2" s="12"/>
      <c r="D2" s="12"/>
      <c r="E2" s="12"/>
      <c r="F2" s="12"/>
      <c r="G2" s="12"/>
      <c r="H2" s="12"/>
    </row>
    <row r="3" spans="2:25" x14ac:dyDescent="0.35">
      <c r="Q3" s="9" t="s">
        <v>67</v>
      </c>
      <c r="X3" t="s">
        <v>105</v>
      </c>
    </row>
    <row r="4" spans="2:25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Q4" t="s">
        <v>9</v>
      </c>
      <c r="R4">
        <f>13.35/100000</f>
        <v>1.3349999999999999E-4</v>
      </c>
      <c r="S4" s="20" t="s">
        <v>97</v>
      </c>
      <c r="W4" t="s">
        <v>100</v>
      </c>
      <c r="X4" s="36" t="s">
        <v>101</v>
      </c>
      <c r="Y4">
        <f>R4</f>
        <v>1.3349999999999999E-4</v>
      </c>
    </row>
    <row r="5" spans="2:25" x14ac:dyDescent="0.35">
      <c r="B5" t="s">
        <v>8</v>
      </c>
      <c r="C5" s="23">
        <f>1-C47-C48</f>
        <v>0.99314999999999998</v>
      </c>
      <c r="D5" s="23">
        <f>C5-(C5*$R$4)-(C5*$R$5)</f>
        <v>0.98689961047500008</v>
      </c>
      <c r="E5" s="23">
        <f t="shared" ref="E5:N5" si="0">D5-(D5*$R$4)-(D5*$R$5)</f>
        <v>0.98068855777647557</v>
      </c>
      <c r="F5" s="23">
        <f t="shared" si="0"/>
        <v>0.97451659433810933</v>
      </c>
      <c r="G5" s="23">
        <f t="shared" si="0"/>
        <v>0.9683834741516425</v>
      </c>
      <c r="H5" s="23">
        <f t="shared" si="0"/>
        <v>0.96228895275706916</v>
      </c>
      <c r="I5" s="23">
        <f t="shared" si="0"/>
        <v>0.95623278723289251</v>
      </c>
      <c r="J5" s="23">
        <f t="shared" si="0"/>
        <v>0.95021473618644225</v>
      </c>
      <c r="K5" s="23">
        <f t="shared" si="0"/>
        <v>0.94423455974425285</v>
      </c>
      <c r="L5" s="23">
        <f t="shared" si="0"/>
        <v>0.93829201954250241</v>
      </c>
      <c r="M5" s="23">
        <f t="shared" si="0"/>
        <v>0.93238687871751169</v>
      </c>
      <c r="N5" s="23">
        <f t="shared" si="0"/>
        <v>0.92651890189630304</v>
      </c>
      <c r="Q5" t="s">
        <v>49</v>
      </c>
      <c r="R5">
        <v>6.1599999999999997E-3</v>
      </c>
      <c r="S5" s="20" t="s">
        <v>98</v>
      </c>
      <c r="W5" t="s">
        <v>109</v>
      </c>
      <c r="X5" s="36" t="s">
        <v>102</v>
      </c>
      <c r="Y5">
        <v>0</v>
      </c>
    </row>
    <row r="6" spans="2:25" x14ac:dyDescent="0.35">
      <c r="B6" t="s">
        <v>0</v>
      </c>
      <c r="C6" s="23">
        <f>$C$47*C42</f>
        <v>6.4859999999999999E-5</v>
      </c>
      <c r="D6" s="23">
        <f>C6+(C5*$Y$4)-(C6*$R$6)-(C6*$R$9)</f>
        <v>1.7491004843966712E-4</v>
      </c>
      <c r="E6" s="23">
        <f t="shared" ref="E6:N6" si="1">D6+(D5*$Y$4)-(D6*$R$6)-(D6*$R$9)</f>
        <v>2.4588900186856363E-4</v>
      </c>
      <c r="F6" s="29">
        <f>E6+(E5*$Y$4)-(E6*$R$6)-(E6*$R$9)</f>
        <v>2.9137728513880514E-4</v>
      </c>
      <c r="G6" s="23">
        <f t="shared" si="1"/>
        <v>3.202367987490702E-4</v>
      </c>
      <c r="H6" s="23">
        <f t="shared" si="1"/>
        <v>3.3825036084979911E-4</v>
      </c>
      <c r="I6" s="23">
        <f t="shared" si="1"/>
        <v>3.4919152841945148E-4</v>
      </c>
      <c r="J6" s="23">
        <f t="shared" si="1"/>
        <v>3.555227112232856E-4</v>
      </c>
      <c r="K6" s="23">
        <f t="shared" si="1"/>
        <v>3.5885072747984104E-4</v>
      </c>
      <c r="L6" s="23">
        <f t="shared" si="1"/>
        <v>3.6022407762598314E-4</v>
      </c>
      <c r="M6" s="23">
        <f t="shared" si="1"/>
        <v>3.6032693090885305E-4</v>
      </c>
      <c r="N6" s="23">
        <f t="shared" si="1"/>
        <v>3.5960571172530134E-4</v>
      </c>
      <c r="Q6" t="s">
        <v>28</v>
      </c>
      <c r="R6">
        <v>0.31</v>
      </c>
      <c r="W6" t="s">
        <v>110</v>
      </c>
      <c r="X6" s="36" t="s">
        <v>103</v>
      </c>
      <c r="Y6">
        <v>0</v>
      </c>
    </row>
    <row r="7" spans="2:25" x14ac:dyDescent="0.35">
      <c r="B7" t="s">
        <v>1</v>
      </c>
      <c r="C7" s="23">
        <f>$C$47*C43</f>
        <v>9.797999999999998E-5</v>
      </c>
      <c r="D7" s="23">
        <f>C7+(C6*$R$6)-(C7*$R$7)-(C7*$R$10)+(C5*$Y$5)</f>
        <v>7.7497963837826344E-5</v>
      </c>
      <c r="E7" s="23">
        <f t="shared" ref="E7:N7" si="2">D7+(D6*$R$6)-(D7*$R$7)-(D7*$R$10)+(D5*$Y$5)</f>
        <v>9.9616214213147196E-5</v>
      </c>
      <c r="F7" s="29">
        <f t="shared" si="2"/>
        <v>1.3457535985924636E-4</v>
      </c>
      <c r="G7" s="23">
        <f t="shared" si="2"/>
        <v>1.6915389696506902E-4</v>
      </c>
      <c r="H7" s="23">
        <f t="shared" si="2"/>
        <v>1.983545756598589E-4</v>
      </c>
      <c r="I7" s="23">
        <f t="shared" si="2"/>
        <v>2.21042951938888E-4</v>
      </c>
      <c r="J7" s="23">
        <f t="shared" si="2"/>
        <v>2.3772433276606067E-4</v>
      </c>
      <c r="K7" s="23">
        <f t="shared" si="2"/>
        <v>2.4945804655067692E-4</v>
      </c>
      <c r="L7" s="23">
        <f t="shared" si="2"/>
        <v>2.57362704002761E-4</v>
      </c>
      <c r="M7" s="23">
        <f t="shared" si="2"/>
        <v>2.62418561672845E-4</v>
      </c>
      <c r="N7" s="23">
        <f t="shared" si="2"/>
        <v>2.6541189308843281E-4</v>
      </c>
      <c r="Q7" t="s">
        <v>15</v>
      </c>
      <c r="R7">
        <v>0.33200000000000002</v>
      </c>
      <c r="W7" t="s">
        <v>111</v>
      </c>
      <c r="X7" s="36" t="s">
        <v>104</v>
      </c>
      <c r="Y7">
        <v>0</v>
      </c>
    </row>
    <row r="8" spans="2:25" x14ac:dyDescent="0.35">
      <c r="B8" t="s">
        <v>2</v>
      </c>
      <c r="C8" s="23">
        <f>$C$47*C44</f>
        <v>4.0019999999999997E-4</v>
      </c>
      <c r="D8" s="23">
        <f>C8+(C7*$R$7)-(C8*$R$8)-(C8*$R$11)+(C5*$Y$6)</f>
        <v>1.5138249054830283E-4</v>
      </c>
      <c r="E8" s="23">
        <f t="shared" ref="E8:N8" si="3">D8+(D7*$R$7)-(D8*$R$8)-(D8*$R$11)+(D5*$Y$6)</f>
        <v>7.0687552159737227E-5</v>
      </c>
      <c r="F8" s="23">
        <f t="shared" si="3"/>
        <v>5.4065678733410592E-5</v>
      </c>
      <c r="G8" s="23">
        <f t="shared" si="3"/>
        <v>6.0735679075180467E-5</v>
      </c>
      <c r="H8" s="23">
        <f t="shared" si="3"/>
        <v>7.4196639004952284E-5</v>
      </c>
      <c r="I8" s="23">
        <f t="shared" si="3"/>
        <v>8.788895855410791E-5</v>
      </c>
      <c r="J8" s="23">
        <f t="shared" si="3"/>
        <v>9.9487903883755215E-5</v>
      </c>
      <c r="K8" s="23">
        <f t="shared" si="3"/>
        <v>1.0847082737456645E-4</v>
      </c>
      <c r="L8" s="23">
        <f t="shared" si="3"/>
        <v>1.1503420790317999E-4</v>
      </c>
      <c r="M8" s="23">
        <f t="shared" si="3"/>
        <v>1.1960777537368747E-4</v>
      </c>
      <c r="N8" s="23">
        <f t="shared" si="3"/>
        <v>1.2264459801031947E-4</v>
      </c>
      <c r="Q8" t="s">
        <v>29</v>
      </c>
      <c r="R8">
        <v>0.48499999999999999</v>
      </c>
      <c r="T8" s="5" t="s">
        <v>87</v>
      </c>
    </row>
    <row r="9" spans="2:25" x14ac:dyDescent="0.35">
      <c r="B9" t="s">
        <v>3</v>
      </c>
      <c r="C9" s="23">
        <f>$C$47*C45</f>
        <v>1.2695999999999999E-4</v>
      </c>
      <c r="D9" s="23">
        <f>C9+(C8*$R$8)-(C9*$R$12)+(C5*$Y$7)</f>
        <v>2.6609897260273971E-4</v>
      </c>
      <c r="E9" s="23">
        <f t="shared" ref="E9:N9" si="4">D9+(D8*$R$8)-(D9*$R$12)+(D5*$Y$7)</f>
        <v>2.2433143210432994E-4</v>
      </c>
      <c r="F9" s="23">
        <f t="shared" si="4"/>
        <v>1.6150704210047612E-4</v>
      </c>
      <c r="G9" s="23">
        <f t="shared" si="4"/>
        <v>1.1781625888378238E-4</v>
      </c>
      <c r="H9" s="23">
        <f t="shared" si="4"/>
        <v>9.627314843075829E-5</v>
      </c>
      <c r="I9" s="23">
        <f t="shared" si="4"/>
        <v>9.0584114369914091E-5</v>
      </c>
      <c r="J9" s="23">
        <f t="shared" si="4"/>
        <v>9.3998505650994997E-5</v>
      </c>
      <c r="K9" s="23">
        <f t="shared" si="4"/>
        <v>1.0156037494459653E-4</v>
      </c>
      <c r="L9" s="23">
        <f t="shared" si="4"/>
        <v>1.1020560501236743E-4</v>
      </c>
      <c r="M9" s="23">
        <f t="shared" si="4"/>
        <v>1.1829175586745341E-4</v>
      </c>
      <c r="N9" s="23">
        <f t="shared" si="4"/>
        <v>1.2509578054819144E-4</v>
      </c>
      <c r="O9" s="5" t="s">
        <v>88</v>
      </c>
      <c r="Q9" s="5" t="s">
        <v>13</v>
      </c>
      <c r="R9">
        <f>T9/(1-($Q$18*R21))</f>
        <v>3.7447988904299581E-2</v>
      </c>
      <c r="T9">
        <v>2.7E-2</v>
      </c>
      <c r="U9" t="s">
        <v>13</v>
      </c>
    </row>
    <row r="10" spans="2:25" x14ac:dyDescent="0.35">
      <c r="B10" t="s">
        <v>4</v>
      </c>
      <c r="C10" s="23">
        <f>C48</f>
        <v>6.1599999999999997E-3</v>
      </c>
      <c r="D10" s="23">
        <f t="shared" ref="D10" si="5">C10+(C5*$R$5)+(C6*$R$9)+(C7*$R$10)+(C8*$R$11)+(C9*$R$12)</f>
        <v>1.2430500049571466E-2</v>
      </c>
      <c r="E10" s="23">
        <f t="shared" ref="E10" si="6">D10+(D5*$R$5)+(D6*$R$9)+(D7*$R$10)+(D8*$R$11)+(D9*$R$12)</f>
        <v>1.8670918023178638E-2</v>
      </c>
      <c r="F10" s="23">
        <f t="shared" ref="F10" si="7">E10+(E5*$R$5)+(E6*$R$9)+(E7*$R$10)+(E8*$R$11)+(E9*$R$12)</f>
        <v>2.4841880296058723E-2</v>
      </c>
      <c r="G10" s="23">
        <f t="shared" ref="G10" si="8">F10+(F5*$R$5)+(F6*$R$9)+(F7*$R$10)+(F8*$R$11)+(F9*$R$12)</f>
        <v>3.0948583214684449E-2</v>
      </c>
      <c r="H10" s="23">
        <f t="shared" ref="H10" si="9">G10+(G5*$R$5)+(G6*$R$9)+(G7*$R$10)+(G8*$R$11)+(G9*$R$12)</f>
        <v>3.7003972518985538E-2</v>
      </c>
      <c r="I10" s="23">
        <f t="shared" ref="I10" si="10">H10+(H5*$R$5)+(H6*$R$9)+(H7*$R$10)+(H8*$R$11)+(H9*$R$12)</f>
        <v>4.3018505213825164E-2</v>
      </c>
      <c r="J10" s="23">
        <f t="shared" ref="J10" si="11">I10+(I5*$R$5)+(I6*$R$9)+(I7*$R$10)+(I8*$R$11)+(I9*$R$12)</f>
        <v>4.8998530360033633E-2</v>
      </c>
      <c r="K10" s="23">
        <f t="shared" ref="K10" si="12">J10+(J5*$R$5)+(J6*$R$9)+(J7*$R$10)+(J8*$R$11)+(J9*$R$12)</f>
        <v>5.4947100279397428E-2</v>
      </c>
      <c r="L10" s="23">
        <f t="shared" ref="L10" si="13">K10+(K5*$R$5)+(K6*$R$9)+(K7*$R$10)+(K8*$R$11)+(K9*$R$12)</f>
        <v>6.0865153862953263E-2</v>
      </c>
      <c r="M10" s="23">
        <f t="shared" ref="M10:N10" si="14">L10+(L5*$R$5)+(L6*$R$9)+(L7*$R$10)+(L8*$R$11)+(L9*$R$12)</f>
        <v>6.6752476258665455E-2</v>
      </c>
      <c r="N10" s="23">
        <f t="shared" si="14"/>
        <v>7.2608340120324716E-2</v>
      </c>
      <c r="Q10" s="5" t="s">
        <v>41</v>
      </c>
      <c r="R10">
        <f>T10/(1-($Q$18*R22))</f>
        <v>8.2254298450435151E-2</v>
      </c>
      <c r="T10">
        <v>6.2E-2</v>
      </c>
      <c r="U10" t="s">
        <v>41</v>
      </c>
    </row>
    <row r="11" spans="2:25" x14ac:dyDescent="0.35">
      <c r="B11" t="s">
        <v>68</v>
      </c>
      <c r="C11" s="23">
        <f>SUM(C5:C10)</f>
        <v>1</v>
      </c>
      <c r="D11" s="23">
        <f t="shared" ref="D11:M11" si="15">SUM(D5:D10)</f>
        <v>1</v>
      </c>
      <c r="E11" s="23">
        <f t="shared" si="15"/>
        <v>1</v>
      </c>
      <c r="F11" s="23">
        <f t="shared" si="15"/>
        <v>1.0000000000000002</v>
      </c>
      <c r="G11" s="23">
        <f t="shared" si="15"/>
        <v>0.99999999999999989</v>
      </c>
      <c r="H11" s="23">
        <f t="shared" si="15"/>
        <v>1</v>
      </c>
      <c r="I11" s="23">
        <f t="shared" si="15"/>
        <v>1.0000000000000002</v>
      </c>
      <c r="J11" s="23">
        <f t="shared" si="15"/>
        <v>1</v>
      </c>
      <c r="K11" s="23">
        <f t="shared" si="15"/>
        <v>0.99999999999999989</v>
      </c>
      <c r="L11" s="23">
        <f t="shared" si="15"/>
        <v>1</v>
      </c>
      <c r="M11" s="23">
        <f t="shared" si="15"/>
        <v>0.99999999999999989</v>
      </c>
      <c r="N11" s="23">
        <f t="shared" ref="N11" si="16">SUM(N5:N10)</f>
        <v>1.0000000000000002</v>
      </c>
      <c r="Q11" s="5" t="s">
        <v>46</v>
      </c>
      <c r="R11">
        <f>T11/(1-($Q$18*R23))</f>
        <v>0.21801566579634465</v>
      </c>
      <c r="T11">
        <v>0.16700000000000001</v>
      </c>
      <c r="U11" t="s">
        <v>46</v>
      </c>
      <c r="X11">
        <f>$R$4*C42</f>
        <v>1.2549E-5</v>
      </c>
    </row>
    <row r="12" spans="2:25" x14ac:dyDescent="0.35">
      <c r="Q12" s="5" t="s">
        <v>47</v>
      </c>
      <c r="R12">
        <f>T12/(1-($Q$18*R24))</f>
        <v>0.43287671232876712</v>
      </c>
      <c r="T12">
        <v>0.316</v>
      </c>
      <c r="U12" t="s">
        <v>47</v>
      </c>
      <c r="X12">
        <f t="shared" ref="X12:X14" si="17">$R$4*C43</f>
        <v>1.8956999999999998E-5</v>
      </c>
    </row>
    <row r="13" spans="2:25" x14ac:dyDescent="0.35">
      <c r="B13" s="36" t="s">
        <v>100</v>
      </c>
      <c r="C13" s="36"/>
      <c r="D13" s="36"/>
      <c r="E13" s="36"/>
      <c r="F13" s="37">
        <v>0</v>
      </c>
      <c r="G13" s="37">
        <f>F5*$Y$4</f>
        <v>1.3009796534413758E-4</v>
      </c>
      <c r="H13" s="37">
        <f t="shared" ref="H13:M13" si="18">G5*$Y$4</f>
        <v>1.2927919379924428E-4</v>
      </c>
      <c r="I13" s="37">
        <f t="shared" si="18"/>
        <v>1.2846557519306874E-4</v>
      </c>
      <c r="J13" s="37">
        <f t="shared" si="18"/>
        <v>1.2765707709559116E-4</v>
      </c>
      <c r="K13" s="37">
        <f t="shared" si="18"/>
        <v>1.2685366728089003E-4</v>
      </c>
      <c r="L13" s="37">
        <f t="shared" si="18"/>
        <v>1.2605531372585774E-4</v>
      </c>
      <c r="M13" s="37">
        <f t="shared" si="18"/>
        <v>1.2526198460892406E-4</v>
      </c>
      <c r="N13" s="37">
        <f t="shared" ref="N13" si="19">M5*$Y$4</f>
        <v>1.2447364830878781E-4</v>
      </c>
      <c r="Q13" s="5"/>
      <c r="X13">
        <f t="shared" si="17"/>
        <v>7.7429999999999996E-5</v>
      </c>
    </row>
    <row r="14" spans="2:25" x14ac:dyDescent="0.35">
      <c r="B14" s="11" t="s">
        <v>81</v>
      </c>
      <c r="C14" s="11"/>
      <c r="D14" s="11"/>
      <c r="E14" s="11"/>
      <c r="F14" s="29">
        <f>F6</f>
        <v>2.9137728513880514E-4</v>
      </c>
      <c r="G14" s="23">
        <f>F14-(F14*$R$6)-(F14*$R$9)</f>
        <v>1.9013883340493265E-4</v>
      </c>
      <c r="H14" s="23">
        <f>(G14+G13)-((G14+G13)*$R$6)-((G14+G13)*$R$9)</f>
        <v>2.0897116705055488E-4</v>
      </c>
      <c r="I14" s="23">
        <f t="shared" ref="I14:N14" si="20">(H14+H13)-((H14+H13)*$R$6)-((H14+H13)*$R$9)</f>
        <v>2.2072595322638282E-4</v>
      </c>
      <c r="J14" s="23">
        <f t="shared" si="20"/>
        <v>2.2786563412769456E-4</v>
      </c>
      <c r="K14" s="23">
        <f t="shared" si="20"/>
        <v>2.3199706019895106E-4</v>
      </c>
      <c r="L14" s="23">
        <f t="shared" si="20"/>
        <v>2.3416876390012543E-4</v>
      </c>
      <c r="M14" s="23">
        <f t="shared" si="20"/>
        <v>2.3506494629992901E-4</v>
      </c>
      <c r="N14" s="23">
        <f t="shared" si="20"/>
        <v>2.3513206341651356E-4</v>
      </c>
      <c r="X14">
        <f t="shared" si="17"/>
        <v>2.4563999999999997E-5</v>
      </c>
    </row>
    <row r="15" spans="2:25" x14ac:dyDescent="0.35">
      <c r="B15" s="11" t="s">
        <v>73</v>
      </c>
      <c r="C15" s="11"/>
      <c r="D15" s="11"/>
      <c r="E15" s="11"/>
      <c r="F15" s="23">
        <v>0</v>
      </c>
      <c r="G15" s="23">
        <f>F14*$R$6</f>
        <v>9.0326958393029599E-5</v>
      </c>
      <c r="H15" s="23">
        <f>(G14+G13)*$R$6</f>
        <v>9.9273407612211775E-5</v>
      </c>
      <c r="I15" s="23">
        <f t="shared" ref="I15:N15" si="21">(H14+H13)*$R$6</f>
        <v>1.0485761186343774E-4</v>
      </c>
      <c r="J15" s="23">
        <f t="shared" si="21"/>
        <v>1.0824937381002997E-4</v>
      </c>
      <c r="K15" s="23">
        <f t="shared" si="21"/>
        <v>1.1021204047921856E-4</v>
      </c>
      <c r="L15" s="23">
        <f t="shared" si="21"/>
        <v>1.1124372551875074E-4</v>
      </c>
      <c r="M15" s="23">
        <f t="shared" si="21"/>
        <v>1.1166946406405478E-4</v>
      </c>
      <c r="N15" s="23">
        <f t="shared" si="21"/>
        <v>1.1170134858174445E-4</v>
      </c>
    </row>
    <row r="16" spans="2:25" x14ac:dyDescent="0.35">
      <c r="B16" s="38" t="s">
        <v>109</v>
      </c>
      <c r="C16" s="38"/>
      <c r="D16" s="38"/>
      <c r="E16" s="38"/>
      <c r="F16" s="37">
        <v>0</v>
      </c>
      <c r="G16" s="37">
        <f>F5*$Y$5</f>
        <v>0</v>
      </c>
      <c r="H16" s="37">
        <f t="shared" ref="H16:M16" si="22">G5*$Y$5</f>
        <v>0</v>
      </c>
      <c r="I16" s="37">
        <f t="shared" si="22"/>
        <v>0</v>
      </c>
      <c r="J16" s="37">
        <f t="shared" si="22"/>
        <v>0</v>
      </c>
      <c r="K16" s="37">
        <f t="shared" si="22"/>
        <v>0</v>
      </c>
      <c r="L16" s="37">
        <f t="shared" si="22"/>
        <v>0</v>
      </c>
      <c r="M16" s="37">
        <f t="shared" si="22"/>
        <v>0</v>
      </c>
      <c r="N16" s="37">
        <f t="shared" ref="N16" si="23">M5*$Y$5</f>
        <v>0</v>
      </c>
    </row>
    <row r="17" spans="2:28" x14ac:dyDescent="0.35">
      <c r="B17" s="11" t="s">
        <v>82</v>
      </c>
      <c r="C17" s="11"/>
      <c r="D17" s="11"/>
      <c r="E17" s="11"/>
      <c r="F17" s="29">
        <f>F7</f>
        <v>1.3457535985924636E-4</v>
      </c>
      <c r="G17" s="23">
        <f t="shared" ref="G17:N17" si="24">(F17+F15)-((F17+F15)*$R$10)-((F17+F15)*$R$7)</f>
        <v>7.8826938572039404E-5</v>
      </c>
      <c r="H17" s="23">
        <f>(G17+G16+G15)-((G17+G16+G15)*$R$10)-((G17+G16+G15)*$R$7)</f>
        <v>9.9081168047647164E-5</v>
      </c>
      <c r="I17" s="23">
        <f t="shared" si="24"/>
        <v>1.1618534007545032E-4</v>
      </c>
      <c r="J17" s="23">
        <f t="shared" si="24"/>
        <v>1.2947495895603071E-4</v>
      </c>
      <c r="K17" s="23">
        <f t="shared" si="24"/>
        <v>1.392460060714584E-4</v>
      </c>
      <c r="L17" s="23">
        <f t="shared" si="24"/>
        <v>1.4611897848401027E-4</v>
      </c>
      <c r="M17" s="23">
        <f t="shared" si="24"/>
        <v>1.5074909760879023E-4</v>
      </c>
      <c r="N17" s="23">
        <f t="shared" si="24"/>
        <v>1.5371054450668834E-4</v>
      </c>
      <c r="Q17" t="s">
        <v>72</v>
      </c>
      <c r="T17" t="s">
        <v>112</v>
      </c>
    </row>
    <row r="18" spans="2:28" x14ac:dyDescent="0.35">
      <c r="B18" s="11" t="s">
        <v>74</v>
      </c>
      <c r="C18" s="11"/>
      <c r="D18" s="11"/>
      <c r="E18" s="11"/>
      <c r="F18" s="23">
        <v>0</v>
      </c>
      <c r="G18" s="23">
        <f>(F17+F15)*$R$7</f>
        <v>4.4679019473269795E-5</v>
      </c>
      <c r="H18" s="23">
        <f>(G17+G16+G15)*$R$7</f>
        <v>5.6159093792402917E-5</v>
      </c>
      <c r="I18" s="23">
        <f t="shared" ref="I18:N18" si="25">(H17+H15)*$R$7</f>
        <v>6.5853719119073176E-5</v>
      </c>
      <c r="J18" s="23">
        <f t="shared" si="25"/>
        <v>7.338626004371084E-5</v>
      </c>
      <c r="K18" s="23">
        <f t="shared" si="25"/>
        <v>7.8924478478332143E-5</v>
      </c>
      <c r="L18" s="23">
        <f t="shared" si="25"/>
        <v>8.282007145482476E-5</v>
      </c>
      <c r="M18" s="23">
        <f t="shared" si="25"/>
        <v>8.544441772891666E-5</v>
      </c>
      <c r="N18" s="23">
        <f t="shared" si="25"/>
        <v>8.7122962475384545E-5</v>
      </c>
      <c r="Q18">
        <v>0.36</v>
      </c>
    </row>
    <row r="19" spans="2:28" x14ac:dyDescent="0.35">
      <c r="B19" s="11" t="s">
        <v>83</v>
      </c>
      <c r="C19" s="11"/>
      <c r="D19" s="11"/>
      <c r="E19" s="11"/>
      <c r="F19" s="23">
        <v>0</v>
      </c>
      <c r="G19" s="23">
        <f>F18-(F18*R11)-(F18*R8)</f>
        <v>0</v>
      </c>
      <c r="H19" s="23">
        <f t="shared" ref="H19:N19" si="26">(G19+G18)-((G19+G18)*$R$11)-((G19+G18)*$R$8)</f>
        <v>1.3268968851141186E-5</v>
      </c>
      <c r="I19" s="23">
        <f t="shared" si="26"/>
        <v>2.061904695924262E-5</v>
      </c>
      <c r="J19" s="23">
        <f t="shared" si="26"/>
        <v>2.5681056860517055E-5</v>
      </c>
      <c r="K19" s="23">
        <f t="shared" si="26"/>
        <v>2.9421441152144649E-5</v>
      </c>
      <c r="L19" s="23">
        <f t="shared" si="26"/>
        <v>3.21770408051399E-5</v>
      </c>
      <c r="M19" s="23">
        <f t="shared" si="26"/>
        <v>3.4152340819868619E-5</v>
      </c>
      <c r="N19" s="23">
        <f t="shared" si="26"/>
        <v>3.5518363710526324E-5</v>
      </c>
    </row>
    <row r="20" spans="2:28" x14ac:dyDescent="0.35">
      <c r="B20" s="11" t="s">
        <v>75</v>
      </c>
      <c r="C20" s="11"/>
      <c r="D20" s="11"/>
      <c r="E20" s="11"/>
      <c r="F20" s="28">
        <v>0</v>
      </c>
      <c r="G20" s="23">
        <f>F18*R8</f>
        <v>0</v>
      </c>
      <c r="H20" s="23">
        <f>(G19+G18)*$R$8</f>
        <v>2.1669324444535849E-5</v>
      </c>
      <c r="I20" s="23">
        <f t="shared" ref="I20:N20" si="27">(H19+H18)*$R$8</f>
        <v>3.3672610382118891E-5</v>
      </c>
      <c r="J20" s="23">
        <f t="shared" si="27"/>
        <v>4.1939291547983163E-5</v>
      </c>
      <c r="K20" s="23">
        <f t="shared" si="27"/>
        <v>4.8047648698550526E-5</v>
      </c>
      <c r="L20" s="23">
        <f t="shared" si="27"/>
        <v>5.2547771020781241E-5</v>
      </c>
      <c r="M20" s="23">
        <f t="shared" si="27"/>
        <v>5.5773599446082856E-5</v>
      </c>
      <c r="N20" s="23">
        <f t="shared" si="27"/>
        <v>5.8004427896160862E-5</v>
      </c>
      <c r="Q20" t="s">
        <v>89</v>
      </c>
    </row>
    <row r="21" spans="2:28" x14ac:dyDescent="0.35">
      <c r="B21" s="11" t="s">
        <v>84</v>
      </c>
      <c r="C21" s="11"/>
      <c r="D21" s="11"/>
      <c r="E21" s="11"/>
      <c r="F21" s="28">
        <v>0</v>
      </c>
      <c r="G21" s="28">
        <v>0</v>
      </c>
      <c r="H21" s="23">
        <f>G20-(G20*R12)</f>
        <v>0</v>
      </c>
      <c r="I21" s="23">
        <f>(H20+H21)-((H20+H21)*$R$12)</f>
        <v>1.2289178520599782E-5</v>
      </c>
      <c r="J21" s="23">
        <f>(I20+I21)-((I20+I21)*$R$12)</f>
        <v>2.6066000829761001E-5</v>
      </c>
      <c r="K21" s="23">
        <f>(J20+J21)-((J20+J21)*$R$12)</f>
        <v>3.8567384992309705E-5</v>
      </c>
      <c r="L21" s="23">
        <f>(K20+K21)-((K20+K21)*$R$12)</f>
        <v>4.912140266851525E-5</v>
      </c>
      <c r="M21" s="23">
        <f>(L20+L21)-((L20+L21)*$R$12)</f>
        <v>5.7658956037491431E-5</v>
      </c>
      <c r="N21" s="23">
        <f>(M20+M21)-((M20+M21)*$R$12)</f>
        <v>6.4330243794794196E-5</v>
      </c>
      <c r="Q21" t="s">
        <v>0</v>
      </c>
      <c r="R21">
        <v>0.77500000000000002</v>
      </c>
    </row>
    <row r="22" spans="2:28" x14ac:dyDescent="0.35">
      <c r="B22" s="11" t="s">
        <v>78</v>
      </c>
      <c r="C22" s="11"/>
      <c r="D22" s="11"/>
      <c r="E22" s="11"/>
      <c r="F22" s="23">
        <v>0</v>
      </c>
      <c r="G22" s="23">
        <f t="shared" ref="G22" si="28">F14*$R$9</f>
        <v>1.091149334084291E-5</v>
      </c>
      <c r="H22" s="23">
        <f>(G14+G13)*$R$9</f>
        <v>1.19922240863036E-5</v>
      </c>
      <c r="I22" s="23">
        <f t="shared" ref="I22:N22" si="29">(H14+H13)*$R$9</f>
        <v>1.2666795759978608E-5</v>
      </c>
      <c r="J22" s="23">
        <f t="shared" si="29"/>
        <v>1.3076520481727033E-5</v>
      </c>
      <c r="K22" s="23">
        <f t="shared" si="29"/>
        <v>1.3313610545116108E-5</v>
      </c>
      <c r="L22" s="23">
        <f t="shared" si="29"/>
        <v>1.3438238060964922E-5</v>
      </c>
      <c r="M22" s="23">
        <f t="shared" si="29"/>
        <v>1.3489667261999368E-5</v>
      </c>
      <c r="N22" s="23">
        <f t="shared" si="29"/>
        <v>1.3493518910595051E-5</v>
      </c>
      <c r="Q22" t="s">
        <v>1</v>
      </c>
      <c r="R22">
        <v>0.68400000000000005</v>
      </c>
    </row>
    <row r="23" spans="2:28" x14ac:dyDescent="0.35">
      <c r="B23" s="11" t="s">
        <v>79</v>
      </c>
      <c r="C23" s="11"/>
      <c r="D23" s="11"/>
      <c r="E23" s="11"/>
      <c r="F23" s="23">
        <v>0</v>
      </c>
      <c r="G23" s="23">
        <f t="shared" ref="G23:N23" si="30">(F17+F15)*$R$10</f>
        <v>1.106940181393716E-5</v>
      </c>
      <c r="H23" s="23">
        <f>(G17+G16+G15)*$R$10</f>
        <v>1.3913635125018943E-5</v>
      </c>
      <c r="I23" s="23">
        <f t="shared" si="30"/>
        <v>1.631551646533546E-5</v>
      </c>
      <c r="J23" s="23">
        <f t="shared" si="30"/>
        <v>1.8181732939146493E-5</v>
      </c>
      <c r="K23" s="23">
        <f t="shared" si="30"/>
        <v>1.9553848216270114E-5</v>
      </c>
      <c r="L23" s="23">
        <f t="shared" si="30"/>
        <v>2.051899661184193E-5</v>
      </c>
      <c r="M23" s="23">
        <f t="shared" si="30"/>
        <v>2.1169188665054106E-5</v>
      </c>
      <c r="N23" s="23">
        <f t="shared" si="30"/>
        <v>2.1585054690772115E-5</v>
      </c>
      <c r="Q23" t="s">
        <v>2</v>
      </c>
      <c r="R23">
        <v>0.65</v>
      </c>
      <c r="U23" s="5"/>
      <c r="V23" s="5"/>
      <c r="W23" s="5"/>
    </row>
    <row r="24" spans="2:28" x14ac:dyDescent="0.35">
      <c r="B24" s="11" t="s">
        <v>80</v>
      </c>
      <c r="C24" s="11"/>
      <c r="D24" s="11"/>
      <c r="E24" s="11"/>
      <c r="F24" s="28">
        <v>0</v>
      </c>
      <c r="G24" s="23">
        <f>F18*R11</f>
        <v>0</v>
      </c>
      <c r="H24" s="23">
        <f>(G19+G18)*$R$11</f>
        <v>9.7407261775927623E-6</v>
      </c>
      <c r="I24" s="23">
        <f t="shared" ref="H24:N24" si="31">(H19+H18)*$R$11</f>
        <v>1.5136405302182594E-5</v>
      </c>
      <c r="J24" s="23">
        <f t="shared" si="31"/>
        <v>1.8852417669815585E-5</v>
      </c>
      <c r="K24" s="23">
        <f t="shared" si="31"/>
        <v>2.1598227053532713E-5</v>
      </c>
      <c r="L24" s="23">
        <f t="shared" si="31"/>
        <v>2.3621107804555643E-5</v>
      </c>
      <c r="M24" s="23">
        <f t="shared" si="31"/>
        <v>2.5071171994013183E-5</v>
      </c>
      <c r="N24" s="23">
        <f t="shared" si="31"/>
        <v>2.6073966942098096E-5</v>
      </c>
      <c r="Q24" t="s">
        <v>3</v>
      </c>
      <c r="R24">
        <v>0.75</v>
      </c>
      <c r="U24" s="5"/>
      <c r="V24" s="5"/>
      <c r="W24" s="5" t="s">
        <v>113</v>
      </c>
    </row>
    <row r="25" spans="2:28" x14ac:dyDescent="0.35">
      <c r="B25" s="11" t="s">
        <v>76</v>
      </c>
      <c r="C25" s="11"/>
      <c r="D25" s="11"/>
      <c r="E25" s="11"/>
      <c r="F25" s="28">
        <v>0</v>
      </c>
      <c r="G25" s="28">
        <v>0</v>
      </c>
      <c r="H25" s="23">
        <f>G20*R12</f>
        <v>0</v>
      </c>
      <c r="I25" s="23">
        <f>(H20+H21)*$R$12</f>
        <v>9.3801459239360663E-6</v>
      </c>
      <c r="J25" s="23">
        <f>(I20+I21)*$R$12</f>
        <v>1.9895788072957672E-5</v>
      </c>
      <c r="K25" s="23">
        <f>(J20+J21)*$R$12</f>
        <v>2.9437907385434459E-5</v>
      </c>
      <c r="L25" s="23">
        <f>(K20+K21)*$R$12</f>
        <v>3.7493631022344974E-5</v>
      </c>
      <c r="M25" s="23">
        <f>(L20+L21)*$R$12</f>
        <v>4.4010217651805054E-5</v>
      </c>
      <c r="N25" s="23">
        <f>(M20+M21)*$R$12</f>
        <v>4.9102311688780104E-5</v>
      </c>
      <c r="U25" s="5"/>
      <c r="V25" s="5"/>
      <c r="W25" s="5" t="s">
        <v>114</v>
      </c>
      <c r="Y25" s="39">
        <v>0.1</v>
      </c>
      <c r="Z25" s="39">
        <v>0.2</v>
      </c>
      <c r="AA25" s="39">
        <v>0.5</v>
      </c>
      <c r="AB25" s="39">
        <v>0.8</v>
      </c>
    </row>
    <row r="26" spans="2:28" x14ac:dyDescent="0.35">
      <c r="B26" s="11" t="s">
        <v>86</v>
      </c>
      <c r="C26" s="11"/>
      <c r="D26" s="11"/>
      <c r="E26" s="11"/>
      <c r="F26" s="28">
        <v>0</v>
      </c>
      <c r="G26" s="23">
        <f>SUM(F22:F25)</f>
        <v>0</v>
      </c>
      <c r="H26" s="23">
        <f>SUM(G22:G26)</f>
        <v>2.198089515478007E-5</v>
      </c>
      <c r="I26" s="23">
        <f t="shared" ref="I26:N26" si="32">SUM(H22:H26)</f>
        <v>5.7627480543695374E-5</v>
      </c>
      <c r="J26" s="23">
        <f t="shared" si="32"/>
        <v>1.1112634399512811E-4</v>
      </c>
      <c r="K26" s="23">
        <f t="shared" si="32"/>
        <v>1.8113280315877489E-4</v>
      </c>
      <c r="L26" s="23">
        <f t="shared" si="32"/>
        <v>2.6503639635912831E-4</v>
      </c>
      <c r="M26" s="23">
        <f t="shared" si="32"/>
        <v>3.6010836985883577E-4</v>
      </c>
      <c r="N26" s="23">
        <f t="shared" si="32"/>
        <v>4.6384861543170749E-4</v>
      </c>
      <c r="U26" s="5"/>
      <c r="V26" s="5"/>
      <c r="W26" s="5"/>
    </row>
    <row r="27" spans="2:28" s="34" customFormat="1" x14ac:dyDescent="0.35">
      <c r="B27" s="31" t="s">
        <v>106</v>
      </c>
      <c r="C27" s="31"/>
      <c r="D27" s="31"/>
      <c r="E27" s="31"/>
      <c r="F27" s="32">
        <f>SUM(F13:F26)</f>
        <v>4.259526449980515E-4</v>
      </c>
      <c r="G27" s="33">
        <f>SUM(G13:G26)</f>
        <v>5.5605061034218921E-4</v>
      </c>
      <c r="H27" s="33">
        <f>SUM(H13:H26)</f>
        <v>6.8532980414143349E-4</v>
      </c>
      <c r="I27" s="33">
        <f t="shared" ref="H27:M27" si="33">SUM(I13:I26)</f>
        <v>8.1379537933450204E-4</v>
      </c>
      <c r="J27" s="33">
        <f t="shared" si="33"/>
        <v>9.4145245643009333E-4</v>
      </c>
      <c r="K27" s="33">
        <f t="shared" si="33"/>
        <v>1.0683061237109833E-3</v>
      </c>
      <c r="L27" s="33">
        <f t="shared" si="33"/>
        <v>1.194361437436841E-3</v>
      </c>
      <c r="M27" s="33">
        <f t="shared" si="33"/>
        <v>1.3196234220457649E-3</v>
      </c>
      <c r="N27" s="33">
        <f t="shared" ref="N27" si="34">SUM(N13:N26)</f>
        <v>1.444097070354553E-3</v>
      </c>
      <c r="X27"/>
    </row>
    <row r="28" spans="2:28" x14ac:dyDescent="0.35">
      <c r="B28" s="11" t="s">
        <v>85</v>
      </c>
      <c r="C28" s="11"/>
      <c r="D28" s="11"/>
      <c r="E28" s="11"/>
      <c r="F28" s="30">
        <f>F27-F13</f>
        <v>4.259526449980515E-4</v>
      </c>
      <c r="G28" s="30">
        <f>G27-G13-G16</f>
        <v>4.2595264499805166E-4</v>
      </c>
      <c r="H28" s="30">
        <f>H27-H13-G13-G16-H16</f>
        <v>4.2595264499805166E-4</v>
      </c>
      <c r="I28" s="30">
        <f>I27-I13-H13-G13-G16-H16-I16</f>
        <v>4.2595264499805145E-4</v>
      </c>
      <c r="J28" s="30">
        <f>J27-J13-I13-H13-G13-G16-H16-I16-J16</f>
        <v>4.2595264499805155E-4</v>
      </c>
      <c r="K28" s="30">
        <f>K27-K13-J13-I13-H13-G13-G16-H16-I16-J16-K16</f>
        <v>4.2595264499805145E-4</v>
      </c>
      <c r="L28" s="30">
        <f>L27-L13-K13-J13-I13-H13-G13-G16-H16-I16-J16-K16-L16</f>
        <v>4.2595264499805145E-4</v>
      </c>
      <c r="M28" s="30">
        <f>M27-M13-L13-K13-J13-I13-H13-G13-G16-H16-I16-J16-K16-L16-M16</f>
        <v>4.2595264499805123E-4</v>
      </c>
      <c r="N28" s="30">
        <f>N27-N13-M13-L13-K13-J13-I13-H13-H16-I16-J16-K16-L16-M16-N16</f>
        <v>5.56050610342189E-4</v>
      </c>
    </row>
    <row r="29" spans="2:28" x14ac:dyDescent="0.3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U29" s="5"/>
      <c r="W29" s="24"/>
    </row>
    <row r="30" spans="2:28" x14ac:dyDescent="0.35">
      <c r="B30" s="13" t="s">
        <v>90</v>
      </c>
      <c r="C30" s="11"/>
      <c r="D30" s="11"/>
      <c r="E30" s="11"/>
      <c r="F30" s="14">
        <f t="shared" ref="F30:M30" si="35">SUM(F22:F26)/F27</f>
        <v>0</v>
      </c>
      <c r="G30" s="14">
        <f t="shared" si="35"/>
        <v>3.9530385806524335E-2</v>
      </c>
      <c r="H30" s="14">
        <f t="shared" si="35"/>
        <v>8.4087223692087709E-2</v>
      </c>
      <c r="I30" s="14">
        <f t="shared" si="35"/>
        <v>0.13655317640904274</v>
      </c>
      <c r="J30" s="14">
        <f t="shared" si="35"/>
        <v>0.19239718577570544</v>
      </c>
      <c r="K30" s="14">
        <f t="shared" si="35"/>
        <v>0.24809030901973053</v>
      </c>
      <c r="L30" s="14">
        <f t="shared" si="35"/>
        <v>0.3015070300927048</v>
      </c>
      <c r="M30" s="14">
        <f t="shared" si="35"/>
        <v>0.35150074459319586</v>
      </c>
      <c r="N30" s="14">
        <f t="shared" ref="N30" si="36">SUM(N22:N26)/N27</f>
        <v>0.39755185399205861</v>
      </c>
      <c r="O30" s="21">
        <f>GEOMEAN(G30:M30)</f>
        <v>0.15646884209679118</v>
      </c>
      <c r="P30" s="18">
        <f>AVERAGE(F30:M30)</f>
        <v>0.16920825692362393</v>
      </c>
      <c r="Q30" s="19">
        <f>MEDIAN(F30:M30)</f>
        <v>0.16447518109237408</v>
      </c>
      <c r="U30" s="5"/>
      <c r="W30" s="24"/>
    </row>
    <row r="32" spans="2:28" x14ac:dyDescent="0.35">
      <c r="B32" s="17" t="s">
        <v>92</v>
      </c>
      <c r="F32" s="23">
        <v>0</v>
      </c>
      <c r="G32" s="23">
        <f>SUM(G22:G25)</f>
        <v>2.198089515478007E-5</v>
      </c>
      <c r="H32" s="23">
        <f t="shared" ref="H32:M32" si="37">SUM(H22:H25)</f>
        <v>3.5646585388915304E-5</v>
      </c>
      <c r="I32" s="23">
        <f t="shared" si="37"/>
        <v>5.3498863451432731E-5</v>
      </c>
      <c r="J32" s="23">
        <f t="shared" si="37"/>
        <v>7.0006459163646782E-5</v>
      </c>
      <c r="K32" s="23">
        <f t="shared" si="37"/>
        <v>8.3903593200353394E-5</v>
      </c>
      <c r="L32" s="23">
        <f t="shared" si="37"/>
        <v>9.5071973499707467E-5</v>
      </c>
      <c r="M32" s="23">
        <f t="shared" si="37"/>
        <v>1.0374024557287172E-4</v>
      </c>
      <c r="N32" s="23">
        <f t="shared" ref="N32" si="38">SUM(N22:N25)</f>
        <v>1.1025485223224536E-4</v>
      </c>
    </row>
    <row r="33" spans="2:23" x14ac:dyDescent="0.35">
      <c r="B33" s="11" t="s">
        <v>93</v>
      </c>
      <c r="F33" s="23">
        <v>0</v>
      </c>
      <c r="G33" s="23">
        <f>G26</f>
        <v>0</v>
      </c>
      <c r="H33" s="23">
        <f>H26</f>
        <v>2.198089515478007E-5</v>
      </c>
      <c r="I33" s="23">
        <f t="shared" ref="I33:M33" si="39">I26</f>
        <v>5.7627480543695374E-5</v>
      </c>
      <c r="J33" s="23">
        <f t="shared" si="39"/>
        <v>1.1112634399512811E-4</v>
      </c>
      <c r="K33" s="23">
        <f t="shared" si="39"/>
        <v>1.8113280315877489E-4</v>
      </c>
      <c r="L33" s="23">
        <f t="shared" si="39"/>
        <v>2.6503639635912831E-4</v>
      </c>
      <c r="M33" s="23">
        <f t="shared" si="39"/>
        <v>3.6010836985883577E-4</v>
      </c>
      <c r="N33" s="23">
        <f t="shared" ref="N33" si="40">N26</f>
        <v>4.6384861543170749E-4</v>
      </c>
    </row>
    <row r="34" spans="2:23" x14ac:dyDescent="0.35">
      <c r="B34" s="5" t="s">
        <v>91</v>
      </c>
      <c r="F34" s="23">
        <f>F10-E10-(E5*$R$5)</f>
        <v>1.2992075697699623E-4</v>
      </c>
      <c r="G34" s="23">
        <f>G10-F10-(F5*$R$5)</f>
        <v>1.0368069750297301E-4</v>
      </c>
      <c r="H34" s="23">
        <f>H10-G10-(G5*$R$5)</f>
        <v>9.0147103526971341E-5</v>
      </c>
      <c r="I34" s="23">
        <f>I10-H10-(H5*$R$5)</f>
        <v>8.6832745856080251E-5</v>
      </c>
      <c r="J34" s="23">
        <f t="shared" ref="J34:N34" si="41">J10-I10-(I5*$R$5)</f>
        <v>8.9631176853851614E-5</v>
      </c>
      <c r="K34" s="23">
        <f t="shared" si="41"/>
        <v>9.5247144455310254E-5</v>
      </c>
      <c r="L34" s="23">
        <f t="shared" si="41"/>
        <v>1.0156869553123744E-4</v>
      </c>
      <c r="M34" s="23">
        <f t="shared" si="41"/>
        <v>1.0744355533037764E-4</v>
      </c>
      <c r="N34" s="23">
        <f t="shared" si="41"/>
        <v>1.1236068875938865E-4</v>
      </c>
      <c r="T34" s="27"/>
      <c r="U34" s="25"/>
      <c r="V34" s="25"/>
      <c r="W34" s="25"/>
    </row>
    <row r="35" spans="2:23" x14ac:dyDescent="0.35">
      <c r="B35" t="s">
        <v>94</v>
      </c>
      <c r="F35" s="23">
        <f>SUM($F34:F34)</f>
        <v>1.2992075697699623E-4</v>
      </c>
      <c r="G35" s="23">
        <f>SUM($F34:G34)</f>
        <v>2.3360145447996923E-4</v>
      </c>
      <c r="H35" s="23">
        <f>SUM($F34:H34)</f>
        <v>3.2374855800694057E-4</v>
      </c>
      <c r="I35" s="23">
        <f>SUM($F34:I34)</f>
        <v>4.1058130386302082E-4</v>
      </c>
      <c r="J35" s="23">
        <f>SUM($F34:J34)</f>
        <v>5.0021248071687244E-4</v>
      </c>
      <c r="K35" s="23">
        <f>SUM($F34:K34)</f>
        <v>5.9545962517218269E-4</v>
      </c>
      <c r="L35" s="23">
        <f>SUM($F34:L34)</f>
        <v>6.9702832070342013E-4</v>
      </c>
      <c r="M35" s="23">
        <f>SUM($F34:M34)</f>
        <v>8.0447187603379777E-4</v>
      </c>
      <c r="N35" s="23">
        <f>SUM($F34:N34)</f>
        <v>9.1683256479318642E-4</v>
      </c>
      <c r="T35" s="25"/>
      <c r="U35" s="25"/>
      <c r="V35" s="25"/>
      <c r="W35" s="25"/>
    </row>
    <row r="36" spans="2:23" x14ac:dyDescent="0.35">
      <c r="F36">
        <v>2022</v>
      </c>
      <c r="G36">
        <v>2023</v>
      </c>
      <c r="H36">
        <v>2024</v>
      </c>
      <c r="I36">
        <v>2025</v>
      </c>
      <c r="J36">
        <v>2026</v>
      </c>
      <c r="K36">
        <v>2027</v>
      </c>
      <c r="L36">
        <v>2028</v>
      </c>
      <c r="M36">
        <v>2029</v>
      </c>
      <c r="N36">
        <v>2030</v>
      </c>
      <c r="T36" s="25"/>
      <c r="U36" s="25"/>
      <c r="V36" s="25"/>
      <c r="W36" s="25"/>
    </row>
    <row r="37" spans="2:23" x14ac:dyDescent="0.35">
      <c r="B37" s="5" t="s">
        <v>96</v>
      </c>
      <c r="F37" s="26">
        <f>F32/F34</f>
        <v>0</v>
      </c>
      <c r="G37" s="26">
        <f>G32/G34</f>
        <v>0.21200566435377013</v>
      </c>
      <c r="H37" s="26">
        <f t="shared" ref="H37:L37" si="42">H32/H34</f>
        <v>0.39542685226985813</v>
      </c>
      <c r="I37" s="26">
        <f t="shared" si="42"/>
        <v>0.61611392020360256</v>
      </c>
      <c r="J37" s="26">
        <f t="shared" si="42"/>
        <v>0.78105031776829204</v>
      </c>
      <c r="K37" s="26">
        <f t="shared" si="42"/>
        <v>0.88090402793881939</v>
      </c>
      <c r="L37" s="26">
        <f t="shared" si="42"/>
        <v>0.93603617731280297</v>
      </c>
      <c r="M37" s="26">
        <f>M32/M34</f>
        <v>0.96553250917545841</v>
      </c>
      <c r="N37" s="26">
        <f>N32/N34</f>
        <v>0.9812582447616286</v>
      </c>
      <c r="O37" s="35">
        <f>GEOMEAN(G37:N37)</f>
        <v>0.64910602209525115</v>
      </c>
      <c r="P37" s="16">
        <f>AVERAGE(G37:M37)</f>
        <v>0.68386706700322908</v>
      </c>
      <c r="Q37" s="16">
        <f>MEDIAN(G37:M37)</f>
        <v>0.78105031776829204</v>
      </c>
      <c r="T37" s="25"/>
      <c r="U37" s="25"/>
      <c r="V37" s="25"/>
      <c r="W37" s="25"/>
    </row>
    <row r="38" spans="2:23" x14ac:dyDescent="0.35">
      <c r="B38" t="s">
        <v>95</v>
      </c>
      <c r="F38" s="15">
        <f>F33/F35</f>
        <v>0</v>
      </c>
      <c r="G38" s="15">
        <f t="shared" ref="G38:L38" si="43">G33/G35</f>
        <v>0</v>
      </c>
      <c r="H38" s="15">
        <f t="shared" si="43"/>
        <v>6.7894959255104512E-2</v>
      </c>
      <c r="I38" s="15">
        <f t="shared" si="43"/>
        <v>0.14035583208854829</v>
      </c>
      <c r="J38" s="15">
        <f t="shared" si="43"/>
        <v>0.22215827928937112</v>
      </c>
      <c r="K38" s="15">
        <f t="shared" si="43"/>
        <v>0.30418989886408948</v>
      </c>
      <c r="L38" s="15">
        <f t="shared" si="43"/>
        <v>0.38023762950070883</v>
      </c>
      <c r="M38" s="15">
        <f>M33/M35</f>
        <v>0.4476332617545809</v>
      </c>
      <c r="N38" s="15">
        <f>N33/N35</f>
        <v>0.50592510916793154</v>
      </c>
    </row>
    <row r="39" spans="2:23" x14ac:dyDescent="0.35">
      <c r="F39" s="15"/>
      <c r="G39" s="15"/>
      <c r="H39" s="15"/>
      <c r="I39" s="15"/>
      <c r="J39" s="15"/>
      <c r="K39" s="15"/>
      <c r="L39" s="15"/>
      <c r="M39" s="15"/>
    </row>
    <row r="41" spans="2:23" x14ac:dyDescent="0.35">
      <c r="B41" t="s">
        <v>7</v>
      </c>
    </row>
    <row r="42" spans="2:23" x14ac:dyDescent="0.35">
      <c r="B42" t="s">
        <v>0</v>
      </c>
      <c r="C42">
        <v>9.4E-2</v>
      </c>
    </row>
    <row r="43" spans="2:23" x14ac:dyDescent="0.35">
      <c r="B43" t="s">
        <v>1</v>
      </c>
      <c r="C43">
        <v>0.14199999999999999</v>
      </c>
      <c r="J43" s="7" t="s">
        <v>17</v>
      </c>
      <c r="K43">
        <v>1</v>
      </c>
      <c r="L43">
        <v>2</v>
      </c>
      <c r="M43">
        <v>3</v>
      </c>
      <c r="N43">
        <v>4</v>
      </c>
      <c r="O43" s="7" t="s">
        <v>59</v>
      </c>
    </row>
    <row r="44" spans="2:23" x14ac:dyDescent="0.35">
      <c r="B44" t="s">
        <v>2</v>
      </c>
      <c r="C44">
        <v>0.57999999999999996</v>
      </c>
      <c r="I44" s="7" t="s">
        <v>17</v>
      </c>
      <c r="J44" t="s">
        <v>62</v>
      </c>
      <c r="K44" t="s">
        <v>9</v>
      </c>
      <c r="O44" t="s">
        <v>49</v>
      </c>
    </row>
    <row r="45" spans="2:23" x14ac:dyDescent="0.35">
      <c r="B45" t="s">
        <v>3</v>
      </c>
      <c r="C45">
        <v>0.184</v>
      </c>
      <c r="I45">
        <v>1</v>
      </c>
      <c r="K45" t="s">
        <v>63</v>
      </c>
      <c r="L45" t="s">
        <v>28</v>
      </c>
      <c r="O45" t="s">
        <v>13</v>
      </c>
    </row>
    <row r="46" spans="2:23" x14ac:dyDescent="0.35">
      <c r="I46">
        <v>2</v>
      </c>
      <c r="L46" t="s">
        <v>64</v>
      </c>
      <c r="M46" t="s">
        <v>15</v>
      </c>
      <c r="O46" t="s">
        <v>41</v>
      </c>
    </row>
    <row r="47" spans="2:23" x14ac:dyDescent="0.35">
      <c r="B47" t="s">
        <v>60</v>
      </c>
      <c r="C47">
        <f>69/100000</f>
        <v>6.8999999999999997E-4</v>
      </c>
      <c r="I47">
        <v>3</v>
      </c>
      <c r="M47" t="s">
        <v>65</v>
      </c>
      <c r="N47" t="s">
        <v>29</v>
      </c>
      <c r="O47" t="s">
        <v>46</v>
      </c>
    </row>
    <row r="48" spans="2:23" x14ac:dyDescent="0.35">
      <c r="B48" t="s">
        <v>61</v>
      </c>
      <c r="C48">
        <f>616/100000</f>
        <v>6.1599999999999997E-3</v>
      </c>
      <c r="I48">
        <v>4</v>
      </c>
      <c r="N48" t="s">
        <v>40</v>
      </c>
      <c r="O48" t="s">
        <v>47</v>
      </c>
    </row>
    <row r="49" spans="8:15" x14ac:dyDescent="0.35">
      <c r="I49" t="s">
        <v>59</v>
      </c>
      <c r="O49" t="s">
        <v>66</v>
      </c>
    </row>
    <row r="50" spans="8:15" ht="15.5" x14ac:dyDescent="0.35">
      <c r="H5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breast cancer</vt:lpstr>
      <vt:lpstr>colon cancer</vt:lpstr>
      <vt:lpstr>cervical 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2021-06-28T17:34:51Z</dcterms:created>
  <dcterms:modified xsi:type="dcterms:W3CDTF">2021-07-06T23:25:36Z</dcterms:modified>
</cp:coreProperties>
</file>