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NCD-Countdown\new_inputs\source data\"/>
    </mc:Choice>
  </mc:AlternateContent>
  <xr:revisionPtr revIDLastSave="0" documentId="13_ncr:1_{08E08D01-533F-44E2-984B-21687F6A3BFD}" xr6:coauthVersionLast="47" xr6:coauthVersionMax="47" xr10:uidLastSave="{00000000-0000-0000-0000-000000000000}"/>
  <bookViews>
    <workbookView xWindow="-28920" yWindow="2790" windowWidth="29040" windowHeight="15840" activeTab="3" xr2:uid="{DFF12E6E-C586-4C61-9E68-0C84B7D4DF23}"/>
  </bookViews>
  <sheets>
    <sheet name="Sheet1" sheetId="1" r:id="rId1"/>
    <sheet name="breast cancer" sheetId="2" r:id="rId2"/>
    <sheet name="colon cancer" sheetId="3" r:id="rId3"/>
    <sheet name="cervical canc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4" l="1"/>
  <c r="G25" i="4"/>
  <c r="C6" i="4"/>
  <c r="Y5" i="4"/>
  <c r="Y4" i="4"/>
  <c r="C47" i="4"/>
  <c r="C10" i="4" s="1"/>
  <c r="M34" i="3"/>
  <c r="J31" i="2"/>
  <c r="J34" i="2"/>
  <c r="J10" i="2"/>
  <c r="J11" i="2"/>
  <c r="K31" i="2"/>
  <c r="I34" i="2"/>
  <c r="G34" i="2"/>
  <c r="C44" i="2"/>
  <c r="C45" i="2"/>
  <c r="C46" i="4"/>
  <c r="C45" i="3"/>
  <c r="C10" i="3" s="1"/>
  <c r="C44" i="3"/>
  <c r="C8" i="3" s="1"/>
  <c r="R12" i="4"/>
  <c r="R11" i="4"/>
  <c r="R10" i="4"/>
  <c r="R9" i="4"/>
  <c r="R4" i="4"/>
  <c r="Y6" i="4" s="1"/>
  <c r="R5" i="3"/>
  <c r="R4" i="3"/>
  <c r="R12" i="3"/>
  <c r="R11" i="3"/>
  <c r="R10" i="3"/>
  <c r="R9" i="3"/>
  <c r="C9" i="3"/>
  <c r="C7" i="3"/>
  <c r="C6" i="3"/>
  <c r="C5" i="3"/>
  <c r="Y7" i="4" l="1"/>
  <c r="C9" i="4"/>
  <c r="C7" i="4"/>
  <c r="C5" i="4"/>
  <c r="D5" i="4" s="1"/>
  <c r="E5" i="4" s="1"/>
  <c r="F5" i="4" s="1"/>
  <c r="G5" i="4" s="1"/>
  <c r="H5" i="4" s="1"/>
  <c r="I5" i="4" s="1"/>
  <c r="J5" i="4" s="1"/>
  <c r="K5" i="4" s="1"/>
  <c r="L5" i="4" s="1"/>
  <c r="M5" i="4" s="1"/>
  <c r="C8" i="4"/>
  <c r="D8" i="4" s="1"/>
  <c r="D5" i="3"/>
  <c r="E5" i="3" s="1"/>
  <c r="D9" i="3"/>
  <c r="D8" i="3"/>
  <c r="D10" i="3"/>
  <c r="D6" i="3"/>
  <c r="E6" i="3" s="1"/>
  <c r="D7" i="3"/>
  <c r="C11" i="3"/>
  <c r="C6" i="2"/>
  <c r="R10" i="2"/>
  <c r="R11" i="2"/>
  <c r="R12" i="2"/>
  <c r="R9" i="2"/>
  <c r="C5" i="2"/>
  <c r="D5" i="2" s="1"/>
  <c r="C10" i="2"/>
  <c r="C7" i="2"/>
  <c r="C8" i="2"/>
  <c r="C9" i="2"/>
  <c r="D7" i="4" l="1"/>
  <c r="D9" i="4"/>
  <c r="E9" i="4" s="1"/>
  <c r="D6" i="4"/>
  <c r="E6" i="4" s="1"/>
  <c r="F6" i="4" s="1"/>
  <c r="D10" i="4"/>
  <c r="C11" i="4"/>
  <c r="F6" i="3"/>
  <c r="F13" i="3" s="1"/>
  <c r="E9" i="3"/>
  <c r="F20" i="3"/>
  <c r="F14" i="3"/>
  <c r="D11" i="3"/>
  <c r="E10" i="3"/>
  <c r="F5" i="3"/>
  <c r="G6" i="3" s="1"/>
  <c r="E7" i="3"/>
  <c r="F7" i="3" s="1"/>
  <c r="E8" i="3"/>
  <c r="D6" i="2"/>
  <c r="D9" i="2"/>
  <c r="D7" i="2"/>
  <c r="D10" i="2"/>
  <c r="D8" i="2"/>
  <c r="E5" i="2"/>
  <c r="C11" i="2"/>
  <c r="G6" i="4" l="1"/>
  <c r="H6" i="4" s="1"/>
  <c r="I6" i="4" s="1"/>
  <c r="J6" i="4" s="1"/>
  <c r="K6" i="4" s="1"/>
  <c r="L6" i="4" s="1"/>
  <c r="M6" i="4" s="1"/>
  <c r="F14" i="4"/>
  <c r="G14" i="4" s="1"/>
  <c r="E10" i="4"/>
  <c r="F10" i="4" s="1"/>
  <c r="F33" i="4" s="1"/>
  <c r="F9" i="4"/>
  <c r="G9" i="4" s="1"/>
  <c r="H9" i="4" s="1"/>
  <c r="E7" i="4"/>
  <c r="F7" i="4" s="1"/>
  <c r="E8" i="4"/>
  <c r="F8" i="4" s="1"/>
  <c r="G8" i="4" s="1"/>
  <c r="D11" i="4"/>
  <c r="G13" i="4"/>
  <c r="F8" i="3"/>
  <c r="G8" i="3" s="1"/>
  <c r="E11" i="3"/>
  <c r="F9" i="3"/>
  <c r="G20" i="3"/>
  <c r="G14" i="3"/>
  <c r="G13" i="3"/>
  <c r="F10" i="3"/>
  <c r="G7" i="3"/>
  <c r="H7" i="3" s="1"/>
  <c r="F21" i="3"/>
  <c r="G24" i="3" s="1"/>
  <c r="G30" i="3" s="1"/>
  <c r="F16" i="3"/>
  <c r="F15" i="3"/>
  <c r="G5" i="3"/>
  <c r="E6" i="2"/>
  <c r="F6" i="2" s="1"/>
  <c r="E7" i="2"/>
  <c r="D11" i="2"/>
  <c r="E9" i="2"/>
  <c r="E10" i="2"/>
  <c r="E8" i="2"/>
  <c r="F5" i="2"/>
  <c r="F34" i="4" l="1"/>
  <c r="G10" i="4"/>
  <c r="G7" i="4"/>
  <c r="H7" i="4" s="1"/>
  <c r="I7" i="4" s="1"/>
  <c r="J7" i="4" s="1"/>
  <c r="K7" i="4" s="1"/>
  <c r="L7" i="4" s="1"/>
  <c r="M7" i="4" s="1"/>
  <c r="F16" i="4"/>
  <c r="F36" i="4"/>
  <c r="E11" i="4"/>
  <c r="H13" i="4"/>
  <c r="G9" i="3"/>
  <c r="H9" i="3" s="1"/>
  <c r="F11" i="3"/>
  <c r="H5" i="3"/>
  <c r="G21" i="3"/>
  <c r="G16" i="3"/>
  <c r="G15" i="3"/>
  <c r="F31" i="3"/>
  <c r="G10" i="3"/>
  <c r="G22" i="3"/>
  <c r="G17" i="3"/>
  <c r="G18" i="3"/>
  <c r="F25" i="3"/>
  <c r="F27" i="3" s="1"/>
  <c r="H14" i="3"/>
  <c r="H13" i="3"/>
  <c r="H20" i="3"/>
  <c r="H8" i="3"/>
  <c r="I8" i="3" s="1"/>
  <c r="H6" i="3"/>
  <c r="F14" i="2"/>
  <c r="F13" i="2"/>
  <c r="F20" i="2"/>
  <c r="F8" i="2"/>
  <c r="G5" i="2"/>
  <c r="F7" i="2"/>
  <c r="F15" i="2" s="1"/>
  <c r="E11" i="2"/>
  <c r="F10" i="2"/>
  <c r="F9" i="2"/>
  <c r="G6" i="2"/>
  <c r="H8" i="4" l="1"/>
  <c r="H10" i="4"/>
  <c r="I10" i="4" s="1"/>
  <c r="I33" i="4" s="1"/>
  <c r="F37" i="4"/>
  <c r="F11" i="4"/>
  <c r="G33" i="4"/>
  <c r="G17" i="4"/>
  <c r="G21" i="4"/>
  <c r="G15" i="4"/>
  <c r="G23" i="4"/>
  <c r="G18" i="4"/>
  <c r="G19" i="4"/>
  <c r="G32" i="4"/>
  <c r="I6" i="3"/>
  <c r="G29" i="3"/>
  <c r="H24" i="3"/>
  <c r="H30" i="3" s="1"/>
  <c r="H15" i="3"/>
  <c r="H21" i="3"/>
  <c r="H16" i="3"/>
  <c r="I7" i="3"/>
  <c r="G25" i="3"/>
  <c r="G27" i="3" s="1"/>
  <c r="G31" i="3"/>
  <c r="H10" i="3"/>
  <c r="H11" i="3" s="1"/>
  <c r="I20" i="3"/>
  <c r="I14" i="3"/>
  <c r="I13" i="3"/>
  <c r="I5" i="3"/>
  <c r="J6" i="3" s="1"/>
  <c r="H23" i="3"/>
  <c r="H19" i="3"/>
  <c r="H22" i="3"/>
  <c r="H17" i="3"/>
  <c r="H18" i="3"/>
  <c r="I9" i="3"/>
  <c r="J9" i="3" s="1"/>
  <c r="F34" i="3"/>
  <c r="F32" i="3"/>
  <c r="F35" i="3" s="1"/>
  <c r="G11" i="3"/>
  <c r="F31" i="2"/>
  <c r="F32" i="2" s="1"/>
  <c r="F35" i="2" s="1"/>
  <c r="G20" i="2"/>
  <c r="G13" i="2"/>
  <c r="G14" i="2"/>
  <c r="G21" i="2"/>
  <c r="G15" i="2"/>
  <c r="G16" i="2"/>
  <c r="F16" i="2"/>
  <c r="F21" i="2"/>
  <c r="G24" i="2" s="1"/>
  <c r="G30" i="2" s="1"/>
  <c r="G7" i="2"/>
  <c r="H7" i="2" s="1"/>
  <c r="G9" i="2"/>
  <c r="G8" i="2"/>
  <c r="G10" i="2"/>
  <c r="F11" i="2"/>
  <c r="H5" i="2"/>
  <c r="H6" i="2"/>
  <c r="G34" i="4" l="1"/>
  <c r="H34" i="4"/>
  <c r="I8" i="4"/>
  <c r="J8" i="4" s="1"/>
  <c r="K8" i="4" s="1"/>
  <c r="L8" i="4" s="1"/>
  <c r="M8" i="4" s="1"/>
  <c r="I9" i="4"/>
  <c r="F26" i="4"/>
  <c r="G11" i="4"/>
  <c r="G16" i="4"/>
  <c r="H16" i="4" s="1"/>
  <c r="G22" i="4"/>
  <c r="G31" i="4" s="1"/>
  <c r="G36" i="4" s="1"/>
  <c r="H11" i="4"/>
  <c r="I13" i="4"/>
  <c r="H21" i="4"/>
  <c r="H14" i="4"/>
  <c r="H15" i="4"/>
  <c r="J7" i="3"/>
  <c r="G37" i="4"/>
  <c r="H19" i="4"/>
  <c r="H23" i="4"/>
  <c r="H18" i="4"/>
  <c r="H24" i="4"/>
  <c r="H20" i="4"/>
  <c r="H33" i="4"/>
  <c r="I34" i="4" s="1"/>
  <c r="J13" i="4"/>
  <c r="H22" i="4"/>
  <c r="G34" i="3"/>
  <c r="G32" i="3"/>
  <c r="G35" i="3" s="1"/>
  <c r="H29" i="3"/>
  <c r="I24" i="3"/>
  <c r="I30" i="3" s="1"/>
  <c r="H25" i="3"/>
  <c r="H27" i="3" s="1"/>
  <c r="J8" i="3"/>
  <c r="K8" i="3" s="1"/>
  <c r="I23" i="3"/>
  <c r="I19" i="3"/>
  <c r="I10" i="3"/>
  <c r="I11" i="3" s="1"/>
  <c r="H31" i="3"/>
  <c r="I21" i="3"/>
  <c r="I16" i="3"/>
  <c r="I15" i="3"/>
  <c r="J5" i="3"/>
  <c r="K6" i="3" s="1"/>
  <c r="I18" i="3"/>
  <c r="I17" i="3"/>
  <c r="I22" i="3"/>
  <c r="J20" i="3"/>
  <c r="J14" i="3"/>
  <c r="J13" i="3"/>
  <c r="K7" i="3"/>
  <c r="G31" i="2"/>
  <c r="G32" i="2" s="1"/>
  <c r="G35" i="2" s="1"/>
  <c r="F34" i="2"/>
  <c r="F25" i="2"/>
  <c r="F27" i="2" s="1"/>
  <c r="G17" i="2"/>
  <c r="H20" i="2"/>
  <c r="H14" i="2"/>
  <c r="H13" i="2"/>
  <c r="H21" i="2"/>
  <c r="H15" i="2"/>
  <c r="H16" i="2"/>
  <c r="G22" i="2"/>
  <c r="H24" i="2" s="1"/>
  <c r="H30" i="2" s="1"/>
  <c r="G18" i="2"/>
  <c r="H8" i="2"/>
  <c r="I8" i="2" s="1"/>
  <c r="H10" i="2"/>
  <c r="H31" i="2" s="1"/>
  <c r="G11" i="2"/>
  <c r="H9" i="2"/>
  <c r="I6" i="2"/>
  <c r="I7" i="2"/>
  <c r="I5" i="2"/>
  <c r="F29" i="4" l="1"/>
  <c r="F27" i="4"/>
  <c r="J9" i="4"/>
  <c r="K9" i="4" s="1"/>
  <c r="L9" i="4" s="1"/>
  <c r="M9" i="4" s="1"/>
  <c r="J10" i="4"/>
  <c r="K10" i="4" s="1"/>
  <c r="L10" i="4" s="1"/>
  <c r="M10" i="4" s="1"/>
  <c r="H17" i="4"/>
  <c r="I18" i="4" s="1"/>
  <c r="H25" i="4"/>
  <c r="H32" i="4" s="1"/>
  <c r="H37" i="4" s="1"/>
  <c r="G26" i="4"/>
  <c r="I14" i="4"/>
  <c r="I21" i="4"/>
  <c r="I15" i="4"/>
  <c r="H32" i="2"/>
  <c r="K13" i="4"/>
  <c r="I24" i="4"/>
  <c r="I20" i="4"/>
  <c r="I17" i="4"/>
  <c r="I22" i="4"/>
  <c r="I16" i="4"/>
  <c r="H31" i="4"/>
  <c r="H36" i="4" s="1"/>
  <c r="I23" i="4"/>
  <c r="I19" i="4"/>
  <c r="H34" i="3"/>
  <c r="K9" i="3"/>
  <c r="L9" i="3" s="1"/>
  <c r="I25" i="3"/>
  <c r="I27" i="3" s="1"/>
  <c r="I29" i="3"/>
  <c r="J23" i="3"/>
  <c r="J19" i="3"/>
  <c r="L7" i="3"/>
  <c r="L8" i="3"/>
  <c r="H32" i="3"/>
  <c r="H35" i="3" s="1"/>
  <c r="J24" i="3"/>
  <c r="J30" i="3" s="1"/>
  <c r="K5" i="3"/>
  <c r="K20" i="3"/>
  <c r="K14" i="3"/>
  <c r="K13" i="3"/>
  <c r="J18" i="3"/>
  <c r="J22" i="3"/>
  <c r="J17" i="3"/>
  <c r="J21" i="3"/>
  <c r="J16" i="3"/>
  <c r="J15" i="3"/>
  <c r="I31" i="3"/>
  <c r="J10" i="3"/>
  <c r="G29" i="2"/>
  <c r="H35" i="2"/>
  <c r="H19" i="2"/>
  <c r="H23" i="2"/>
  <c r="I15" i="2"/>
  <c r="I21" i="2"/>
  <c r="I16" i="2"/>
  <c r="G25" i="2"/>
  <c r="G27" i="2" s="1"/>
  <c r="H22" i="2"/>
  <c r="H17" i="2"/>
  <c r="H18" i="2"/>
  <c r="I14" i="2"/>
  <c r="I20" i="2"/>
  <c r="I13" i="2"/>
  <c r="H11" i="2"/>
  <c r="J6" i="2"/>
  <c r="J7" i="2"/>
  <c r="I10" i="2"/>
  <c r="I31" i="2" s="1"/>
  <c r="I9" i="2"/>
  <c r="J8" i="2"/>
  <c r="J5" i="2"/>
  <c r="G29" i="4" l="1"/>
  <c r="G27" i="4"/>
  <c r="I25" i="4"/>
  <c r="I32" i="4" s="1"/>
  <c r="H26" i="4"/>
  <c r="I11" i="4"/>
  <c r="J14" i="4"/>
  <c r="J15" i="4"/>
  <c r="J21" i="4"/>
  <c r="M8" i="3"/>
  <c r="J22" i="4"/>
  <c r="J17" i="4"/>
  <c r="J16" i="4"/>
  <c r="J11" i="4"/>
  <c r="J20" i="4"/>
  <c r="J24" i="4"/>
  <c r="J23" i="4"/>
  <c r="J18" i="4"/>
  <c r="J19" i="4"/>
  <c r="I31" i="4"/>
  <c r="I36" i="4" s="1"/>
  <c r="I34" i="3"/>
  <c r="M9" i="3"/>
  <c r="J25" i="3"/>
  <c r="J27" i="3" s="1"/>
  <c r="K24" i="3"/>
  <c r="K30" i="3" s="1"/>
  <c r="J31" i="3"/>
  <c r="J32" i="3" s="1"/>
  <c r="J35" i="3" s="1"/>
  <c r="K10" i="3"/>
  <c r="K11" i="3" s="1"/>
  <c r="K22" i="3"/>
  <c r="K17" i="3"/>
  <c r="K18" i="3"/>
  <c r="L20" i="3"/>
  <c r="L13" i="3"/>
  <c r="L14" i="3"/>
  <c r="L5" i="3"/>
  <c r="J29" i="3"/>
  <c r="K21" i="3"/>
  <c r="K16" i="3"/>
  <c r="K15" i="3"/>
  <c r="J11" i="3"/>
  <c r="I32" i="3"/>
  <c r="I35" i="3" s="1"/>
  <c r="K19" i="3"/>
  <c r="K23" i="3"/>
  <c r="L6" i="3"/>
  <c r="H29" i="2"/>
  <c r="H34" i="2" s="1"/>
  <c r="I32" i="2"/>
  <c r="I24" i="2"/>
  <c r="I30" i="2" s="1"/>
  <c r="J13" i="2"/>
  <c r="J20" i="2"/>
  <c r="J14" i="2"/>
  <c r="I22" i="2"/>
  <c r="I17" i="2"/>
  <c r="I18" i="2"/>
  <c r="J15" i="2"/>
  <c r="J21" i="2"/>
  <c r="J16" i="2"/>
  <c r="H25" i="2"/>
  <c r="H27" i="2" s="1"/>
  <c r="I23" i="2"/>
  <c r="I19" i="2"/>
  <c r="K8" i="2"/>
  <c r="J32" i="2"/>
  <c r="K7" i="2"/>
  <c r="J9" i="2"/>
  <c r="I11" i="2"/>
  <c r="K5" i="2"/>
  <c r="K6" i="2"/>
  <c r="H29" i="4" l="1"/>
  <c r="H27" i="4"/>
  <c r="J25" i="4"/>
  <c r="J32" i="4" s="1"/>
  <c r="I37" i="4"/>
  <c r="I26" i="4"/>
  <c r="J33" i="4"/>
  <c r="J34" i="4" s="1"/>
  <c r="L13" i="4"/>
  <c r="K14" i="4"/>
  <c r="K21" i="4"/>
  <c r="K15" i="4"/>
  <c r="J26" i="4"/>
  <c r="M6" i="3"/>
  <c r="K24" i="4"/>
  <c r="K20" i="4"/>
  <c r="K23" i="4"/>
  <c r="K18" i="4"/>
  <c r="K19" i="4"/>
  <c r="J31" i="4"/>
  <c r="K25" i="4"/>
  <c r="K32" i="4" s="1"/>
  <c r="K16" i="4"/>
  <c r="K17" i="4"/>
  <c r="K22" i="4"/>
  <c r="K33" i="4"/>
  <c r="M13" i="4"/>
  <c r="K11" i="4"/>
  <c r="J34" i="3"/>
  <c r="L24" i="3"/>
  <c r="L30" i="3" s="1"/>
  <c r="K25" i="3"/>
  <c r="K27" i="3" s="1"/>
  <c r="M7" i="3"/>
  <c r="K29" i="3"/>
  <c r="L22" i="3"/>
  <c r="L17" i="3"/>
  <c r="L18" i="3"/>
  <c r="M5" i="3"/>
  <c r="L16" i="3"/>
  <c r="L15" i="3"/>
  <c r="L21" i="3"/>
  <c r="L19" i="3"/>
  <c r="L23" i="3"/>
  <c r="M20" i="3"/>
  <c r="M14" i="3"/>
  <c r="M13" i="3"/>
  <c r="L10" i="3"/>
  <c r="K31" i="3"/>
  <c r="I29" i="2"/>
  <c r="I35" i="2"/>
  <c r="J24" i="2"/>
  <c r="J30" i="2" s="1"/>
  <c r="J35" i="2" s="1"/>
  <c r="I25" i="2"/>
  <c r="I27" i="2" s="1"/>
  <c r="J23" i="2"/>
  <c r="J19" i="2"/>
  <c r="J17" i="2"/>
  <c r="J22" i="2"/>
  <c r="J29" i="2" s="1"/>
  <c r="J18" i="2"/>
  <c r="K15" i="2"/>
  <c r="K16" i="2"/>
  <c r="K21" i="2"/>
  <c r="K20" i="2"/>
  <c r="K14" i="2"/>
  <c r="K13" i="2"/>
  <c r="L8" i="2"/>
  <c r="K10" i="2"/>
  <c r="K32" i="2" s="1"/>
  <c r="L7" i="2"/>
  <c r="K9" i="2"/>
  <c r="L5" i="2"/>
  <c r="L6" i="2"/>
  <c r="J29" i="4" l="1"/>
  <c r="J27" i="4"/>
  <c r="J37" i="4"/>
  <c r="I29" i="4"/>
  <c r="I27" i="4"/>
  <c r="J36" i="4"/>
  <c r="K34" i="4"/>
  <c r="L14" i="4"/>
  <c r="L15" i="4"/>
  <c r="L21" i="4"/>
  <c r="K26" i="4"/>
  <c r="L11" i="4"/>
  <c r="L33" i="4"/>
  <c r="L34" i="4" s="1"/>
  <c r="M33" i="4"/>
  <c r="K31" i="4"/>
  <c r="K36" i="4" s="1"/>
  <c r="L25" i="4"/>
  <c r="L32" i="4" s="1"/>
  <c r="L24" i="4"/>
  <c r="L20" i="4"/>
  <c r="K37" i="4"/>
  <c r="L19" i="4"/>
  <c r="L23" i="4"/>
  <c r="L18" i="4"/>
  <c r="L22" i="4"/>
  <c r="L17" i="4"/>
  <c r="L16" i="4"/>
  <c r="L29" i="3"/>
  <c r="L25" i="3"/>
  <c r="L27" i="3" s="1"/>
  <c r="M10" i="3"/>
  <c r="M31" i="3" s="1"/>
  <c r="L31" i="3"/>
  <c r="M21" i="3"/>
  <c r="M16" i="3"/>
  <c r="M15" i="3"/>
  <c r="M18" i="3"/>
  <c r="M22" i="3"/>
  <c r="M17" i="3"/>
  <c r="M24" i="3"/>
  <c r="M30" i="3" s="1"/>
  <c r="M23" i="3"/>
  <c r="M19" i="3"/>
  <c r="K32" i="3"/>
  <c r="K35" i="3" s="1"/>
  <c r="L11" i="3"/>
  <c r="K34" i="3"/>
  <c r="K24" i="2"/>
  <c r="K30" i="2" s="1"/>
  <c r="K35" i="2" s="1"/>
  <c r="J25" i="2"/>
  <c r="J27" i="2" s="1"/>
  <c r="L15" i="2"/>
  <c r="L16" i="2"/>
  <c r="L21" i="2"/>
  <c r="K23" i="2"/>
  <c r="K19" i="2"/>
  <c r="L10" i="2"/>
  <c r="L31" i="2" s="1"/>
  <c r="L32" i="2" s="1"/>
  <c r="L14" i="2"/>
  <c r="L20" i="2"/>
  <c r="L13" i="2"/>
  <c r="K17" i="2"/>
  <c r="K18" i="2"/>
  <c r="K22" i="2"/>
  <c r="K29" i="2" s="1"/>
  <c r="K34" i="2" s="1"/>
  <c r="K11" i="2"/>
  <c r="M8" i="2"/>
  <c r="M7" i="2"/>
  <c r="L9" i="2"/>
  <c r="M6" i="2"/>
  <c r="M5" i="2"/>
  <c r="K29" i="4" l="1"/>
  <c r="K27" i="4"/>
  <c r="M34" i="4"/>
  <c r="M14" i="4"/>
  <c r="M21" i="4"/>
  <c r="M15" i="4"/>
  <c r="L26" i="4"/>
  <c r="L34" i="3"/>
  <c r="M22" i="4"/>
  <c r="M16" i="4"/>
  <c r="M17" i="4"/>
  <c r="M24" i="4"/>
  <c r="M20" i="4"/>
  <c r="L37" i="4"/>
  <c r="M11" i="4"/>
  <c r="M23" i="4"/>
  <c r="M18" i="4"/>
  <c r="M19" i="4"/>
  <c r="L31" i="4"/>
  <c r="L36" i="4" s="1"/>
  <c r="M25" i="4"/>
  <c r="M32" i="4" s="1"/>
  <c r="M37" i="4" s="1"/>
  <c r="L32" i="3"/>
  <c r="L35" i="3" s="1"/>
  <c r="M29" i="3"/>
  <c r="M11" i="3"/>
  <c r="M25" i="3"/>
  <c r="M27" i="3" s="1"/>
  <c r="O27" i="3" s="1"/>
  <c r="M32" i="3"/>
  <c r="M35" i="3" s="1"/>
  <c r="Q27" i="3"/>
  <c r="L24" i="2"/>
  <c r="L30" i="2" s="1"/>
  <c r="L35" i="2" s="1"/>
  <c r="L19" i="2"/>
  <c r="M20" i="2"/>
  <c r="M14" i="2"/>
  <c r="M13" i="2"/>
  <c r="M15" i="2"/>
  <c r="M21" i="2"/>
  <c r="M16" i="2"/>
  <c r="L17" i="2"/>
  <c r="L18" i="2"/>
  <c r="L22" i="2"/>
  <c r="M10" i="2"/>
  <c r="M31" i="2" s="1"/>
  <c r="M32" i="2" s="1"/>
  <c r="K25" i="2"/>
  <c r="K27" i="2" s="1"/>
  <c r="L23" i="2"/>
  <c r="M9" i="2"/>
  <c r="L11" i="2"/>
  <c r="L29" i="4" l="1"/>
  <c r="L27" i="4"/>
  <c r="M26" i="4"/>
  <c r="M29" i="4" s="1"/>
  <c r="M31" i="4"/>
  <c r="M36" i="4" s="1"/>
  <c r="Q34" i="3"/>
  <c r="P34" i="3"/>
  <c r="O34" i="3"/>
  <c r="T34" i="3" s="1"/>
  <c r="P27" i="3"/>
  <c r="L29" i="2"/>
  <c r="L34" i="2" s="1"/>
  <c r="M23" i="2"/>
  <c r="M24" i="2"/>
  <c r="M30" i="2" s="1"/>
  <c r="M35" i="2" s="1"/>
  <c r="M19" i="2"/>
  <c r="L25" i="2"/>
  <c r="L27" i="2" s="1"/>
  <c r="M17" i="2"/>
  <c r="M22" i="2"/>
  <c r="M18" i="2"/>
  <c r="M11" i="2"/>
  <c r="P29" i="4" l="1"/>
  <c r="M27" i="4"/>
  <c r="Q36" i="4"/>
  <c r="P36" i="4"/>
  <c r="O36" i="4"/>
  <c r="Q29" i="4"/>
  <c r="O29" i="4"/>
  <c r="M29" i="2"/>
  <c r="M34" i="2" s="1"/>
  <c r="P34" i="2" s="1"/>
  <c r="M25" i="2"/>
  <c r="M27" i="2" s="1"/>
  <c r="Q34" i="2" l="1"/>
  <c r="O34" i="2"/>
  <c r="Q27" i="2"/>
  <c r="O27" i="2"/>
  <c r="P27" i="2"/>
</calcChain>
</file>

<file path=xl/sharedStrings.xml><?xml version="1.0" encoding="utf-8"?>
<sst xmlns="http://schemas.openxmlformats.org/spreadsheetml/2006/main" count="359" uniqueCount="117">
  <si>
    <t>Stage 1</t>
  </si>
  <si>
    <t>Stage 2</t>
  </si>
  <si>
    <t>Stage 3</t>
  </si>
  <si>
    <t>Stage 4</t>
  </si>
  <si>
    <t>Dead</t>
  </si>
  <si>
    <t>Transition probabilities</t>
  </si>
  <si>
    <t>Mortality reduction if found at that stage</t>
  </si>
  <si>
    <t>Estimate of current distribution</t>
  </si>
  <si>
    <t>Healthy</t>
  </si>
  <si>
    <t>y</t>
  </si>
  <si>
    <t>H -&gt; ddx1</t>
  </si>
  <si>
    <t>ddx1 -&gt;Stage 1</t>
  </si>
  <si>
    <t>d1</t>
  </si>
  <si>
    <t>m1</t>
  </si>
  <si>
    <t>ddx1 -&gt; ddx2</t>
  </si>
  <si>
    <t>p2</t>
  </si>
  <si>
    <t>**</t>
  </si>
  <si>
    <t>H</t>
  </si>
  <si>
    <t>UC1</t>
  </si>
  <si>
    <t>UC2</t>
  </si>
  <si>
    <t>UC3</t>
  </si>
  <si>
    <t>UC4</t>
  </si>
  <si>
    <t>C1</t>
  </si>
  <si>
    <t>C2</t>
  </si>
  <si>
    <t>C3</t>
  </si>
  <si>
    <t>C4</t>
  </si>
  <si>
    <t xml:space="preserve"> -y-m</t>
  </si>
  <si>
    <t xml:space="preserve"> -p1-d1-m</t>
  </si>
  <si>
    <t>p1</t>
  </si>
  <si>
    <t>p3</t>
  </si>
  <si>
    <t xml:space="preserve">Q = </t>
  </si>
  <si>
    <t>d2</t>
  </si>
  <si>
    <t>d3</t>
  </si>
  <si>
    <t>d4</t>
  </si>
  <si>
    <t xml:space="preserve"> - d4-m5</t>
  </si>
  <si>
    <t xml:space="preserve"> -p3 -d3-m</t>
  </si>
  <si>
    <t xml:space="preserve"> -p2 - d2 -m</t>
  </si>
  <si>
    <t xml:space="preserve"> -m1</t>
  </si>
  <si>
    <t xml:space="preserve"> -m2</t>
  </si>
  <si>
    <t xml:space="preserve"> -m3</t>
  </si>
  <si>
    <t xml:space="preserve"> -m4</t>
  </si>
  <si>
    <t>m2</t>
  </si>
  <si>
    <t>Stage 2 - &gt; dead (on treatment)</t>
  </si>
  <si>
    <t>Stage 1 -&gt; dead (on treatment)</t>
  </si>
  <si>
    <t>ddx2 -&gt; Stage 2</t>
  </si>
  <si>
    <t>ddx2 -&gt;ddx3</t>
  </si>
  <si>
    <t>m3</t>
  </si>
  <si>
    <t>m4</t>
  </si>
  <si>
    <t>m5</t>
  </si>
  <si>
    <t>m</t>
  </si>
  <si>
    <t>other mortality</t>
  </si>
  <si>
    <t>Untreated mortality</t>
  </si>
  <si>
    <t>Stage 4 - &gt; dead (on treatment)</t>
  </si>
  <si>
    <t>Stage 3 - &gt; dead (on treatment)</t>
  </si>
  <si>
    <t>ddx3 -&gt;Stage 3</t>
  </si>
  <si>
    <t>pre-ddx @ 1</t>
  </si>
  <si>
    <t>pre-ddx @ 2</t>
  </si>
  <si>
    <t>pre-ddx @ 3</t>
  </si>
  <si>
    <t>pre-ddx @ 4</t>
  </si>
  <si>
    <t>dead</t>
  </si>
  <si>
    <t>Prev</t>
  </si>
  <si>
    <t>Other MX</t>
  </si>
  <si>
    <t xml:space="preserve"> -y - m</t>
  </si>
  <si>
    <t xml:space="preserve"> - p1 -m1</t>
  </si>
  <si>
    <t xml:space="preserve"> - p2 - m2</t>
  </si>
  <si>
    <t xml:space="preserve"> - p3 - m3</t>
  </si>
  <si>
    <t>m+m1+m2+m3+m4</t>
  </si>
  <si>
    <t>Transitions</t>
  </si>
  <si>
    <t>sum</t>
  </si>
  <si>
    <t>Undo the coverage equation with effect sizes.**</t>
  </si>
  <si>
    <t>Baseline coverage**</t>
  </si>
  <si>
    <t>Median year with ddx (3-7 years)</t>
  </si>
  <si>
    <t>Baseline coverage</t>
  </si>
  <si>
    <t>1-&gt;2</t>
  </si>
  <si>
    <t>2-&gt;3</t>
  </si>
  <si>
    <t>3-&gt;4</t>
  </si>
  <si>
    <t>4-&gt;dead</t>
  </si>
  <si>
    <t>What proportion of people with Stage 1/2 in 2023 would die by 2030?</t>
  </si>
  <si>
    <t>1-&gt;dead</t>
  </si>
  <si>
    <t>2-&gt;dead</t>
  </si>
  <si>
    <t>3-&gt;dead</t>
  </si>
  <si>
    <t>Stay at 1</t>
  </si>
  <si>
    <t>Stay at 2</t>
  </si>
  <si>
    <t>Stay at 3</t>
  </si>
  <si>
    <t>Stay at 4</t>
  </si>
  <si>
    <t>check sum</t>
  </si>
  <si>
    <t>still dead</t>
  </si>
  <si>
    <t>NA</t>
  </si>
  <si>
    <t>Treated death rates</t>
  </si>
  <si>
    <t>Untreated mx --&gt;</t>
  </si>
  <si>
    <t>Mortality reduction if found at that stage (effect sizes)</t>
  </si>
  <si>
    <t>Cummulative proportion --&gt;</t>
  </si>
  <si>
    <t>New CA deaths</t>
  </si>
  <si>
    <t>New stage 1-2 deaths</t>
  </si>
  <si>
    <t>Cumulative stage 1-2 deaths</t>
  </si>
  <si>
    <t>Cumulative CA deaths</t>
  </si>
  <si>
    <t>stage 1-2 as share of cumulative CA deaths</t>
  </si>
  <si>
    <t>stage 1-2 as share of yearly CA deaths</t>
  </si>
  <si>
    <t>GBD 2019 age standardized incidence rate for females</t>
  </si>
  <si>
    <t>GBD 2019 age standardized all-cause mortality rate for females</t>
  </si>
  <si>
    <t>for age 20+ rates</t>
  </si>
  <si>
    <t>AFFECTED FRACTION</t>
  </si>
  <si>
    <t>Age-stand inc</t>
  </si>
  <si>
    <t>Age 20+ inc</t>
  </si>
  <si>
    <t>Age-stand death</t>
  </si>
  <si>
    <t>Age 20+ death</t>
  </si>
  <si>
    <t>Incidence</t>
  </si>
  <si>
    <t>Deaths</t>
  </si>
  <si>
    <t>case fatality * incidence / deaths</t>
  </si>
  <si>
    <t>**plot stage 1-2 as a share of yearly CA deaths</t>
  </si>
  <si>
    <t>H-&gt;1</t>
  </si>
  <si>
    <t>y1</t>
  </si>
  <si>
    <t>y2</t>
  </si>
  <si>
    <t>y3</t>
  </si>
  <si>
    <t>y4</t>
  </si>
  <si>
    <t>&gt; assuming the same distribution of stages over time…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</si>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</sst>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%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6"/>
      <color rgb="FF454545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left" vertical="center" indent="1"/>
    </xf>
    <xf numFmtId="0" fontId="4" fillId="0" borderId="0" xfId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7" fillId="0" borderId="0" xfId="0" applyFont="1"/>
    <xf numFmtId="165" fontId="7" fillId="0" borderId="0" xfId="0" applyNumberFormat="1" applyFont="1"/>
    <xf numFmtId="10" fontId="0" fillId="0" borderId="0" xfId="2" applyNumberFormat="1" applyFont="1" applyFill="1"/>
    <xf numFmtId="166" fontId="0" fillId="0" borderId="0" xfId="2" applyNumberFormat="1" applyFont="1"/>
    <xf numFmtId="166" fontId="0" fillId="0" borderId="0" xfId="0" applyNumberFormat="1"/>
    <xf numFmtId="9" fontId="1" fillId="0" borderId="0" xfId="2" applyFont="1"/>
    <xf numFmtId="165" fontId="1" fillId="0" borderId="0" xfId="0" applyNumberFormat="1" applyFont="1"/>
    <xf numFmtId="9" fontId="0" fillId="0" borderId="0" xfId="2" applyFont="1"/>
    <xf numFmtId="10" fontId="0" fillId="0" borderId="0" xfId="0" applyNumberFormat="1"/>
    <xf numFmtId="0" fontId="9" fillId="0" borderId="0" xfId="0" applyFont="1"/>
    <xf numFmtId="10" fontId="1" fillId="0" borderId="0" xfId="2" applyNumberFormat="1" applyFont="1" applyFill="1"/>
    <xf numFmtId="0" fontId="2" fillId="2" borderId="0" xfId="0" applyFont="1" applyFill="1"/>
    <xf numFmtId="167" fontId="0" fillId="0" borderId="0" xfId="0" applyNumberFormat="1"/>
    <xf numFmtId="4" fontId="0" fillId="0" borderId="0" xfId="0" applyNumberFormat="1"/>
    <xf numFmtId="0" fontId="0" fillId="0" borderId="0" xfId="0" applyFill="1"/>
    <xf numFmtId="166" fontId="0" fillId="3" borderId="0" xfId="2" applyNumberFormat="1" applyFont="1" applyFill="1"/>
    <xf numFmtId="0" fontId="2" fillId="0" borderId="0" xfId="0" applyFont="1" applyFill="1"/>
    <xf numFmtId="167" fontId="0" fillId="0" borderId="0" xfId="0" applyNumberFormat="1" applyAlignment="1">
      <alignment horizontal="right"/>
    </xf>
    <xf numFmtId="167" fontId="0" fillId="2" borderId="0" xfId="0" applyNumberFormat="1" applyFill="1"/>
    <xf numFmtId="167" fontId="0" fillId="0" borderId="0" xfId="0" applyNumberFormat="1" applyFill="1"/>
    <xf numFmtId="165" fontId="0" fillId="0" borderId="0" xfId="0" applyNumberFormat="1" applyFont="1"/>
    <xf numFmtId="167" fontId="0" fillId="2" borderId="0" xfId="0" applyNumberFormat="1" applyFont="1" applyFill="1"/>
    <xf numFmtId="167" fontId="0" fillId="0" borderId="0" xfId="0" applyNumberFormat="1" applyFont="1" applyFill="1"/>
    <xf numFmtId="0" fontId="0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184150</xdr:colOff>
      <xdr:row>14</xdr:row>
      <xdr:rowOff>165100</xdr:rowOff>
    </xdr:from>
    <xdr:to>
      <xdr:col>25</xdr:col>
      <xdr:colOff>174625</xdr:colOff>
      <xdr:row>42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489540-F345-4A90-9331-946C93DB878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0100" y="2743200"/>
          <a:ext cx="6086475" cy="50196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F59A-9D14-4F45-9923-ABC8586F2101}">
  <dimension ref="B1:P42"/>
  <sheetViews>
    <sheetView topLeftCell="F10" workbookViewId="0">
      <selection activeCell="H17" sqref="H17"/>
    </sheetView>
  </sheetViews>
  <sheetFormatPr defaultColWidth="8.81640625" defaultRowHeight="14.5" x14ac:dyDescent="0.35"/>
  <cols>
    <col min="3" max="3" width="28" customWidth="1"/>
    <col min="7" max="7" width="9.6328125" customWidth="1"/>
    <col min="8" max="8" width="10.6328125" customWidth="1"/>
    <col min="9" max="9" width="10" customWidth="1"/>
  </cols>
  <sheetData>
    <row r="1" spans="3:15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</row>
    <row r="2" spans="3:15" x14ac:dyDescent="0.35">
      <c r="D2" t="s">
        <v>8</v>
      </c>
    </row>
    <row r="3" spans="3:15" x14ac:dyDescent="0.35">
      <c r="D3" t="s">
        <v>55</v>
      </c>
    </row>
    <row r="4" spans="3:15" x14ac:dyDescent="0.35">
      <c r="D4" t="s">
        <v>56</v>
      </c>
    </row>
    <row r="5" spans="3:15" x14ac:dyDescent="0.35">
      <c r="D5" t="s">
        <v>57</v>
      </c>
    </row>
    <row r="6" spans="3:15" x14ac:dyDescent="0.35">
      <c r="D6" t="s">
        <v>58</v>
      </c>
    </row>
    <row r="7" spans="3:15" x14ac:dyDescent="0.35">
      <c r="D7" t="s">
        <v>0</v>
      </c>
    </row>
    <row r="8" spans="3:15" x14ac:dyDescent="0.35">
      <c r="D8" t="s">
        <v>1</v>
      </c>
    </row>
    <row r="9" spans="3:15" x14ac:dyDescent="0.35">
      <c r="D9" t="s">
        <v>2</v>
      </c>
    </row>
    <row r="10" spans="3:15" x14ac:dyDescent="0.35">
      <c r="D10" t="s">
        <v>3</v>
      </c>
    </row>
    <row r="11" spans="3:15" x14ac:dyDescent="0.35">
      <c r="D11" t="s">
        <v>4</v>
      </c>
    </row>
    <row r="13" spans="3:15" x14ac:dyDescent="0.35">
      <c r="H13" s="5" t="s">
        <v>70</v>
      </c>
    </row>
    <row r="14" spans="3:15" x14ac:dyDescent="0.35">
      <c r="D14" t="s">
        <v>5</v>
      </c>
      <c r="H14" t="s">
        <v>69</v>
      </c>
    </row>
    <row r="15" spans="3:15" x14ac:dyDescent="0.35">
      <c r="C15" t="s">
        <v>10</v>
      </c>
      <c r="D15" t="s">
        <v>9</v>
      </c>
    </row>
    <row r="16" spans="3:15" x14ac:dyDescent="0.35">
      <c r="C16" t="s">
        <v>11</v>
      </c>
      <c r="D16" t="s">
        <v>12</v>
      </c>
      <c r="H16" t="s">
        <v>71</v>
      </c>
    </row>
    <row r="17" spans="2:16" x14ac:dyDescent="0.35">
      <c r="C17" t="s">
        <v>43</v>
      </c>
      <c r="D17" t="s">
        <v>13</v>
      </c>
    </row>
    <row r="18" spans="2:16" x14ac:dyDescent="0.35">
      <c r="C18" t="s">
        <v>14</v>
      </c>
      <c r="D18" t="s">
        <v>28</v>
      </c>
      <c r="H18" s="4" t="s">
        <v>6</v>
      </c>
      <c r="I18" s="4"/>
      <c r="J18" s="4"/>
      <c r="K18" s="4"/>
    </row>
    <row r="19" spans="2:16" x14ac:dyDescent="0.35">
      <c r="B19" s="6" t="s">
        <v>16</v>
      </c>
      <c r="C19" t="s">
        <v>44</v>
      </c>
      <c r="D19" t="s">
        <v>31</v>
      </c>
      <c r="H19" t="s">
        <v>0</v>
      </c>
      <c r="I19">
        <v>0.95699999999999996</v>
      </c>
      <c r="P19" s="1"/>
    </row>
    <row r="20" spans="2:16" x14ac:dyDescent="0.35">
      <c r="C20" t="s">
        <v>42</v>
      </c>
      <c r="D20" t="s">
        <v>41</v>
      </c>
      <c r="H20" t="s">
        <v>1</v>
      </c>
      <c r="I20">
        <v>0.78300000000000003</v>
      </c>
      <c r="P20" s="1"/>
    </row>
    <row r="21" spans="2:16" x14ac:dyDescent="0.35">
      <c r="C21" t="s">
        <v>45</v>
      </c>
      <c r="D21" t="s">
        <v>15</v>
      </c>
      <c r="H21" t="s">
        <v>2</v>
      </c>
      <c r="I21">
        <v>0.59599999999999997</v>
      </c>
      <c r="P21" s="1"/>
    </row>
    <row r="22" spans="2:16" x14ac:dyDescent="0.35">
      <c r="C22" t="s">
        <v>54</v>
      </c>
      <c r="D22" t="s">
        <v>32</v>
      </c>
      <c r="H22" t="s">
        <v>3</v>
      </c>
      <c r="I22">
        <v>0.46</v>
      </c>
      <c r="P22" s="1"/>
    </row>
    <row r="23" spans="2:16" x14ac:dyDescent="0.35">
      <c r="C23" t="s">
        <v>53</v>
      </c>
      <c r="D23" t="s">
        <v>46</v>
      </c>
      <c r="P23" s="2"/>
    </row>
    <row r="24" spans="2:16" x14ac:dyDescent="0.35">
      <c r="D24" t="s">
        <v>29</v>
      </c>
      <c r="H24" t="s">
        <v>7</v>
      </c>
      <c r="P24" s="3"/>
    </row>
    <row r="25" spans="2:16" x14ac:dyDescent="0.35">
      <c r="D25" t="s">
        <v>33</v>
      </c>
      <c r="H25" t="s">
        <v>0</v>
      </c>
      <c r="I25">
        <v>9.4E-2</v>
      </c>
      <c r="P25" s="3"/>
    </row>
    <row r="26" spans="2:16" x14ac:dyDescent="0.35">
      <c r="C26" t="s">
        <v>52</v>
      </c>
      <c r="D26" t="s">
        <v>47</v>
      </c>
      <c r="H26" t="s">
        <v>1</v>
      </c>
      <c r="I26">
        <v>0.14199999999999999</v>
      </c>
      <c r="P26" s="3"/>
    </row>
    <row r="27" spans="2:16" x14ac:dyDescent="0.35">
      <c r="C27" t="s">
        <v>51</v>
      </c>
      <c r="D27" t="s">
        <v>48</v>
      </c>
      <c r="H27" t="s">
        <v>2</v>
      </c>
      <c r="I27">
        <v>0.57999999999999996</v>
      </c>
      <c r="P27" s="3"/>
    </row>
    <row r="28" spans="2:16" x14ac:dyDescent="0.35">
      <c r="C28" t="s">
        <v>50</v>
      </c>
      <c r="D28" t="s">
        <v>49</v>
      </c>
      <c r="H28" t="s">
        <v>3</v>
      </c>
      <c r="I28">
        <v>0.184</v>
      </c>
    </row>
    <row r="33" spans="4:14" x14ac:dyDescent="0.35">
      <c r="F33" t="s">
        <v>17</v>
      </c>
      <c r="G33" t="s">
        <v>18</v>
      </c>
      <c r="H33" t="s">
        <v>19</v>
      </c>
      <c r="I33" t="s">
        <v>20</v>
      </c>
      <c r="J33" t="s">
        <v>21</v>
      </c>
      <c r="K33" t="s">
        <v>22</v>
      </c>
      <c r="L33" t="s">
        <v>23</v>
      </c>
      <c r="M33" t="s">
        <v>24</v>
      </c>
      <c r="N33" t="s">
        <v>25</v>
      </c>
    </row>
    <row r="34" spans="4:14" x14ac:dyDescent="0.35">
      <c r="E34" t="s">
        <v>17</v>
      </c>
      <c r="F34" t="s">
        <v>26</v>
      </c>
      <c r="G34" t="s">
        <v>9</v>
      </c>
    </row>
    <row r="35" spans="4:14" x14ac:dyDescent="0.35">
      <c r="E35" t="s">
        <v>18</v>
      </c>
      <c r="G35" t="s">
        <v>27</v>
      </c>
      <c r="H35" t="s">
        <v>28</v>
      </c>
      <c r="K35" t="s">
        <v>12</v>
      </c>
    </row>
    <row r="36" spans="4:14" x14ac:dyDescent="0.35">
      <c r="D36" t="s">
        <v>30</v>
      </c>
      <c r="E36" t="s">
        <v>19</v>
      </c>
      <c r="H36" t="s">
        <v>36</v>
      </c>
      <c r="I36" t="s">
        <v>15</v>
      </c>
      <c r="L36" t="s">
        <v>31</v>
      </c>
    </row>
    <row r="37" spans="4:14" x14ac:dyDescent="0.35">
      <c r="E37" t="s">
        <v>20</v>
      </c>
      <c r="I37" t="s">
        <v>35</v>
      </c>
      <c r="J37" t="s">
        <v>29</v>
      </c>
      <c r="M37" t="s">
        <v>32</v>
      </c>
    </row>
    <row r="38" spans="4:14" x14ac:dyDescent="0.35">
      <c r="E38" t="s">
        <v>21</v>
      </c>
      <c r="J38" t="s">
        <v>34</v>
      </c>
      <c r="N38" t="s">
        <v>33</v>
      </c>
    </row>
    <row r="39" spans="4:14" x14ac:dyDescent="0.35">
      <c r="E39" t="s">
        <v>22</v>
      </c>
      <c r="K39" t="s">
        <v>37</v>
      </c>
    </row>
    <row r="40" spans="4:14" x14ac:dyDescent="0.35">
      <c r="E40" t="s">
        <v>23</v>
      </c>
      <c r="L40" t="s">
        <v>38</v>
      </c>
    </row>
    <row r="41" spans="4:14" x14ac:dyDescent="0.35">
      <c r="E41" t="s">
        <v>24</v>
      </c>
      <c r="M41" t="s">
        <v>39</v>
      </c>
    </row>
    <row r="42" spans="4:14" x14ac:dyDescent="0.35">
      <c r="E42" t="s">
        <v>25</v>
      </c>
      <c r="N42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0BDA-32A8-4300-9E1F-7246C9406CC6}">
  <dimension ref="B2:Y48"/>
  <sheetViews>
    <sheetView workbookViewId="0">
      <selection activeCell="F29" sqref="F29:M29"/>
    </sheetView>
  </sheetViews>
  <sheetFormatPr defaultColWidth="8.81640625" defaultRowHeight="14.5" x14ac:dyDescent="0.35"/>
  <cols>
    <col min="6" max="8" width="10.6328125" bestFit="1" customWidth="1"/>
    <col min="9" max="9" width="9.1796875" customWidth="1"/>
    <col min="10" max="10" width="10.6328125" bestFit="1" customWidth="1"/>
    <col min="11" max="11" width="13.1796875" customWidth="1"/>
    <col min="12" max="12" width="12.81640625" customWidth="1"/>
    <col min="13" max="13" width="12.36328125" customWidth="1"/>
    <col min="14" max="14" width="11.6328125" customWidth="1"/>
    <col min="15" max="15" width="11.1796875" customWidth="1"/>
    <col min="23" max="23" width="13.08984375" customWidth="1"/>
  </cols>
  <sheetData>
    <row r="2" spans="2:25" x14ac:dyDescent="0.35">
      <c r="B2" s="14" t="s">
        <v>77</v>
      </c>
      <c r="C2" s="14"/>
      <c r="D2" s="14"/>
      <c r="E2" s="14"/>
      <c r="F2" s="14"/>
      <c r="G2" s="14"/>
      <c r="H2" s="14"/>
    </row>
    <row r="3" spans="2:25" x14ac:dyDescent="0.35">
      <c r="Q3" s="9" t="s">
        <v>67</v>
      </c>
    </row>
    <row r="4" spans="2:25" x14ac:dyDescent="0.35"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Q4" t="s">
        <v>9</v>
      </c>
      <c r="R4">
        <v>4.6000000000000001E-4</v>
      </c>
      <c r="S4" s="23" t="s">
        <v>98</v>
      </c>
      <c r="X4">
        <v>7.6000000000000004E-4</v>
      </c>
      <c r="Y4" t="s">
        <v>100</v>
      </c>
    </row>
    <row r="5" spans="2:25" x14ac:dyDescent="0.35">
      <c r="B5" t="s">
        <v>8</v>
      </c>
      <c r="C5" s="10">
        <f>1-C44-C45</f>
        <v>0.98942999999999992</v>
      </c>
      <c r="D5" s="10">
        <f>C5-(C5*$R$4)-(C5*$R$5)</f>
        <v>0.9828799734</v>
      </c>
      <c r="E5" s="10">
        <f>D5-(D5*$R$4)-(D5*$R$5)</f>
        <v>0.97637330797609201</v>
      </c>
      <c r="F5" s="10">
        <f t="shared" ref="F5:M5" si="0">E5-(E5*$R$4)-(E5*$R$5)</f>
        <v>0.9699097166772902</v>
      </c>
      <c r="G5" s="10">
        <f>F5-(F5*$R$4)-(F5*$R$5)</f>
        <v>0.96348891435288653</v>
      </c>
      <c r="H5" s="10">
        <f t="shared" si="0"/>
        <v>0.95711061773987038</v>
      </c>
      <c r="I5" s="10">
        <f t="shared" si="0"/>
        <v>0.9507745454504325</v>
      </c>
      <c r="J5" s="10">
        <f t="shared" si="0"/>
        <v>0.94448041795955062</v>
      </c>
      <c r="K5" s="10">
        <f t="shared" si="0"/>
        <v>0.93822795759265842</v>
      </c>
      <c r="L5" s="10">
        <f t="shared" si="0"/>
        <v>0.93201688851339504</v>
      </c>
      <c r="M5" s="10">
        <f t="shared" si="0"/>
        <v>0.92584693671143636</v>
      </c>
      <c r="Q5" t="s">
        <v>49</v>
      </c>
      <c r="R5">
        <v>6.1599999999999997E-3</v>
      </c>
      <c r="S5" s="23" t="s">
        <v>99</v>
      </c>
      <c r="X5">
        <v>8.8400000000000006E-3</v>
      </c>
      <c r="Y5" t="s">
        <v>100</v>
      </c>
    </row>
    <row r="6" spans="2:25" x14ac:dyDescent="0.35">
      <c r="B6" t="s">
        <v>0</v>
      </c>
      <c r="C6" s="10">
        <f>$C$44*C39</f>
        <v>4.1453999999999997E-4</v>
      </c>
      <c r="D6" s="10">
        <f t="shared" ref="D6:M6" si="1">C6+(C5*$R$4)-(C6*$R$6)-(C6*$R$9)</f>
        <v>7.8459097958137548E-4</v>
      </c>
      <c r="E6" s="10">
        <f t="shared" si="1"/>
        <v>1.0756737646876989E-3</v>
      </c>
      <c r="F6" s="11">
        <f t="shared" si="1"/>
        <v>1.3040169968381796E-3</v>
      </c>
      <c r="G6" s="10">
        <f t="shared" si="1"/>
        <v>1.4825181595362099E-3</v>
      </c>
      <c r="H6" s="10">
        <f t="shared" si="1"/>
        <v>1.621427319298553E-3</v>
      </c>
      <c r="I6" s="10">
        <f t="shared" si="1"/>
        <v>1.7288905247330585E-3</v>
      </c>
      <c r="J6" s="10">
        <f t="shared" si="1"/>
        <v>1.8113816696919212E-3</v>
      </c>
      <c r="K6" s="10">
        <f t="shared" si="1"/>
        <v>1.8740457139177458E-3</v>
      </c>
      <c r="L6" s="10">
        <f t="shared" si="1"/>
        <v>1.9209714555885125E-3</v>
      </c>
      <c r="M6" s="10">
        <f t="shared" si="1"/>
        <v>1.955408315656622E-3</v>
      </c>
      <c r="Q6" t="s">
        <v>28</v>
      </c>
      <c r="R6">
        <v>0.19</v>
      </c>
    </row>
    <row r="7" spans="2:25" x14ac:dyDescent="0.35">
      <c r="B7" t="s">
        <v>1</v>
      </c>
      <c r="C7" s="10">
        <f>$C$44*C40</f>
        <v>6.2621999999999992E-4</v>
      </c>
      <c r="D7" s="10">
        <f t="shared" ref="D7:M7" si="2">C7+(C6*$R$6)-(C7*$R$7)-(C7*$R$10)</f>
        <v>4.8088946081434851E-4</v>
      </c>
      <c r="E7" s="10">
        <f t="shared" si="2"/>
        <v>4.5787521364749439E-4</v>
      </c>
      <c r="F7" s="11">
        <f t="shared" si="2"/>
        <v>4.9840235547265327E-4</v>
      </c>
      <c r="G7" s="10">
        <f t="shared" si="2"/>
        <v>5.6781205350052064E-4</v>
      </c>
      <c r="H7" s="10">
        <f t="shared" si="2"/>
        <v>6.4629867739934637E-4</v>
      </c>
      <c r="I7" s="10">
        <f t="shared" si="2"/>
        <v>7.2309156416336287E-4</v>
      </c>
      <c r="J7" s="10">
        <f t="shared" si="2"/>
        <v>7.9282208714834095E-4</v>
      </c>
      <c r="K7" s="10">
        <f t="shared" si="2"/>
        <v>8.5327282526299452E-4</v>
      </c>
      <c r="L7" s="10">
        <f t="shared" si="2"/>
        <v>9.039974050100868E-4</v>
      </c>
      <c r="M7" s="10">
        <f t="shared" si="2"/>
        <v>9.4548605952471149E-4</v>
      </c>
      <c r="Q7" t="s">
        <v>15</v>
      </c>
      <c r="R7">
        <v>0.33</v>
      </c>
    </row>
    <row r="8" spans="2:25" x14ac:dyDescent="0.35">
      <c r="B8" t="s">
        <v>2</v>
      </c>
      <c r="C8" s="10">
        <f>$C$44*C41</f>
        <v>2.5577999999999998E-3</v>
      </c>
      <c r="D8" s="10">
        <f t="shared" ref="D8:M8" si="3">C8+(C7*$R$7)-(C8*$R$8)-(C8*$R$11)</f>
        <v>1.4040771088612751E-3</v>
      </c>
      <c r="E8" s="10">
        <f t="shared" si="3"/>
        <v>8.1600697209671669E-4</v>
      </c>
      <c r="F8" s="10">
        <f t="shared" si="3"/>
        <v>5.3310943423042563E-4</v>
      </c>
      <c r="G8" s="10">
        <f t="shared" si="3"/>
        <v>4.1404596616072568E-4</v>
      </c>
      <c r="H8" s="10">
        <f t="shared" si="3"/>
        <v>3.8121204899616766E-4</v>
      </c>
      <c r="I8" s="10">
        <f t="shared" si="3"/>
        <v>3.9174155929643152E-4</v>
      </c>
      <c r="J8" s="10">
        <f t="shared" si="3"/>
        <v>4.2201256281597697E-4</v>
      </c>
      <c r="K8" s="10">
        <f t="shared" si="3"/>
        <v>4.5919489254470954E-4</v>
      </c>
      <c r="L8" s="10">
        <f t="shared" si="3"/>
        <v>4.9655040479630618E-4</v>
      </c>
      <c r="M8" s="10">
        <f t="shared" si="3"/>
        <v>5.3077735953732435E-4</v>
      </c>
      <c r="Q8" t="s">
        <v>29</v>
      </c>
      <c r="R8">
        <v>0.43</v>
      </c>
      <c r="T8" s="5" t="s">
        <v>88</v>
      </c>
    </row>
    <row r="9" spans="2:25" x14ac:dyDescent="0.35">
      <c r="B9" t="s">
        <v>3</v>
      </c>
      <c r="C9" s="10">
        <f>$C$44*C42</f>
        <v>8.1143999999999997E-4</v>
      </c>
      <c r="D9" s="10">
        <f t="shared" ref="D9:M9" si="4">C9+(C8*$R$8)-(C9*$R$12)</f>
        <v>1.6487235302013424E-3</v>
      </c>
      <c r="E9" s="10">
        <f t="shared" si="4"/>
        <v>1.7189731477567022E-3</v>
      </c>
      <c r="F9" s="10">
        <f t="shared" si="4"/>
        <v>1.5136208270930106E-3</v>
      </c>
      <c r="G9" s="10">
        <f t="shared" si="4"/>
        <v>1.2530716621976246E-3</v>
      </c>
      <c r="H9" s="10">
        <f t="shared" si="4"/>
        <v>1.0256352186422321E-3</v>
      </c>
      <c r="I9" s="10">
        <f t="shared" si="4"/>
        <v>8.5767539655454085E-4</v>
      </c>
      <c r="J9" s="10">
        <f t="shared" si="4"/>
        <v>7.4859267900104036E-4</v>
      </c>
      <c r="K9" s="10">
        <f t="shared" si="4"/>
        <v>6.8782411249527456E-4</v>
      </c>
      <c r="L9" s="10">
        <f t="shared" si="4"/>
        <v>6.6270779359807572E-4</v>
      </c>
      <c r="M9" s="10">
        <f t="shared" si="4"/>
        <v>6.6178162936772554E-4</v>
      </c>
      <c r="O9" s="5" t="s">
        <v>89</v>
      </c>
      <c r="Q9" s="5" t="s">
        <v>13</v>
      </c>
      <c r="R9">
        <f>T9/(1-($Q$16*R19))</f>
        <v>1.5255995606273264E-2</v>
      </c>
      <c r="T9">
        <v>0.01</v>
      </c>
      <c r="U9" t="s">
        <v>13</v>
      </c>
    </row>
    <row r="10" spans="2:25" x14ac:dyDescent="0.35">
      <c r="B10" t="s">
        <v>4</v>
      </c>
      <c r="C10" s="10">
        <f>C45</f>
        <v>6.1599999999999997E-3</v>
      </c>
      <c r="D10" s="10">
        <f t="shared" ref="D10:M10" si="5">C10+(C5*$R$5)+(C6*$R$9)+(C7*$R$10)+(C8*$R$11)+(C9*$R$12)</f>
        <v>1.2801745520541658E-2</v>
      </c>
      <c r="E10" s="10">
        <f t="shared" si="5"/>
        <v>1.955816292571939E-2</v>
      </c>
      <c r="F10" s="10">
        <f t="shared" si="5"/>
        <v>2.6241133709075465E-2</v>
      </c>
      <c r="G10" s="10">
        <f t="shared" si="5"/>
        <v>3.2793637805718305E-2</v>
      </c>
      <c r="H10" s="10">
        <f t="shared" si="5"/>
        <v>3.9214808995793188E-2</v>
      </c>
      <c r="I10" s="10">
        <f t="shared" si="5"/>
        <v>4.5524055504820034E-2</v>
      </c>
      <c r="J10" s="10">
        <f>I10+(I5*$R$5)+(I6*$R$9)+(I7*$R$10)+(I8*$R$11)+(I9*$R$12)</f>
        <v>5.1744773041792008E-2</v>
      </c>
      <c r="K10" s="10">
        <f t="shared" si="5"/>
        <v>5.7897704863120791E-2</v>
      </c>
      <c r="L10" s="10">
        <f t="shared" si="5"/>
        <v>6.3998884427611938E-2</v>
      </c>
      <c r="M10" s="10">
        <f t="shared" si="5"/>
        <v>7.0059609924477212E-2</v>
      </c>
      <c r="Q10" s="5" t="s">
        <v>41</v>
      </c>
      <c r="R10">
        <f t="shared" ref="R10:R12" si="6">T10/(1-($Q$16*R20))</f>
        <v>2.7850498523923579E-2</v>
      </c>
      <c r="T10">
        <v>0.02</v>
      </c>
      <c r="U10" t="s">
        <v>41</v>
      </c>
    </row>
    <row r="11" spans="2:25" x14ac:dyDescent="0.35">
      <c r="B11" t="s">
        <v>68</v>
      </c>
      <c r="C11" s="10">
        <f>SUM(C5:C10)</f>
        <v>1</v>
      </c>
      <c r="D11" s="10">
        <f t="shared" ref="D11:M11" si="7">SUM(D5:D10)</f>
        <v>1</v>
      </c>
      <c r="E11" s="10">
        <f t="shared" si="7"/>
        <v>1</v>
      </c>
      <c r="F11" s="10">
        <f t="shared" si="7"/>
        <v>0.99999999999999989</v>
      </c>
      <c r="G11" s="10">
        <f t="shared" si="7"/>
        <v>1</v>
      </c>
      <c r="H11" s="10">
        <f t="shared" si="7"/>
        <v>0.99999999999999989</v>
      </c>
      <c r="I11" s="10">
        <f t="shared" si="7"/>
        <v>1</v>
      </c>
      <c r="J11" s="10">
        <f>SUM(J5:J10)</f>
        <v>1</v>
      </c>
      <c r="K11" s="10">
        <f t="shared" si="7"/>
        <v>1</v>
      </c>
      <c r="L11" s="10">
        <f t="shared" si="7"/>
        <v>1.0000000000000002</v>
      </c>
      <c r="M11" s="10">
        <f t="shared" si="7"/>
        <v>1</v>
      </c>
      <c r="Q11" s="5" t="s">
        <v>46</v>
      </c>
      <c r="R11">
        <f t="shared" si="6"/>
        <v>0.10185373803218578</v>
      </c>
      <c r="T11">
        <v>0.08</v>
      </c>
      <c r="U11" t="s">
        <v>46</v>
      </c>
    </row>
    <row r="12" spans="2:25" x14ac:dyDescent="0.35">
      <c r="Q12" s="5" t="s">
        <v>47</v>
      </c>
      <c r="R12">
        <f t="shared" si="6"/>
        <v>0.32358581016299137</v>
      </c>
      <c r="T12">
        <v>0.27</v>
      </c>
      <c r="U12" t="s">
        <v>47</v>
      </c>
    </row>
    <row r="13" spans="2:25" x14ac:dyDescent="0.35">
      <c r="B13" s="12" t="s">
        <v>81</v>
      </c>
      <c r="C13" s="12"/>
      <c r="D13" s="12"/>
      <c r="E13" s="12"/>
      <c r="F13" s="12">
        <f>F6-(F6*R6)-(F6*R9)</f>
        <v>1.0363596898646564E-3</v>
      </c>
      <c r="G13" s="10">
        <f t="shared" ref="G13:M13" si="8">F13-(F13*$R$6)-(F13*$R$9)</f>
        <v>8.2364064991527779E-4</v>
      </c>
      <c r="H13" s="10">
        <f t="shared" si="8"/>
        <v>6.545834682951194E-4</v>
      </c>
      <c r="I13" s="10">
        <f t="shared" si="8"/>
        <v>5.2022628680279738E-4</v>
      </c>
      <c r="J13" s="10">
        <f t="shared" si="8"/>
        <v>4.1344672236453455E-4</v>
      </c>
      <c r="K13" s="10">
        <f t="shared" si="8"/>
        <v>3.2858430373545154E-4</v>
      </c>
      <c r="L13" s="10">
        <f t="shared" si="8"/>
        <v>2.6114040533163732E-4</v>
      </c>
      <c r="M13" s="10">
        <f t="shared" si="8"/>
        <v>2.0753977144226637E-4</v>
      </c>
    </row>
    <row r="14" spans="2:25" x14ac:dyDescent="0.35">
      <c r="B14" s="12" t="s">
        <v>73</v>
      </c>
      <c r="C14" s="12"/>
      <c r="D14" s="12"/>
      <c r="E14" s="12"/>
      <c r="F14" s="12">
        <f>F6*R6</f>
        <v>2.4776322939925412E-4</v>
      </c>
      <c r="G14" s="10">
        <f>F13*$R$6</f>
        <v>1.9690834107428473E-4</v>
      </c>
      <c r="H14" s="10">
        <f>G13*$R$6</f>
        <v>1.5649172348390278E-4</v>
      </c>
      <c r="I14" s="10">
        <f t="shared" ref="I14:M14" si="9">H13*$R$6</f>
        <v>1.2437085897607267E-4</v>
      </c>
      <c r="J14" s="10">
        <f t="shared" si="9"/>
        <v>9.8842994492531497E-5</v>
      </c>
      <c r="K14" s="10">
        <f t="shared" si="9"/>
        <v>7.8554877249261562E-5</v>
      </c>
      <c r="L14" s="10">
        <f t="shared" si="9"/>
        <v>6.243101770973579E-5</v>
      </c>
      <c r="M14" s="10">
        <f t="shared" si="9"/>
        <v>4.9616677013011089E-5</v>
      </c>
    </row>
    <row r="15" spans="2:25" x14ac:dyDescent="0.35">
      <c r="B15" s="12" t="s">
        <v>82</v>
      </c>
      <c r="C15" s="12"/>
      <c r="D15" s="12"/>
      <c r="E15" s="12"/>
      <c r="F15" s="12">
        <f>F7-(F7*R10)-(F7*R7)</f>
        <v>3.2004882410126653E-4</v>
      </c>
      <c r="G15" s="10">
        <f t="shared" ref="G15:M15" si="10">(F15+F14)-((F15+F14)*$R$10)-((F15+F14)*$R$7)</f>
        <v>3.6462022708746652E-4</v>
      </c>
      <c r="H15" s="10">
        <f t="shared" si="10"/>
        <v>3.6058529010964357E-4</v>
      </c>
      <c r="I15" s="10">
        <f t="shared" si="10"/>
        <v>3.320407465038342E-4</v>
      </c>
      <c r="J15" s="10">
        <f t="shared" si="10"/>
        <v>2.9308448492681787E-4</v>
      </c>
      <c r="K15" s="10">
        <f t="shared" si="10"/>
        <v>2.5167603552391036E-4</v>
      </c>
      <c r="L15" s="10">
        <f t="shared" si="10"/>
        <v>2.1205761600928203E-4</v>
      </c>
      <c r="M15" s="10">
        <f t="shared" si="10"/>
        <v>1.7626273930351663E-4</v>
      </c>
      <c r="Q15" t="s">
        <v>72</v>
      </c>
    </row>
    <row r="16" spans="2:25" x14ac:dyDescent="0.35">
      <c r="B16" s="12" t="s">
        <v>74</v>
      </c>
      <c r="C16" s="12"/>
      <c r="D16" s="12"/>
      <c r="E16" s="12"/>
      <c r="F16" s="12">
        <f>F7*R7</f>
        <v>1.6447277730597559E-4</v>
      </c>
      <c r="G16" s="10">
        <f>(F15+F14)*$R$7</f>
        <v>1.8737797765517182E-4</v>
      </c>
      <c r="H16" s="10">
        <f>(G15+G14)*$R$7</f>
        <v>1.8530442749337795E-4</v>
      </c>
      <c r="I16" s="10">
        <f t="shared" ref="I16:M16" si="11">(H15+H14)*$R$7</f>
        <v>1.706354144858703E-4</v>
      </c>
      <c r="J16" s="10">
        <f t="shared" si="11"/>
        <v>1.5061582980836928E-4</v>
      </c>
      <c r="K16" s="10">
        <f t="shared" si="11"/>
        <v>1.2933606820838531E-4</v>
      </c>
      <c r="L16" s="10">
        <f t="shared" si="11"/>
        <v>1.0897620121514674E-4</v>
      </c>
      <c r="M16" s="10">
        <f t="shared" si="11"/>
        <v>9.0581249127275889E-5</v>
      </c>
      <c r="Q16">
        <v>0.36</v>
      </c>
    </row>
    <row r="17" spans="2:23" x14ac:dyDescent="0.35">
      <c r="B17" s="12" t="s">
        <v>83</v>
      </c>
      <c r="C17" s="12"/>
      <c r="D17" s="12"/>
      <c r="E17" s="12"/>
      <c r="F17" s="12">
        <v>0</v>
      </c>
      <c r="G17" s="10">
        <f>F16-(F16*R11)-(F16*R8)</f>
        <v>7.6997315891257225E-5</v>
      </c>
      <c r="H17" s="10">
        <f t="shared" ref="H17:M17" si="12">(G17+G16)-((G17+G16)*$R$11)-((G17+G16)*$R$8)</f>
        <v>1.2376630543040436E-4</v>
      </c>
      <c r="I17" s="10">
        <f t="shared" si="12"/>
        <v>1.4469030830192132E-4</v>
      </c>
      <c r="J17" s="10">
        <f t="shared" si="12"/>
        <v>1.476185584254039E-4</v>
      </c>
      <c r="K17" s="10">
        <f t="shared" si="12"/>
        <v>1.396173140418988E-4</v>
      </c>
      <c r="L17" s="10">
        <f t="shared" si="12"/>
        <v>1.2590952054407118E-4</v>
      </c>
      <c r="M17" s="10">
        <f t="shared" si="12"/>
        <v>1.0996087263118995E-4</v>
      </c>
    </row>
    <row r="18" spans="2:23" x14ac:dyDescent="0.35">
      <c r="B18" s="12" t="s">
        <v>75</v>
      </c>
      <c r="C18" s="12"/>
      <c r="D18" s="12"/>
      <c r="E18" s="12"/>
      <c r="F18" s="7" t="s">
        <v>87</v>
      </c>
      <c r="G18" s="10">
        <f>F16*R8</f>
        <v>7.0723294241569498E-5</v>
      </c>
      <c r="H18" s="10">
        <f>(G17+G16)*$R$8</f>
        <v>1.1368137622496448E-4</v>
      </c>
      <c r="I18" s="10">
        <f t="shared" ref="I18:M18" si="13">(H17+H16)*$R$8</f>
        <v>1.3290041515722639E-4</v>
      </c>
      <c r="J18" s="10">
        <f t="shared" si="13"/>
        <v>1.3559006079875039E-4</v>
      </c>
      <c r="K18" s="10">
        <f t="shared" si="13"/>
        <v>1.2824078694052246E-4</v>
      </c>
      <c r="L18" s="10">
        <f t="shared" si="13"/>
        <v>1.1564995436762217E-4</v>
      </c>
      <c r="M18" s="10">
        <f t="shared" si="13"/>
        <v>1.0100086035646371E-4</v>
      </c>
      <c r="Q18" t="s">
        <v>90</v>
      </c>
    </row>
    <row r="19" spans="2:23" x14ac:dyDescent="0.35">
      <c r="B19" s="12" t="s">
        <v>84</v>
      </c>
      <c r="C19" s="12"/>
      <c r="D19" s="12"/>
      <c r="E19" s="12"/>
      <c r="F19" s="7" t="s">
        <v>87</v>
      </c>
      <c r="G19" s="7" t="s">
        <v>87</v>
      </c>
      <c r="H19" s="10">
        <f>G18-(G18*R12)</f>
        <v>4.783823977701561E-5</v>
      </c>
      <c r="I19" s="10">
        <f>(H18+H19)-((H18+H19)*$R$12)</f>
        <v>1.0925416020076411E-4</v>
      </c>
      <c r="J19" s="10">
        <f>(I18+I19)-((I18+I19)*$R$12)</f>
        <v>1.6379679090609999E-4</v>
      </c>
      <c r="K19" s="10">
        <f>(J18+J19)-((J18+J19)*$R$12)</f>
        <v>2.0250951474378901E-4</v>
      </c>
      <c r="L19" s="10">
        <f>(K18+K19)-((K18+K19)*$R$12)</f>
        <v>2.2372419735213974E-4</v>
      </c>
      <c r="M19" s="10">
        <f>(L18+L19)-((L18+L19)*$R$12)</f>
        <v>2.2955749188714481E-4</v>
      </c>
      <c r="Q19" t="s">
        <v>0</v>
      </c>
      <c r="R19">
        <v>0.95699999999999996</v>
      </c>
    </row>
    <row r="20" spans="2:23" x14ac:dyDescent="0.35">
      <c r="B20" s="12" t="s">
        <v>78</v>
      </c>
      <c r="C20" s="12"/>
      <c r="D20" s="12"/>
      <c r="E20" s="12"/>
      <c r="F20" s="12">
        <f>F6*R9</f>
        <v>1.9894077574268924E-5</v>
      </c>
      <c r="G20" s="10">
        <f t="shared" ref="G20:M20" si="14">F13*$R$9</f>
        <v>1.5810698875093921E-5</v>
      </c>
      <c r="H20" s="10">
        <f t="shared" si="14"/>
        <v>1.2565458136255533E-5</v>
      </c>
      <c r="I20" s="10">
        <f t="shared" si="14"/>
        <v>9.9863225162494558E-6</v>
      </c>
      <c r="J20" s="10">
        <f t="shared" si="14"/>
        <v>7.9365699457313317E-6</v>
      </c>
      <c r="K20" s="10">
        <f t="shared" si="14"/>
        <v>6.3075413798214208E-6</v>
      </c>
      <c r="L20" s="10">
        <f t="shared" si="14"/>
        <v>5.0128806940784085E-6</v>
      </c>
      <c r="M20" s="10">
        <f t="shared" si="14"/>
        <v>3.9839568763598782E-6</v>
      </c>
      <c r="Q20" t="s">
        <v>1</v>
      </c>
      <c r="R20">
        <v>0.78300000000000003</v>
      </c>
    </row>
    <row r="21" spans="2:23" x14ac:dyDescent="0.35">
      <c r="B21" s="12" t="s">
        <v>79</v>
      </c>
      <c r="C21" s="12"/>
      <c r="D21" s="12"/>
      <c r="E21" s="12"/>
      <c r="F21" s="12">
        <f>F7*R10</f>
        <v>1.3880754065411166E-5</v>
      </c>
      <c r="G21" s="12">
        <f t="shared" ref="G21:M21" si="15">(F15+F14)*$R$10</f>
        <v>1.5813848757882268E-5</v>
      </c>
      <c r="H21" s="12">
        <f t="shared" si="15"/>
        <v>1.5638850558729776E-5</v>
      </c>
      <c r="I21" s="12">
        <f t="shared" si="15"/>
        <v>1.4400852603841875E-5</v>
      </c>
      <c r="J21" s="12">
        <f t="shared" si="15"/>
        <v>1.2711290744719737E-5</v>
      </c>
      <c r="K21" s="12">
        <f t="shared" si="15"/>
        <v>1.0915375687053679E-5</v>
      </c>
      <c r="L21" s="12">
        <f t="shared" si="15"/>
        <v>9.1970955487431612E-6</v>
      </c>
      <c r="M21" s="12">
        <f t="shared" si="15"/>
        <v>7.6446452882253061E-6</v>
      </c>
      <c r="Q21" t="s">
        <v>2</v>
      </c>
      <c r="R21">
        <v>0.59599999999999997</v>
      </c>
      <c r="U21" s="5" t="s">
        <v>102</v>
      </c>
      <c r="V21" s="5"/>
      <c r="W21" s="5">
        <v>4.6000000000000001E-4</v>
      </c>
    </row>
    <row r="22" spans="2:23" x14ac:dyDescent="0.35">
      <c r="B22" s="12" t="s">
        <v>80</v>
      </c>
      <c r="C22" s="12"/>
      <c r="D22" s="12"/>
      <c r="E22" s="12"/>
      <c r="F22" s="7" t="s">
        <v>87</v>
      </c>
      <c r="G22">
        <f>F16*R11</f>
        <v>1.6752167173148867E-5</v>
      </c>
      <c r="H22" s="12">
        <f t="shared" ref="H22:M22" si="16">(G17+G16)*$R$11</f>
        <v>2.6927611891060198E-5</v>
      </c>
      <c r="I22" s="12">
        <f t="shared" si="16"/>
        <v>3.1480009464634578E-5</v>
      </c>
      <c r="J22" s="12">
        <f t="shared" si="16"/>
        <v>3.2117103563637359E-5</v>
      </c>
      <c r="K22" s="12">
        <f t="shared" si="16"/>
        <v>3.0376287251351921E-5</v>
      </c>
      <c r="L22" s="12">
        <f t="shared" si="16"/>
        <v>2.7393907338590763E-5</v>
      </c>
      <c r="M22" s="12">
        <f t="shared" si="16"/>
        <v>2.3923988771564264E-5</v>
      </c>
      <c r="Q22" t="s">
        <v>3</v>
      </c>
      <c r="R22">
        <v>0.46</v>
      </c>
      <c r="U22" s="5" t="s">
        <v>103</v>
      </c>
      <c r="V22" s="5"/>
      <c r="W22" s="5">
        <v>7.6000000000000004E-4</v>
      </c>
    </row>
    <row r="23" spans="2:23" x14ac:dyDescent="0.35">
      <c r="B23" s="12" t="s">
        <v>76</v>
      </c>
      <c r="C23" s="12"/>
      <c r="D23" s="12"/>
      <c r="E23" s="12"/>
      <c r="F23" s="7" t="s">
        <v>87</v>
      </c>
      <c r="G23" s="7" t="s">
        <v>87</v>
      </c>
      <c r="H23">
        <f>G18*R12</f>
        <v>2.2885054464553888E-5</v>
      </c>
      <c r="I23" s="12">
        <f>(H18+H19)*$R$12</f>
        <v>5.2265455801216E-5</v>
      </c>
      <c r="J23" s="12">
        <f>(I18+I19)*$R$12</f>
        <v>7.8357784451890499E-5</v>
      </c>
      <c r="K23" s="12">
        <f>(J18+J19)*$R$12</f>
        <v>9.6877336961061363E-5</v>
      </c>
      <c r="L23" s="12">
        <f>(K18+K19)*$R$12</f>
        <v>1.0702610433217174E-4</v>
      </c>
      <c r="M23" s="12">
        <f>(L18+L19)*$R$12</f>
        <v>1.098166598326171E-4</v>
      </c>
      <c r="U23" s="5" t="s">
        <v>104</v>
      </c>
      <c r="V23" s="5"/>
      <c r="W23" s="5">
        <v>1.6000000000000001E-4</v>
      </c>
    </row>
    <row r="24" spans="2:23" x14ac:dyDescent="0.35">
      <c r="B24" s="12" t="s">
        <v>86</v>
      </c>
      <c r="C24" s="12"/>
      <c r="D24" s="12"/>
      <c r="E24" s="12"/>
      <c r="F24" s="7" t="s">
        <v>87</v>
      </c>
      <c r="G24" s="12">
        <f>SUM(F20:F23)</f>
        <v>3.3774831639680087E-5</v>
      </c>
      <c r="H24" s="12">
        <f>SUM(G20:G24)</f>
        <v>8.2151546445805143E-5</v>
      </c>
      <c r="I24" s="12">
        <f t="shared" ref="I24:M24" si="17">SUM(H20:H24)</f>
        <v>1.6016852149640452E-4</v>
      </c>
      <c r="J24" s="12">
        <f t="shared" si="17"/>
        <v>2.6830116188234643E-4</v>
      </c>
      <c r="K24" s="12">
        <f t="shared" si="17"/>
        <v>3.9942391058832532E-4</v>
      </c>
      <c r="L24" s="12">
        <f t="shared" si="17"/>
        <v>5.4390045186761369E-4</v>
      </c>
      <c r="M24" s="12">
        <f t="shared" si="17"/>
        <v>6.925304397811978E-4</v>
      </c>
      <c r="U24" s="5" t="s">
        <v>105</v>
      </c>
      <c r="V24" s="5"/>
      <c r="W24" s="5">
        <v>2.5999999999999998E-4</v>
      </c>
    </row>
    <row r="25" spans="2:23" x14ac:dyDescent="0.35">
      <c r="B25" s="12" t="s">
        <v>85</v>
      </c>
      <c r="C25" s="12"/>
      <c r="D25" s="12"/>
      <c r="E25" s="12"/>
      <c r="F25" s="13">
        <f>SUM(F13:F24)</f>
        <v>1.8024193523108328E-3</v>
      </c>
      <c r="G25" s="12">
        <f t="shared" ref="G25:M25" si="18">SUM(G13:G24)</f>
        <v>1.8024193523108326E-3</v>
      </c>
      <c r="H25" s="12">
        <f t="shared" si="18"/>
        <v>1.8024193523108324E-3</v>
      </c>
      <c r="I25" s="12">
        <f t="shared" si="18"/>
        <v>1.8024193523108326E-3</v>
      </c>
      <c r="J25" s="12">
        <f t="shared" si="18"/>
        <v>1.8024193523108328E-3</v>
      </c>
      <c r="K25" s="12">
        <f t="shared" si="18"/>
        <v>1.8024193523108331E-3</v>
      </c>
      <c r="L25" s="12">
        <f t="shared" si="18"/>
        <v>1.8024193523108328E-3</v>
      </c>
      <c r="M25" s="12">
        <f t="shared" si="18"/>
        <v>1.8024193523108328E-3</v>
      </c>
    </row>
    <row r="26" spans="2:23" x14ac:dyDescent="0.3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2:23" x14ac:dyDescent="0.35">
      <c r="B27" s="15" t="s">
        <v>91</v>
      </c>
      <c r="C27" s="12"/>
      <c r="D27" s="12"/>
      <c r="E27" s="12"/>
      <c r="F27" s="16">
        <f>SUM(F20:F24)/F25</f>
        <v>1.8738609079168116E-2</v>
      </c>
      <c r="G27" s="16">
        <f>SUM(G20:G24)/G25</f>
        <v>4.5578486682625152E-2</v>
      </c>
      <c r="H27" s="16">
        <f t="shared" ref="H27:M27" si="19">SUM(H20:H24)/H25</f>
        <v>8.8863072453731068E-2</v>
      </c>
      <c r="I27" s="16">
        <f t="shared" si="19"/>
        <v>0.1488561258168721</v>
      </c>
      <c r="J27" s="16">
        <f t="shared" si="19"/>
        <v>0.22160431759470114</v>
      </c>
      <c r="K27" s="16">
        <f t="shared" si="19"/>
        <v>0.30176132494932084</v>
      </c>
      <c r="L27" s="16">
        <f t="shared" si="19"/>
        <v>0.38422270538391823</v>
      </c>
      <c r="M27" s="16">
        <f t="shared" si="19"/>
        <v>0.46487499675129207</v>
      </c>
      <c r="N27" s="5"/>
      <c r="O27" s="24">
        <f>GEOMEAN(G27:M27)</f>
        <v>0.18422312090846868</v>
      </c>
      <c r="P27" s="21">
        <f>AVERAGE(F27:M27)</f>
        <v>0.20931245483895361</v>
      </c>
      <c r="Q27" s="22">
        <f>MEDIAN(F27:M27)</f>
        <v>0.18523022170578662</v>
      </c>
      <c r="U27" s="5" t="s">
        <v>106</v>
      </c>
      <c r="W27" s="27">
        <v>2002354.13</v>
      </c>
    </row>
    <row r="28" spans="2:23" x14ac:dyDescent="0.35">
      <c r="U28" s="5" t="s">
        <v>107</v>
      </c>
      <c r="W28" s="27">
        <v>700659.93</v>
      </c>
    </row>
    <row r="29" spans="2:23" x14ac:dyDescent="0.35">
      <c r="B29" s="20" t="s">
        <v>93</v>
      </c>
      <c r="F29">
        <v>0</v>
      </c>
      <c r="G29" s="10">
        <f>SUM(G20:G23)</f>
        <v>4.8376714806125056E-5</v>
      </c>
      <c r="H29" s="10">
        <f t="shared" ref="H29:M29" si="20">SUM(H20:H23)</f>
        <v>7.801697505059939E-5</v>
      </c>
      <c r="I29" s="10">
        <f t="shared" si="20"/>
        <v>1.0813264038594191E-4</v>
      </c>
      <c r="J29" s="10">
        <f t="shared" si="20"/>
        <v>1.3112274870597892E-4</v>
      </c>
      <c r="K29" s="10">
        <f t="shared" si="20"/>
        <v>1.4447654127928839E-4</v>
      </c>
      <c r="L29" s="10">
        <f t="shared" si="20"/>
        <v>1.4862998791358406E-4</v>
      </c>
      <c r="M29" s="10">
        <f t="shared" si="20"/>
        <v>1.4536925076876655E-4</v>
      </c>
    </row>
    <row r="30" spans="2:23" x14ac:dyDescent="0.35">
      <c r="B30" s="12" t="s">
        <v>94</v>
      </c>
      <c r="F30">
        <v>0</v>
      </c>
      <c r="G30" s="10">
        <f>G24</f>
        <v>3.3774831639680087E-5</v>
      </c>
      <c r="H30" s="10">
        <f>H24</f>
        <v>8.2151546445805143E-5</v>
      </c>
      <c r="I30" s="10">
        <f t="shared" ref="G30:M30" si="21">I24</f>
        <v>1.6016852149640452E-4</v>
      </c>
      <c r="J30" s="10">
        <f t="shared" si="21"/>
        <v>2.6830116188234643E-4</v>
      </c>
      <c r="K30" s="10">
        <f t="shared" si="21"/>
        <v>3.9942391058832532E-4</v>
      </c>
      <c r="L30" s="10">
        <f t="shared" si="21"/>
        <v>5.4390045186761369E-4</v>
      </c>
      <c r="M30" s="10">
        <f t="shared" si="21"/>
        <v>6.925304397811978E-4</v>
      </c>
    </row>
    <row r="31" spans="2:23" x14ac:dyDescent="0.35">
      <c r="B31" s="5" t="s">
        <v>92</v>
      </c>
      <c r="F31" s="10">
        <f>F10-E10-(E5*$R$5)</f>
        <v>6.6851120622334753E-4</v>
      </c>
      <c r="G31" s="10">
        <f>G10-F10-(F5*$R$5)</f>
        <v>5.7786024191073312E-4</v>
      </c>
      <c r="H31" s="10">
        <f>H10-G10-(G5*$R$5)</f>
        <v>4.8607947766110202E-4</v>
      </c>
      <c r="I31" s="10">
        <f t="shared" ref="I31:M31" si="22">I10-H10-(H5*$R$5)</f>
        <v>4.1344510374924457E-4</v>
      </c>
      <c r="J31" s="10">
        <f>J10-I10-(I5*$R$5)</f>
        <v>3.6394633699731067E-4</v>
      </c>
      <c r="K31" s="10">
        <f>K10-J10-(J5*$R$5)</f>
        <v>3.3493244669795166E-4</v>
      </c>
      <c r="L31" s="10">
        <f t="shared" si="22"/>
        <v>3.2169534572037105E-4</v>
      </c>
      <c r="M31" s="10">
        <f t="shared" si="22"/>
        <v>3.1950146362276065E-4</v>
      </c>
      <c r="T31" s="28"/>
      <c r="U31" s="28"/>
    </row>
    <row r="32" spans="2:23" x14ac:dyDescent="0.35">
      <c r="B32" t="s">
        <v>95</v>
      </c>
      <c r="F32" s="10">
        <f>SUM($F31:F31)</f>
        <v>6.6851120622334753E-4</v>
      </c>
      <c r="G32" s="10">
        <f>SUM($F31:G31)</f>
        <v>1.2463714481340806E-3</v>
      </c>
      <c r="H32" s="10">
        <f>SUM($F31:H31)</f>
        <v>1.7324509257951827E-3</v>
      </c>
      <c r="I32" s="10">
        <f>SUM($F31:I31)</f>
        <v>2.1458960295444272E-3</v>
      </c>
      <c r="J32" s="10">
        <f>SUM($F31:J31)</f>
        <v>2.5098423665417379E-3</v>
      </c>
      <c r="K32" s="10">
        <f>SUM($F31:K31)</f>
        <v>2.8447748132396896E-3</v>
      </c>
      <c r="L32" s="10">
        <f>SUM($F31:L31)</f>
        <v>3.1664701589600606E-3</v>
      </c>
      <c r="M32" s="10">
        <f>SUM($F31:M31)</f>
        <v>3.4859716225828213E-3</v>
      </c>
      <c r="T32" s="28"/>
      <c r="U32" s="28"/>
    </row>
    <row r="33" spans="2:21" x14ac:dyDescent="0.35">
      <c r="O33" s="25" t="s">
        <v>101</v>
      </c>
      <c r="P33" s="4"/>
      <c r="T33" s="28"/>
      <c r="U33" s="28"/>
    </row>
    <row r="34" spans="2:21" x14ac:dyDescent="0.35">
      <c r="B34" s="5" t="s">
        <v>97</v>
      </c>
      <c r="F34" s="29">
        <f>F29/F31</f>
        <v>0</v>
      </c>
      <c r="G34" s="29">
        <f>G29/G31</f>
        <v>8.3716980850186626E-2</v>
      </c>
      <c r="H34" s="29">
        <f t="shared" ref="H34:M34" si="23">H29/H31</f>
        <v>0.16050250758579312</v>
      </c>
      <c r="I34" s="29">
        <f>I29/I31</f>
        <v>0.26154050297213005</v>
      </c>
      <c r="J34" s="29">
        <f>J29/J31</f>
        <v>0.36028044625421751</v>
      </c>
      <c r="K34" s="29">
        <f t="shared" si="23"/>
        <v>0.43136024205376566</v>
      </c>
      <c r="L34" s="29">
        <f t="shared" si="23"/>
        <v>0.46202094587584891</v>
      </c>
      <c r="M34" s="29">
        <f t="shared" si="23"/>
        <v>0.45498774597291308</v>
      </c>
      <c r="O34" s="19">
        <f>GEOMEAN(G34:M34)</f>
        <v>0.27361474696563803</v>
      </c>
      <c r="P34" s="18">
        <f>AVERAGE(G34:M34)</f>
        <v>0.31634419593783641</v>
      </c>
      <c r="Q34" s="18">
        <f>MEDIAN(G34:M34)</f>
        <v>0.36028044625421751</v>
      </c>
      <c r="T34" s="28"/>
      <c r="U34" s="28"/>
    </row>
    <row r="35" spans="2:21" x14ac:dyDescent="0.35">
      <c r="B35" t="s">
        <v>96</v>
      </c>
      <c r="F35" s="17">
        <f>F30/F32</f>
        <v>0</v>
      </c>
      <c r="G35" s="17">
        <f t="shared" ref="G35:M35" si="24">G30/G32</f>
        <v>2.7098528043340335E-2</v>
      </c>
      <c r="H35" s="17">
        <f t="shared" si="24"/>
        <v>4.7419263208334846E-2</v>
      </c>
      <c r="I35" s="17">
        <f t="shared" si="24"/>
        <v>7.4639460295943705E-2</v>
      </c>
      <c r="J35" s="17">
        <f t="shared" si="24"/>
        <v>0.10689960670798353</v>
      </c>
      <c r="K35" s="17">
        <f t="shared" si="24"/>
        <v>0.14040616105337805</v>
      </c>
      <c r="L35" s="17">
        <f t="shared" si="24"/>
        <v>0.17176869654954927</v>
      </c>
      <c r="M35" s="17">
        <f t="shared" si="24"/>
        <v>0.19866209905291457</v>
      </c>
      <c r="T35" s="28" t="s">
        <v>16</v>
      </c>
      <c r="U35" s="28"/>
    </row>
    <row r="36" spans="2:21" x14ac:dyDescent="0.35">
      <c r="F36" s="17"/>
      <c r="G36" s="17"/>
      <c r="H36" s="17"/>
      <c r="I36" s="17"/>
      <c r="J36" s="17"/>
      <c r="K36" s="17"/>
      <c r="L36" s="17"/>
      <c r="M36" s="17"/>
    </row>
    <row r="38" spans="2:21" x14ac:dyDescent="0.35">
      <c r="B38" t="s">
        <v>7</v>
      </c>
    </row>
    <row r="39" spans="2:21" x14ac:dyDescent="0.35">
      <c r="B39" t="s">
        <v>0</v>
      </c>
      <c r="C39">
        <v>9.4E-2</v>
      </c>
    </row>
    <row r="40" spans="2:21" x14ac:dyDescent="0.35">
      <c r="B40" t="s">
        <v>1</v>
      </c>
      <c r="C40">
        <v>0.14199999999999999</v>
      </c>
      <c r="J40" s="7" t="s">
        <v>17</v>
      </c>
      <c r="K40">
        <v>1</v>
      </c>
      <c r="L40">
        <v>2</v>
      </c>
      <c r="M40">
        <v>3</v>
      </c>
      <c r="N40">
        <v>4</v>
      </c>
      <c r="O40" s="7" t="s">
        <v>59</v>
      </c>
    </row>
    <row r="41" spans="2:21" x14ac:dyDescent="0.35">
      <c r="B41" t="s">
        <v>2</v>
      </c>
      <c r="C41">
        <v>0.57999999999999996</v>
      </c>
      <c r="I41" s="7" t="s">
        <v>17</v>
      </c>
      <c r="J41" t="s">
        <v>62</v>
      </c>
      <c r="K41" t="s">
        <v>9</v>
      </c>
      <c r="O41" t="s">
        <v>49</v>
      </c>
    </row>
    <row r="42" spans="2:21" x14ac:dyDescent="0.35">
      <c r="B42" t="s">
        <v>3</v>
      </c>
      <c r="C42">
        <v>0.184</v>
      </c>
      <c r="I42">
        <v>1</v>
      </c>
      <c r="K42" t="s">
        <v>63</v>
      </c>
      <c r="L42" t="s">
        <v>28</v>
      </c>
      <c r="O42" t="s">
        <v>13</v>
      </c>
    </row>
    <row r="43" spans="2:21" x14ac:dyDescent="0.35">
      <c r="I43">
        <v>2</v>
      </c>
      <c r="L43" t="s">
        <v>64</v>
      </c>
      <c r="M43" t="s">
        <v>15</v>
      </c>
      <c r="O43" t="s">
        <v>41</v>
      </c>
    </row>
    <row r="44" spans="2:21" x14ac:dyDescent="0.35">
      <c r="B44" s="4" t="s">
        <v>60</v>
      </c>
      <c r="C44" s="4">
        <f>441/100000</f>
        <v>4.4099999999999999E-3</v>
      </c>
      <c r="I44">
        <v>3</v>
      </c>
      <c r="M44" t="s">
        <v>65</v>
      </c>
      <c r="N44" t="s">
        <v>29</v>
      </c>
      <c r="O44" t="s">
        <v>46</v>
      </c>
    </row>
    <row r="45" spans="2:21" x14ac:dyDescent="0.35">
      <c r="B45" s="4" t="s">
        <v>61</v>
      </c>
      <c r="C45" s="4">
        <f>616/100000</f>
        <v>6.1599999999999997E-3</v>
      </c>
      <c r="I45">
        <v>4</v>
      </c>
      <c r="N45" t="s">
        <v>40</v>
      </c>
      <c r="O45" t="s">
        <v>47</v>
      </c>
    </row>
    <row r="46" spans="2:21" x14ac:dyDescent="0.35">
      <c r="I46" t="s">
        <v>59</v>
      </c>
      <c r="O46" t="s">
        <v>66</v>
      </c>
    </row>
    <row r="47" spans="2:21" ht="15.5" x14ac:dyDescent="0.35">
      <c r="H47" s="8"/>
    </row>
    <row r="48" spans="2:21" ht="15.5" x14ac:dyDescent="0.35">
      <c r="H48" s="8"/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0031-D208-4D6D-8D55-0FF1A8BCE227}">
  <dimension ref="B2:Y47"/>
  <sheetViews>
    <sheetView topLeftCell="A4" workbookViewId="0">
      <selection activeCell="S40" sqref="S40"/>
    </sheetView>
  </sheetViews>
  <sheetFormatPr defaultColWidth="8.81640625" defaultRowHeight="14.5" x14ac:dyDescent="0.35"/>
  <cols>
    <col min="18" max="18" width="9.81640625" bestFit="1" customWidth="1"/>
    <col min="23" max="23" width="15.54296875" customWidth="1"/>
  </cols>
  <sheetData>
    <row r="2" spans="2:25" x14ac:dyDescent="0.35">
      <c r="B2" s="14" t="s">
        <v>77</v>
      </c>
      <c r="C2" s="14"/>
      <c r="D2" s="14"/>
      <c r="E2" s="14"/>
      <c r="F2" s="14"/>
      <c r="G2" s="14"/>
      <c r="H2" s="14"/>
    </row>
    <row r="3" spans="2:25" x14ac:dyDescent="0.35">
      <c r="Q3" s="9" t="s">
        <v>67</v>
      </c>
    </row>
    <row r="4" spans="2:25" x14ac:dyDescent="0.35"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Q4" t="s">
        <v>9</v>
      </c>
      <c r="R4">
        <f>24.17/100000</f>
        <v>2.4170000000000002E-4</v>
      </c>
      <c r="S4" s="23" t="s">
        <v>98</v>
      </c>
      <c r="X4">
        <v>7.6000000000000004E-4</v>
      </c>
      <c r="Y4" t="s">
        <v>100</v>
      </c>
    </row>
    <row r="5" spans="2:25" x14ac:dyDescent="0.35">
      <c r="B5" t="s">
        <v>8</v>
      </c>
      <c r="C5" s="10">
        <f>1-C44-C45</f>
        <v>0.99126000000000003</v>
      </c>
      <c r="D5" s="10">
        <f>C5-(C5*$R$4)-(C5*$R$5)</f>
        <v>0.99093496584599994</v>
      </c>
      <c r="E5" s="10">
        <f>D5-(D5*$R$4)-(D5*$R$5)</f>
        <v>0.99061003827069893</v>
      </c>
      <c r="F5" s="10">
        <f t="shared" ref="F5:M5" si="0">E5-(E5*$R$4)-(E5*$R$5)</f>
        <v>0.99028521723914997</v>
      </c>
      <c r="G5" s="10">
        <f>F5-(F5*$R$4)-(F5*$R$5)</f>
        <v>0.98996050271641722</v>
      </c>
      <c r="H5" s="10">
        <f t="shared" si="0"/>
        <v>0.98963589466757651</v>
      </c>
      <c r="I5" s="10">
        <f t="shared" si="0"/>
        <v>0.98931139305771509</v>
      </c>
      <c r="J5" s="10">
        <f t="shared" si="0"/>
        <v>0.98898699785193156</v>
      </c>
      <c r="K5" s="10">
        <f t="shared" si="0"/>
        <v>0.98866270901533593</v>
      </c>
      <c r="L5" s="10">
        <f t="shared" si="0"/>
        <v>0.98833852651304976</v>
      </c>
      <c r="M5" s="10">
        <f t="shared" si="0"/>
        <v>0.98801445031020607</v>
      </c>
      <c r="Q5" t="s">
        <v>49</v>
      </c>
      <c r="R5">
        <f>8.62/100000</f>
        <v>8.6199999999999995E-5</v>
      </c>
      <c r="S5" s="23" t="s">
        <v>99</v>
      </c>
      <c r="X5">
        <v>8.8400000000000006E-3</v>
      </c>
      <c r="Y5" t="s">
        <v>100</v>
      </c>
    </row>
    <row r="6" spans="2:25" x14ac:dyDescent="0.35">
      <c r="B6" t="s">
        <v>0</v>
      </c>
      <c r="C6" s="10">
        <f>$C$44*C39</f>
        <v>7.0889999999999994E-5</v>
      </c>
      <c r="D6" s="10">
        <f t="shared" ref="D6:M6" si="1">C6+(C5*$R$4)-(C6*$R$6)-(C6*$R$9)</f>
        <v>2.888456114134756E-4</v>
      </c>
      <c r="E6" s="10">
        <f t="shared" si="1"/>
        <v>4.402139773908769E-4</v>
      </c>
      <c r="F6" s="11">
        <f t="shared" si="1"/>
        <v>5.4531407800488703E-4</v>
      </c>
      <c r="G6" s="10">
        <f t="shared" si="1"/>
        <v>6.1826460037967652E-4</v>
      </c>
      <c r="H6" s="10">
        <f t="shared" si="1"/>
        <v>6.6887594470978575E-4</v>
      </c>
      <c r="I6" s="10">
        <f t="shared" si="1"/>
        <v>7.0396488872350111E-4</v>
      </c>
      <c r="J6" s="10">
        <f t="shared" si="1"/>
        <v>7.2826808512103404E-4</v>
      </c>
      <c r="K6" s="10">
        <f t="shared" si="1"/>
        <v>7.4507680723990058E-4</v>
      </c>
      <c r="L6" s="10">
        <f t="shared" si="1"/>
        <v>7.5667800344969159E-4</v>
      </c>
      <c r="M6" s="10">
        <f t="shared" si="1"/>
        <v>7.6466076474965533E-4</v>
      </c>
      <c r="Q6" t="s">
        <v>28</v>
      </c>
      <c r="R6">
        <v>0.28999999999999998</v>
      </c>
    </row>
    <row r="7" spans="2:25" x14ac:dyDescent="0.35">
      <c r="B7" t="s">
        <v>1</v>
      </c>
      <c r="C7" s="10">
        <f>$C$44*C40</f>
        <v>2.8216999999999999E-4</v>
      </c>
      <c r="D7" s="10">
        <f t="shared" ref="D7:M7" si="2">C7+(C6*$R$6)-(C7*$R$7)-(C7*$R$10)</f>
        <v>2.0251603315559862E-4</v>
      </c>
      <c r="E7" s="10">
        <f t="shared" si="2"/>
        <v>2.1435812812807927E-4</v>
      </c>
      <c r="F7" s="11">
        <f t="shared" si="2"/>
        <v>2.658913547485543E-4</v>
      </c>
      <c r="G7" s="10">
        <f t="shared" si="2"/>
        <v>3.2960169627272324E-4</v>
      </c>
      <c r="H7" s="10">
        <f t="shared" si="2"/>
        <v>3.9184109891984538E-4</v>
      </c>
      <c r="I7" s="10">
        <f t="shared" si="2"/>
        <v>4.4665360182625369E-4</v>
      </c>
      <c r="J7" s="10">
        <f t="shared" si="2"/>
        <v>4.9217535632289336E-4</v>
      </c>
      <c r="K7" s="10">
        <f t="shared" si="2"/>
        <v>5.2857808485816556E-4</v>
      </c>
      <c r="L7" s="10">
        <f t="shared" si="2"/>
        <v>5.5692699229121601E-4</v>
      </c>
      <c r="M7" s="10">
        <f t="shared" si="2"/>
        <v>5.7857219330034911E-4</v>
      </c>
      <c r="Q7" t="s">
        <v>15</v>
      </c>
      <c r="R7">
        <v>0.34</v>
      </c>
    </row>
    <row r="8" spans="2:25" x14ac:dyDescent="0.35">
      <c r="B8" t="s">
        <v>2</v>
      </c>
      <c r="C8" s="10">
        <f>$C$44*C41</f>
        <v>6.9499999999999998E-4</v>
      </c>
      <c r="D8" s="10">
        <f t="shared" ref="D8:M8" si="3">C8+(C7*$R$7)-(C8*$R$8)-(C8*$R$11)</f>
        <v>2.9434633702158102E-4</v>
      </c>
      <c r="E8" s="10">
        <f t="shared" si="3"/>
        <v>1.5288541689321018E-4</v>
      </c>
      <c r="F8" s="10">
        <f t="shared" si="3"/>
        <v>1.1652747852428989E-4</v>
      </c>
      <c r="G8" s="10">
        <f t="shared" si="3"/>
        <v>1.2366931462431862E-4</v>
      </c>
      <c r="H8" s="10">
        <f t="shared" si="3"/>
        <v>1.4736968146520458E-4</v>
      </c>
      <c r="I8" s="10">
        <f t="shared" si="3"/>
        <v>1.7529705694331962E-4</v>
      </c>
      <c r="J8" s="10">
        <f t="shared" si="3"/>
        <v>2.0190601255231166E-4</v>
      </c>
      <c r="K8" s="10">
        <f t="shared" si="3"/>
        <v>2.2497973131721557E-4</v>
      </c>
      <c r="L8" s="10">
        <f t="shared" si="3"/>
        <v>2.4394374216135485E-4</v>
      </c>
      <c r="M8" s="10">
        <f t="shared" si="3"/>
        <v>2.5899621478592591E-4</v>
      </c>
      <c r="Q8" t="s">
        <v>29</v>
      </c>
      <c r="R8">
        <v>0.64</v>
      </c>
      <c r="T8" s="5" t="s">
        <v>88</v>
      </c>
    </row>
    <row r="9" spans="2:25" x14ac:dyDescent="0.35">
      <c r="B9" t="s">
        <v>3</v>
      </c>
      <c r="C9" s="10">
        <f>$C$44*C42</f>
        <v>3.4194E-4</v>
      </c>
      <c r="D9" s="10">
        <f t="shared" ref="D9:M9" si="4">C9+(C8*$R$8)-(C9*$R$12)</f>
        <v>5.621630999677375E-4</v>
      </c>
      <c r="E9" s="10">
        <f t="shared" si="4"/>
        <v>3.8133130797107328E-4</v>
      </c>
      <c r="F9" s="10">
        <f t="shared" si="4"/>
        <v>2.2872993410485558E-4</v>
      </c>
      <c r="G9" s="10">
        <f t="shared" si="4"/>
        <v>1.5308391520788269E-4</v>
      </c>
      <c r="H9" s="10">
        <f t="shared" si="4"/>
        <v>1.3169092100159287E-4</v>
      </c>
      <c r="I9" s="10">
        <f t="shared" si="4"/>
        <v>1.3951649882929483E-4</v>
      </c>
      <c r="J9" s="10">
        <f t="shared" si="4"/>
        <v>1.6007597010007143E-4</v>
      </c>
      <c r="K9" s="10">
        <f t="shared" si="4"/>
        <v>1.8416227091845122E-4</v>
      </c>
      <c r="L9" s="10">
        <f t="shared" si="4"/>
        <v>2.0719652389634825E-4</v>
      </c>
      <c r="M9" s="10">
        <f t="shared" si="4"/>
        <v>2.2723947239747672E-4</v>
      </c>
      <c r="O9" s="5" t="s">
        <v>89</v>
      </c>
      <c r="Q9" s="5" t="s">
        <v>13</v>
      </c>
      <c r="R9">
        <f>T9/(1-($Q$16*R19))</f>
        <v>1.5147842947164323E-2</v>
      </c>
      <c r="T9">
        <v>0.01</v>
      </c>
      <c r="U9" t="s">
        <v>13</v>
      </c>
    </row>
    <row r="10" spans="2:25" x14ac:dyDescent="0.35">
      <c r="B10" t="s">
        <v>4</v>
      </c>
      <c r="C10" s="10">
        <f>C45</f>
        <v>7.3499999999999998E-3</v>
      </c>
      <c r="D10" s="10">
        <f t="shared" ref="D10:M10" si="5">C10+(C5*$R$5)+(C6*$R$9)+(C7*$R$10)+(C8*$R$11)+(C9*$R$12)</f>
        <v>7.7171630724416074E-3</v>
      </c>
      <c r="E10" s="10">
        <f t="shared" si="5"/>
        <v>8.2011728989176656E-3</v>
      </c>
      <c r="F10" s="10">
        <f t="shared" si="5"/>
        <v>8.5583199154672801E-3</v>
      </c>
      <c r="G10" s="10">
        <f t="shared" si="5"/>
        <v>8.814877757097982E-3</v>
      </c>
      <c r="H10" s="10">
        <f t="shared" si="5"/>
        <v>9.0243276863268673E-3</v>
      </c>
      <c r="I10" s="10">
        <f t="shared" si="5"/>
        <v>9.2231748959624247E-3</v>
      </c>
      <c r="J10" s="10">
        <f t="shared" si="5"/>
        <v>9.4305767239721092E-3</v>
      </c>
      <c r="K10" s="10">
        <f t="shared" si="5"/>
        <v>9.6544940903303331E-3</v>
      </c>
      <c r="L10" s="10">
        <f t="shared" si="5"/>
        <v>9.8967282251515836E-3</v>
      </c>
      <c r="M10" s="10">
        <f t="shared" si="5"/>
        <v>1.0156081044560415E-2</v>
      </c>
      <c r="Q10" s="5" t="s">
        <v>41</v>
      </c>
      <c r="R10">
        <f t="shared" ref="R10:R12" si="6">T10/(1-($Q$16*R20))</f>
        <v>1.5147842947164323E-2</v>
      </c>
      <c r="T10">
        <v>0.01</v>
      </c>
      <c r="U10" t="s">
        <v>41</v>
      </c>
    </row>
    <row r="11" spans="2:25" x14ac:dyDescent="0.35">
      <c r="B11" t="s">
        <v>68</v>
      </c>
      <c r="C11" s="10">
        <f>SUM(C5:C10)</f>
        <v>1</v>
      </c>
      <c r="D11" s="10">
        <f t="shared" ref="D11:M11" si="7">SUM(D5:D10)</f>
        <v>1</v>
      </c>
      <c r="E11" s="10">
        <f t="shared" si="7"/>
        <v>0.99999999999999978</v>
      </c>
      <c r="F11" s="10">
        <f t="shared" si="7"/>
        <v>0.99999999999999978</v>
      </c>
      <c r="G11" s="10">
        <f t="shared" si="7"/>
        <v>0.99999999999999978</v>
      </c>
      <c r="H11" s="10">
        <f t="shared" si="7"/>
        <v>0.99999999999999989</v>
      </c>
      <c r="I11" s="10">
        <f t="shared" si="7"/>
        <v>0.99999999999999989</v>
      </c>
      <c r="J11" s="10">
        <f t="shared" si="7"/>
        <v>0.99999999999999989</v>
      </c>
      <c r="K11" s="10">
        <f t="shared" si="7"/>
        <v>1</v>
      </c>
      <c r="L11" s="10">
        <f t="shared" si="7"/>
        <v>0.99999999999999989</v>
      </c>
      <c r="M11" s="10">
        <f t="shared" si="7"/>
        <v>1</v>
      </c>
      <c r="Q11" s="5" t="s">
        <v>46</v>
      </c>
      <c r="R11">
        <f t="shared" si="6"/>
        <v>7.4520090616430196E-2</v>
      </c>
      <c r="T11">
        <v>0.05</v>
      </c>
      <c r="U11" t="s">
        <v>46</v>
      </c>
    </row>
    <row r="12" spans="2:25" x14ac:dyDescent="0.35">
      <c r="Q12" s="5" t="s">
        <v>47</v>
      </c>
      <c r="R12">
        <f t="shared" si="6"/>
        <v>0.65677282573627682</v>
      </c>
      <c r="T12">
        <v>0.56999999999999995</v>
      </c>
      <c r="U12" t="s">
        <v>47</v>
      </c>
    </row>
    <row r="13" spans="2:25" x14ac:dyDescent="0.35">
      <c r="B13" s="12" t="s">
        <v>81</v>
      </c>
      <c r="C13" s="12"/>
      <c r="D13" s="12"/>
      <c r="E13" s="12"/>
      <c r="F13" s="12">
        <f>F6-(F6*R6)-(F6*R9)</f>
        <v>3.7891266337297403E-4</v>
      </c>
      <c r="G13" s="10">
        <f t="shared" ref="G13:M13" si="8">F13-(F13*$R$6)-(F13*$R$9)</f>
        <v>2.6328828147934599E-4</v>
      </c>
      <c r="H13" s="10">
        <f t="shared" si="8"/>
        <v>1.8294643031265776E-4</v>
      </c>
      <c r="I13" s="10">
        <f t="shared" si="8"/>
        <v>1.2712072172786653E-4</v>
      </c>
      <c r="J13" s="10">
        <f t="shared" si="8"/>
        <v>8.8330107698721336E-5</v>
      </c>
      <c r="K13" s="10">
        <f t="shared" si="8"/>
        <v>6.1376365867165804E-5</v>
      </c>
      <c r="L13" s="10">
        <f t="shared" si="8"/>
        <v>4.2647500214864199E-5</v>
      </c>
      <c r="M13" s="10">
        <f t="shared" si="8"/>
        <v>2.9633707517209664E-5</v>
      </c>
    </row>
    <row r="14" spans="2:25" x14ac:dyDescent="0.35">
      <c r="B14" s="12" t="s">
        <v>73</v>
      </c>
      <c r="C14" s="12"/>
      <c r="D14" s="12"/>
      <c r="E14" s="12"/>
      <c r="F14" s="12">
        <f>F6*R6</f>
        <v>1.5814108262141724E-4</v>
      </c>
      <c r="G14" s="10">
        <f>F13*$R$6</f>
        <v>1.0988467237816246E-4</v>
      </c>
      <c r="H14" s="10">
        <f>G13*$R$6</f>
        <v>7.6353601629010329E-5</v>
      </c>
      <c r="I14" s="10">
        <f t="shared" ref="I14:M14" si="9">H13*$R$6</f>
        <v>5.3054464790670745E-5</v>
      </c>
      <c r="J14" s="10">
        <f t="shared" si="9"/>
        <v>3.6865009301081295E-5</v>
      </c>
      <c r="K14" s="10">
        <f t="shared" si="9"/>
        <v>2.5615731232629187E-5</v>
      </c>
      <c r="L14" s="10">
        <f t="shared" si="9"/>
        <v>1.779914610147808E-5</v>
      </c>
      <c r="M14" s="10">
        <f t="shared" si="9"/>
        <v>1.2367775062310617E-5</v>
      </c>
    </row>
    <row r="15" spans="2:25" x14ac:dyDescent="0.35">
      <c r="B15" s="12" t="s">
        <v>82</v>
      </c>
      <c r="C15" s="12"/>
      <c r="D15" s="12"/>
      <c r="E15" s="12"/>
      <c r="F15" s="12">
        <f>F7-(F7*R10)-(F7*R7)</f>
        <v>1.7146061365130597E-4</v>
      </c>
      <c r="G15" s="10">
        <f t="shared" ref="G15:M15" si="10">(F15+F14)-((F15+F14)*$R$10)-((F15+F14)*$R$7)</f>
        <v>2.1254436480973912E-4</v>
      </c>
      <c r="H15" s="10">
        <f t="shared" si="10"/>
        <v>2.0791906012708732E-4</v>
      </c>
      <c r="I15" s="10">
        <f t="shared" si="10"/>
        <v>1.8331383912457066E-4</v>
      </c>
      <c r="J15" s="10">
        <f t="shared" si="10"/>
        <v>1.5242261063866364E-4</v>
      </c>
      <c r="K15" s="10">
        <f t="shared" si="10"/>
        <v>1.2206253002154186E-4</v>
      </c>
      <c r="L15" s="10">
        <f t="shared" si="10"/>
        <v>9.5230645319564408E-5</v>
      </c>
      <c r="M15" s="10">
        <f t="shared" si="10"/>
        <v>7.2887504809091361E-5</v>
      </c>
      <c r="Q15" t="s">
        <v>72</v>
      </c>
    </row>
    <row r="16" spans="2:25" x14ac:dyDescent="0.35">
      <c r="B16" s="12" t="s">
        <v>74</v>
      </c>
      <c r="C16" s="12"/>
      <c r="D16" s="12"/>
      <c r="E16" s="12"/>
      <c r="F16" s="12">
        <f>F7*R7</f>
        <v>9.040306061450847E-5</v>
      </c>
      <c r="G16" s="10">
        <f>(F15+F14)*$R$7</f>
        <v>1.120645767327259E-4</v>
      </c>
      <c r="H16" s="10">
        <f>(G15+G14)*$R$7</f>
        <v>1.0962587264388655E-4</v>
      </c>
      <c r="I16" s="10">
        <f t="shared" ref="I16:M16" si="11">(H15+H14)*$R$7</f>
        <v>9.6652704997073207E-5</v>
      </c>
      <c r="J16" s="10">
        <f t="shared" si="11"/>
        <v>8.0365223331182087E-5</v>
      </c>
      <c r="K16" s="10">
        <f t="shared" si="11"/>
        <v>6.435779077951329E-5</v>
      </c>
      <c r="L16" s="10">
        <f t="shared" si="11"/>
        <v>5.0210608826418156E-5</v>
      </c>
      <c r="M16" s="10">
        <f t="shared" si="11"/>
        <v>3.8430129083154447E-5</v>
      </c>
      <c r="Q16">
        <v>0.36</v>
      </c>
    </row>
    <row r="17" spans="2:23" x14ac:dyDescent="0.35">
      <c r="B17" s="12" t="s">
        <v>83</v>
      </c>
      <c r="C17" s="12"/>
      <c r="D17" s="12"/>
      <c r="E17" s="12"/>
      <c r="F17" s="12">
        <v>0</v>
      </c>
      <c r="G17" s="10">
        <f>F16-(F16*R11)-(F16*R8)</f>
        <v>2.5808257552227247E-5</v>
      </c>
      <c r="H17" s="10">
        <f t="shared" ref="H17:M17" si="12">(G17+G16)-((G17+G16)*$R$11)-((G17+G16)*$R$8)</f>
        <v>3.9359924238124361E-5</v>
      </c>
      <c r="I17" s="10">
        <f t="shared" si="12"/>
        <v>4.2532451793315411E-5</v>
      </c>
      <c r="J17" s="10">
        <f t="shared" si="12"/>
        <v>3.9734565948058094E-5</v>
      </c>
      <c r="K17" s="10">
        <f t="shared" si="12"/>
        <v>3.4286076960423308E-5</v>
      </c>
      <c r="L17" s="10">
        <f t="shared" si="12"/>
        <v>2.8160842423641941E-5</v>
      </c>
      <c r="M17" s="10">
        <f t="shared" si="12"/>
        <v>2.2373474801126005E-5</v>
      </c>
    </row>
    <row r="18" spans="2:23" x14ac:dyDescent="0.35">
      <c r="B18" s="12" t="s">
        <v>75</v>
      </c>
      <c r="C18" s="12"/>
      <c r="D18" s="12"/>
      <c r="E18" s="12"/>
      <c r="F18" s="7" t="s">
        <v>87</v>
      </c>
      <c r="G18" s="10">
        <f>F16*R8</f>
        <v>5.7857958793285419E-5</v>
      </c>
      <c r="H18" s="10">
        <f>(G17+G16)*$R$8</f>
        <v>8.823861394237001E-5</v>
      </c>
      <c r="I18" s="10">
        <f t="shared" ref="I18:M18" si="13">(H17+H16)*$R$8</f>
        <v>9.5350910004486994E-5</v>
      </c>
      <c r="J18" s="10">
        <f t="shared" si="13"/>
        <v>8.9078500345848714E-5</v>
      </c>
      <c r="K18" s="10">
        <f t="shared" si="13"/>
        <v>7.6863865138713719E-5</v>
      </c>
      <c r="L18" s="10">
        <f t="shared" si="13"/>
        <v>6.3132075353559429E-5</v>
      </c>
      <c r="M18" s="10">
        <f t="shared" si="13"/>
        <v>5.0157728800038461E-5</v>
      </c>
      <c r="Q18" t="s">
        <v>90</v>
      </c>
    </row>
    <row r="19" spans="2:23" x14ac:dyDescent="0.35">
      <c r="B19" s="12" t="s">
        <v>84</v>
      </c>
      <c r="C19" s="12"/>
      <c r="D19" s="12"/>
      <c r="E19" s="12"/>
      <c r="F19" s="7" t="s">
        <v>87</v>
      </c>
      <c r="G19" s="7" t="s">
        <v>87</v>
      </c>
      <c r="H19" s="10">
        <f>G18-(G18*R12)</f>
        <v>1.9858423705286289E-5</v>
      </c>
      <c r="I19" s="10">
        <f>(H18+H19)-((H18+H19)*$R$12)</f>
        <v>3.7101840778084371E-5</v>
      </c>
      <c r="J19" s="10">
        <f>(I18+I19)-((I18+I19)*$R$12)</f>
        <v>4.5461383374559113E-5</v>
      </c>
      <c r="K19" s="10">
        <f>(J18+J19)-((J18+J19)*$R$12)</f>
        <v>4.6177744115125463E-5</v>
      </c>
      <c r="L19" s="10">
        <f>(K18+K19)-((K18+K19)*$R$12)</f>
        <v>4.2231223861056397E-5</v>
      </c>
      <c r="M19" s="10">
        <f>(L18+L19)-((L18+L19)*$R$12)</f>
        <v>3.6163547460535753E-5</v>
      </c>
      <c r="Q19" t="s">
        <v>0</v>
      </c>
      <c r="R19">
        <v>0.94399999999999995</v>
      </c>
    </row>
    <row r="20" spans="2:23" x14ac:dyDescent="0.35">
      <c r="B20" s="12" t="s">
        <v>78</v>
      </c>
      <c r="C20" s="12"/>
      <c r="D20" s="12"/>
      <c r="E20" s="12"/>
      <c r="F20" s="12">
        <f>F6*R9</f>
        <v>8.2603320104957432E-6</v>
      </c>
      <c r="G20" s="10">
        <f t="shared" ref="G20:M20" si="14">F13*$R$9</f>
        <v>5.7397095154655541E-6</v>
      </c>
      <c r="H20" s="10">
        <f t="shared" si="14"/>
        <v>3.988249537677926E-6</v>
      </c>
      <c r="I20" s="10">
        <f t="shared" si="14"/>
        <v>2.771243794120482E-6</v>
      </c>
      <c r="J20" s="10">
        <f t="shared" si="14"/>
        <v>1.9256047280639015E-6</v>
      </c>
      <c r="K20" s="10">
        <f t="shared" si="14"/>
        <v>1.3380105989263411E-6</v>
      </c>
      <c r="L20" s="10">
        <f t="shared" si="14"/>
        <v>9.2971955082352455E-7</v>
      </c>
      <c r="M20" s="10">
        <f t="shared" si="14"/>
        <v>6.4601763534391958E-7</v>
      </c>
      <c r="Q20" t="s">
        <v>1</v>
      </c>
      <c r="R20">
        <v>0.94399999999999995</v>
      </c>
    </row>
    <row r="21" spans="2:23" x14ac:dyDescent="0.35">
      <c r="B21" s="12" t="s">
        <v>79</v>
      </c>
      <c r="C21" s="12"/>
      <c r="D21" s="12"/>
      <c r="E21" s="12"/>
      <c r="F21" s="12">
        <f>F7*R10</f>
        <v>4.027680482739855E-6</v>
      </c>
      <c r="G21" s="12">
        <f t="shared" ref="G21:M21" si="15">(F15+F14)*$R$10</f>
        <v>4.9927547302581669E-6</v>
      </c>
      <c r="H21" s="12">
        <f t="shared" si="15"/>
        <v>4.8841044169277377E-6</v>
      </c>
      <c r="I21" s="12">
        <f t="shared" si="15"/>
        <v>4.3061176344537331E-6</v>
      </c>
      <c r="J21" s="12">
        <f t="shared" si="15"/>
        <v>3.5804699453956825E-6</v>
      </c>
      <c r="K21" s="12">
        <f t="shared" si="15"/>
        <v>2.867299138689786E-6</v>
      </c>
      <c r="L21" s="12">
        <f t="shared" si="15"/>
        <v>2.237007108188485E-6</v>
      </c>
      <c r="M21" s="12">
        <f t="shared" si="15"/>
        <v>1.7121575287966929E-6</v>
      </c>
      <c r="Q21" t="s">
        <v>2</v>
      </c>
      <c r="R21">
        <v>0.91400000000000003</v>
      </c>
      <c r="U21" s="5"/>
      <c r="V21" s="5"/>
      <c r="W21" s="5"/>
    </row>
    <row r="22" spans="2:23" x14ac:dyDescent="0.35">
      <c r="B22" s="12" t="s">
        <v>80</v>
      </c>
      <c r="C22" s="12"/>
      <c r="D22" s="12"/>
      <c r="E22" s="12"/>
      <c r="F22" s="7" t="s">
        <v>87</v>
      </c>
      <c r="G22">
        <f>F16*R11</f>
        <v>6.7368442689958029E-6</v>
      </c>
      <c r="H22" s="12">
        <f t="shared" ref="H22:M22" si="16">(G17+G16)*$R$11</f>
        <v>1.0274296104458773E-5</v>
      </c>
      <c r="I22" s="12">
        <f t="shared" si="16"/>
        <v>1.1102435084208517E-5</v>
      </c>
      <c r="J22" s="12">
        <f t="shared" si="16"/>
        <v>1.0372090496481804E-5</v>
      </c>
      <c r="K22" s="12">
        <f t="shared" si="16"/>
        <v>8.9498471801031507E-6</v>
      </c>
      <c r="L22" s="12">
        <f t="shared" si="16"/>
        <v>7.3509499627352305E-6</v>
      </c>
      <c r="M22" s="12">
        <f t="shared" si="16"/>
        <v>5.8402476488956192E-6</v>
      </c>
      <c r="Q22" t="s">
        <v>3</v>
      </c>
      <c r="R22">
        <v>0.36699999999999999</v>
      </c>
      <c r="U22" s="5"/>
      <c r="V22" s="5"/>
      <c r="W22" s="5"/>
    </row>
    <row r="23" spans="2:23" x14ac:dyDescent="0.35">
      <c r="B23" s="12" t="s">
        <v>76</v>
      </c>
      <c r="C23" s="12"/>
      <c r="D23" s="12"/>
      <c r="E23" s="12"/>
      <c r="F23" s="7" t="s">
        <v>87</v>
      </c>
      <c r="G23" s="7" t="s">
        <v>87</v>
      </c>
      <c r="H23">
        <f>G18*R12</f>
        <v>3.799953508799913E-5</v>
      </c>
      <c r="I23" s="12">
        <f>(H18+H19)*$R$12</f>
        <v>7.0995196869571921E-5</v>
      </c>
      <c r="J23" s="12">
        <f>(I18+I19)*$R$12</f>
        <v>8.6991367408012252E-5</v>
      </c>
      <c r="K23" s="12">
        <f>(J18+J19)*$R$12</f>
        <v>8.836213960528235E-5</v>
      </c>
      <c r="L23" s="12">
        <f>(K18+K19)*$R$12</f>
        <v>8.0810385392782771E-5</v>
      </c>
      <c r="M23" s="12">
        <f>(L18+L19)*$R$12</f>
        <v>6.9199751754080074E-5</v>
      </c>
      <c r="U23" s="5"/>
      <c r="V23" s="5"/>
      <c r="W23" s="5"/>
    </row>
    <row r="24" spans="2:23" x14ac:dyDescent="0.35">
      <c r="B24" s="12" t="s">
        <v>86</v>
      </c>
      <c r="C24" s="12"/>
      <c r="D24" s="12"/>
      <c r="E24" s="12"/>
      <c r="F24" s="7" t="s">
        <v>87</v>
      </c>
      <c r="G24" s="12">
        <f>SUM(F20:F23)</f>
        <v>1.2288012493235597E-5</v>
      </c>
      <c r="H24" s="12">
        <f>SUM(G20:G24)</f>
        <v>2.9757321007955121E-5</v>
      </c>
      <c r="I24" s="12">
        <f t="shared" ref="I24:M24" si="17">SUM(H20:H24)</f>
        <v>8.6903506155018687E-5</v>
      </c>
      <c r="J24" s="12">
        <f t="shared" si="17"/>
        <v>1.7607849953737336E-4</v>
      </c>
      <c r="K24" s="12">
        <f t="shared" si="17"/>
        <v>2.78948032115327E-4</v>
      </c>
      <c r="L24" s="12">
        <f t="shared" si="17"/>
        <v>3.8046532863832865E-4</v>
      </c>
      <c r="M24" s="12">
        <f t="shared" si="17"/>
        <v>4.7179339065285867E-4</v>
      </c>
      <c r="U24" s="5"/>
      <c r="V24" s="5"/>
      <c r="W24" s="5"/>
    </row>
    <row r="25" spans="2:23" x14ac:dyDescent="0.35">
      <c r="B25" s="12" t="s">
        <v>85</v>
      </c>
      <c r="C25" s="12"/>
      <c r="D25" s="12"/>
      <c r="E25" s="12"/>
      <c r="F25" s="13">
        <f>SUM(F13:F24)</f>
        <v>8.1120543275344144E-4</v>
      </c>
      <c r="G25" s="12">
        <f t="shared" ref="G25:M25" si="18">SUM(G13:G24)</f>
        <v>8.1120543275344122E-4</v>
      </c>
      <c r="H25" s="12">
        <f t="shared" si="18"/>
        <v>8.1120543275344133E-4</v>
      </c>
      <c r="I25" s="12">
        <f t="shared" si="18"/>
        <v>8.1120543275344122E-4</v>
      </c>
      <c r="J25" s="12">
        <f t="shared" si="18"/>
        <v>8.1120543275344122E-4</v>
      </c>
      <c r="K25" s="12">
        <f t="shared" si="18"/>
        <v>8.1120543275344122E-4</v>
      </c>
      <c r="L25" s="12">
        <f t="shared" si="18"/>
        <v>8.1120543275344122E-4</v>
      </c>
      <c r="M25" s="12">
        <f t="shared" si="18"/>
        <v>8.1120543275344133E-4</v>
      </c>
    </row>
    <row r="26" spans="2:23" x14ac:dyDescent="0.3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U26" s="5" t="s">
        <v>106</v>
      </c>
      <c r="W26" s="27">
        <v>2166168.29</v>
      </c>
    </row>
    <row r="27" spans="2:23" x14ac:dyDescent="0.35">
      <c r="B27" s="15" t="s">
        <v>91</v>
      </c>
      <c r="C27" s="12"/>
      <c r="D27" s="12"/>
      <c r="E27" s="12"/>
      <c r="F27" s="16">
        <f>SUM(F20:F24)/F25</f>
        <v>1.5147842947164319E-2</v>
      </c>
      <c r="G27" s="16">
        <f>SUM(G20:G24)/G25</f>
        <v>3.6682842355913556E-2</v>
      </c>
      <c r="H27" s="16">
        <f t="shared" ref="H27:M27" si="19">SUM(H20:H24)/H25</f>
        <v>0.10712885127019635</v>
      </c>
      <c r="I27" s="16">
        <f t="shared" si="19"/>
        <v>0.21705784062579234</v>
      </c>
      <c r="J27" s="16">
        <f t="shared" si="19"/>
        <v>0.3438685453184222</v>
      </c>
      <c r="K27" s="16">
        <f t="shared" si="19"/>
        <v>0.46901230351346496</v>
      </c>
      <c r="L27" s="16">
        <f t="shared" si="19"/>
        <v>0.58159545240158195</v>
      </c>
      <c r="M27" s="16">
        <f t="shared" si="19"/>
        <v>0.67700676431107787</v>
      </c>
      <c r="N27" s="5"/>
      <c r="O27" s="24">
        <f>GEOMEAN(G27:M27)</f>
        <v>0.24577270960354491</v>
      </c>
      <c r="P27" s="21">
        <f>AVERAGE(F27:M27)</f>
        <v>0.30593755534295169</v>
      </c>
      <c r="Q27" s="22">
        <f>MEDIAN(F27:M27)</f>
        <v>0.28046319297210726</v>
      </c>
      <c r="U27" s="5" t="s">
        <v>107</v>
      </c>
      <c r="W27" s="27">
        <v>1085797.5</v>
      </c>
    </row>
    <row r="29" spans="2:23" x14ac:dyDescent="0.35">
      <c r="B29" s="20" t="s">
        <v>93</v>
      </c>
      <c r="F29">
        <v>0</v>
      </c>
      <c r="G29" s="10">
        <f>SUM(G20:G23)</f>
        <v>1.7469308514719524E-5</v>
      </c>
      <c r="H29" s="10">
        <f t="shared" ref="H29:M29" si="20">SUM(H20:H23)</f>
        <v>5.7146185147063565E-5</v>
      </c>
      <c r="I29" s="10">
        <f t="shared" si="20"/>
        <v>8.9174993382354657E-5</v>
      </c>
      <c r="J29" s="10">
        <f t="shared" si="20"/>
        <v>1.0286953257795364E-4</v>
      </c>
      <c r="K29" s="10">
        <f t="shared" si="20"/>
        <v>1.0151729652300163E-4</v>
      </c>
      <c r="L29" s="10">
        <f t="shared" si="20"/>
        <v>9.1328062014530017E-5</v>
      </c>
      <c r="M29" s="10">
        <f t="shared" si="20"/>
        <v>7.7398174567116303E-5</v>
      </c>
    </row>
    <row r="30" spans="2:23" x14ac:dyDescent="0.35">
      <c r="B30" s="12" t="s">
        <v>94</v>
      </c>
      <c r="F30">
        <v>0</v>
      </c>
      <c r="G30" s="10">
        <f>G24</f>
        <v>1.2288012493235597E-5</v>
      </c>
      <c r="H30" s="10">
        <f>H24</f>
        <v>2.9757321007955121E-5</v>
      </c>
      <c r="I30" s="10">
        <f t="shared" ref="I30:O30" si="21">I24</f>
        <v>8.6903506155018687E-5</v>
      </c>
      <c r="J30" s="10">
        <f t="shared" si="21"/>
        <v>1.7607849953737336E-4</v>
      </c>
      <c r="K30" s="10">
        <f t="shared" si="21"/>
        <v>2.78948032115327E-4</v>
      </c>
      <c r="L30" s="10">
        <f t="shared" si="21"/>
        <v>3.8046532863832865E-4</v>
      </c>
      <c r="M30" s="10">
        <f t="shared" si="21"/>
        <v>4.7179339065285867E-4</v>
      </c>
    </row>
    <row r="31" spans="2:23" x14ac:dyDescent="0.35">
      <c r="B31" s="5" t="s">
        <v>92</v>
      </c>
      <c r="F31" s="10">
        <f>F10-E10-(E5*$R$5)</f>
        <v>2.7175643125068024E-4</v>
      </c>
      <c r="G31" s="10">
        <f>G10-F10-(F5*$R$5)</f>
        <v>1.7119525590468716E-4</v>
      </c>
      <c r="H31" s="10">
        <f>H10-G10-(G5*$R$5)</f>
        <v>1.2411533389473009E-4</v>
      </c>
      <c r="I31" s="10">
        <f t="shared" ref="I31:M31" si="22">I10-H10-(H5*$R$5)</f>
        <v>1.1354059551521235E-4</v>
      </c>
      <c r="J31" s="10">
        <f t="shared" si="22"/>
        <v>1.2212318592810952E-4</v>
      </c>
      <c r="K31" s="10">
        <f t="shared" si="22"/>
        <v>1.3866668714338735E-4</v>
      </c>
      <c r="L31" s="10">
        <f t="shared" si="22"/>
        <v>1.570114093041286E-4</v>
      </c>
      <c r="M31" s="10">
        <f t="shared" si="22"/>
        <v>1.741580384234067E-4</v>
      </c>
      <c r="T31" s="25" t="s">
        <v>101</v>
      </c>
      <c r="U31" s="4"/>
    </row>
    <row r="32" spans="2:23" x14ac:dyDescent="0.35">
      <c r="B32" t="s">
        <v>95</v>
      </c>
      <c r="F32" s="10">
        <f>SUM($F31:F31)</f>
        <v>2.7175643125068024E-4</v>
      </c>
      <c r="G32" s="10">
        <f>SUM($F31:G31)</f>
        <v>4.4295168715536741E-4</v>
      </c>
      <c r="H32" s="10">
        <f>SUM($F31:H31)</f>
        <v>5.6706702105009752E-4</v>
      </c>
      <c r="I32" s="10">
        <f>SUM($F31:I31)</f>
        <v>6.8060761656530983E-4</v>
      </c>
      <c r="J32" s="10">
        <f>SUM($F31:J31)</f>
        <v>8.0273080249341935E-4</v>
      </c>
      <c r="K32" s="10">
        <f>SUM($F31:K31)</f>
        <v>9.4139748963680664E-4</v>
      </c>
      <c r="L32" s="10">
        <f>SUM($F31:L31)</f>
        <v>1.0984088989409353E-3</v>
      </c>
      <c r="M32" s="10">
        <f>SUM($F31:M31)</f>
        <v>1.2725669373643421E-3</v>
      </c>
      <c r="T32" t="s">
        <v>108</v>
      </c>
    </row>
    <row r="33" spans="2:20" x14ac:dyDescent="0.35">
      <c r="O33" s="5"/>
    </row>
    <row r="34" spans="2:20" x14ac:dyDescent="0.35">
      <c r="B34" s="5" t="s">
        <v>97</v>
      </c>
      <c r="F34" s="17">
        <f>F29/F31</f>
        <v>0</v>
      </c>
      <c r="G34" s="17">
        <f>G29/G31</f>
        <v>0.10204318117580051</v>
      </c>
      <c r="H34" s="17">
        <f t="shared" ref="H34:M34" si="23">H29/H31</f>
        <v>0.4604280821218496</v>
      </c>
      <c r="I34" s="17">
        <f t="shared" si="23"/>
        <v>0.78540184660566492</v>
      </c>
      <c r="J34" s="17">
        <f t="shared" si="23"/>
        <v>0.84234235944769764</v>
      </c>
      <c r="K34" s="17">
        <f t="shared" si="23"/>
        <v>0.73209578027942901</v>
      </c>
      <c r="L34" s="17">
        <f t="shared" si="23"/>
        <v>0.58166513133850684</v>
      </c>
      <c r="M34" s="17">
        <f>M29/M31</f>
        <v>0.44441344923137382</v>
      </c>
      <c r="O34" s="19">
        <f>GEOMEAN(G34:M34)</f>
        <v>0.48013672478398289</v>
      </c>
      <c r="P34" s="18">
        <f>AVERAGE(G34:M34)</f>
        <v>0.56405569002861744</v>
      </c>
      <c r="Q34" s="18">
        <f>MEDIAN(G34:M34)</f>
        <v>0.58166513133850684</v>
      </c>
      <c r="T34" s="4">
        <f>O34*W26/W27</f>
        <v>0.9578737730484006</v>
      </c>
    </row>
    <row r="35" spans="2:20" x14ac:dyDescent="0.35">
      <c r="B35" t="s">
        <v>96</v>
      </c>
      <c r="F35" s="17">
        <f>F30/F32</f>
        <v>0</v>
      </c>
      <c r="G35" s="17">
        <f t="shared" ref="G35:M35" si="24">G30/G32</f>
        <v>2.774120259513882E-2</v>
      </c>
      <c r="H35" s="17">
        <f t="shared" si="24"/>
        <v>5.2475844835501752E-2</v>
      </c>
      <c r="I35" s="17">
        <f t="shared" si="24"/>
        <v>0.12768518018293376</v>
      </c>
      <c r="J35" s="17">
        <f t="shared" si="24"/>
        <v>0.21934937464769433</v>
      </c>
      <c r="K35" s="17">
        <f t="shared" si="24"/>
        <v>0.29631270019951489</v>
      </c>
      <c r="L35" s="17">
        <f t="shared" si="24"/>
        <v>0.34637859271275567</v>
      </c>
      <c r="M35" s="17">
        <f t="shared" si="24"/>
        <v>0.37074151213609752</v>
      </c>
    </row>
    <row r="36" spans="2:20" x14ac:dyDescent="0.35">
      <c r="F36" s="17"/>
      <c r="G36" s="17"/>
      <c r="H36" s="17"/>
      <c r="I36" s="17"/>
      <c r="J36" s="17"/>
      <c r="K36" s="17"/>
      <c r="L36" s="17"/>
      <c r="M36" s="17"/>
    </row>
    <row r="38" spans="2:20" x14ac:dyDescent="0.35">
      <c r="B38" t="s">
        <v>7</v>
      </c>
    </row>
    <row r="39" spans="2:20" x14ac:dyDescent="0.35">
      <c r="B39" t="s">
        <v>0</v>
      </c>
      <c r="C39">
        <v>5.0999999999999997E-2</v>
      </c>
    </row>
    <row r="40" spans="2:20" x14ac:dyDescent="0.35">
      <c r="B40" t="s">
        <v>1</v>
      </c>
      <c r="C40">
        <v>0.20300000000000001</v>
      </c>
      <c r="J40" s="7" t="s">
        <v>17</v>
      </c>
      <c r="K40">
        <v>1</v>
      </c>
      <c r="L40">
        <v>2</v>
      </c>
      <c r="M40">
        <v>3</v>
      </c>
      <c r="N40">
        <v>4</v>
      </c>
      <c r="O40" s="7" t="s">
        <v>59</v>
      </c>
    </row>
    <row r="41" spans="2:20" x14ac:dyDescent="0.35">
      <c r="B41" t="s">
        <v>2</v>
      </c>
      <c r="C41">
        <v>0.5</v>
      </c>
      <c r="I41" s="7" t="s">
        <v>17</v>
      </c>
      <c r="J41" t="s">
        <v>62</v>
      </c>
      <c r="K41" t="s">
        <v>9</v>
      </c>
      <c r="O41" t="s">
        <v>49</v>
      </c>
    </row>
    <row r="42" spans="2:20" x14ac:dyDescent="0.35">
      <c r="B42" t="s">
        <v>3</v>
      </c>
      <c r="C42">
        <v>0.246</v>
      </c>
      <c r="I42">
        <v>1</v>
      </c>
      <c r="K42" t="s">
        <v>63</v>
      </c>
      <c r="L42" t="s">
        <v>28</v>
      </c>
      <c r="O42" t="s">
        <v>13</v>
      </c>
    </row>
    <row r="43" spans="2:20" x14ac:dyDescent="0.35">
      <c r="I43">
        <v>2</v>
      </c>
      <c r="L43" t="s">
        <v>64</v>
      </c>
      <c r="M43" t="s">
        <v>15</v>
      </c>
      <c r="O43" t="s">
        <v>41</v>
      </c>
    </row>
    <row r="44" spans="2:20" x14ac:dyDescent="0.35">
      <c r="B44" t="s">
        <v>60</v>
      </c>
      <c r="C44">
        <f>139/100000</f>
        <v>1.39E-3</v>
      </c>
      <c r="I44">
        <v>3</v>
      </c>
      <c r="M44" t="s">
        <v>65</v>
      </c>
      <c r="N44" t="s">
        <v>29</v>
      </c>
      <c r="O44" t="s">
        <v>46</v>
      </c>
    </row>
    <row r="45" spans="2:20" x14ac:dyDescent="0.35">
      <c r="B45" t="s">
        <v>61</v>
      </c>
      <c r="C45">
        <f>735/100000</f>
        <v>7.3499999999999998E-3</v>
      </c>
      <c r="I45">
        <v>4</v>
      </c>
      <c r="N45" t="s">
        <v>40</v>
      </c>
      <c r="O45" t="s">
        <v>47</v>
      </c>
    </row>
    <row r="46" spans="2:20" x14ac:dyDescent="0.35">
      <c r="I46" t="s">
        <v>59</v>
      </c>
      <c r="O46" t="s">
        <v>66</v>
      </c>
    </row>
    <row r="47" spans="2:20" ht="15.5" x14ac:dyDescent="0.35">
      <c r="H4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01A7-B50F-4BD5-8A7A-3C79B49992F5}">
  <dimension ref="B2:AA49"/>
  <sheetViews>
    <sheetView tabSelected="1" workbookViewId="0">
      <selection activeCell="R6" sqref="Q6:R8"/>
    </sheetView>
  </sheetViews>
  <sheetFormatPr defaultRowHeight="14.5" x14ac:dyDescent="0.35"/>
  <cols>
    <col min="18" max="18" width="10.6328125" customWidth="1"/>
    <col min="23" max="23" width="13.54296875" customWidth="1"/>
    <col min="25" max="25" width="11.81640625" bestFit="1" customWidth="1"/>
  </cols>
  <sheetData>
    <row r="2" spans="2:27" x14ac:dyDescent="0.35">
      <c r="B2" s="14" t="s">
        <v>77</v>
      </c>
      <c r="C2" s="14"/>
      <c r="D2" s="14"/>
      <c r="E2" s="14"/>
      <c r="F2" s="14"/>
      <c r="G2" s="14"/>
      <c r="H2" s="14"/>
    </row>
    <row r="3" spans="2:27" x14ac:dyDescent="0.35">
      <c r="Q3" s="9" t="s">
        <v>67</v>
      </c>
      <c r="X3" t="s">
        <v>115</v>
      </c>
    </row>
    <row r="4" spans="2:27" x14ac:dyDescent="0.35"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Q4" t="s">
        <v>9</v>
      </c>
      <c r="R4">
        <f>24.17/100000</f>
        <v>2.4170000000000002E-4</v>
      </c>
      <c r="S4" s="23" t="s">
        <v>98</v>
      </c>
      <c r="X4" s="4" t="s">
        <v>111</v>
      </c>
      <c r="Y4" s="4">
        <f>$R$4*C41</f>
        <v>2.2719800000000002E-5</v>
      </c>
      <c r="AA4">
        <f>24.17/100000</f>
        <v>2.4170000000000002E-4</v>
      </c>
    </row>
    <row r="5" spans="2:27" x14ac:dyDescent="0.35">
      <c r="B5" t="s">
        <v>8</v>
      </c>
      <c r="C5" s="26">
        <f>1-C46-C47</f>
        <v>0.99314999999999998</v>
      </c>
      <c r="D5" s="26">
        <f>C5-(C5*$R$4)-(C5*$R$5)</f>
        <v>0.986792151645</v>
      </c>
      <c r="E5" s="26">
        <f t="shared" ref="E5:M5" si="0">D5-(D5*$R$4)-(D5*$R$5)</f>
        <v>0.9804750043278142</v>
      </c>
      <c r="F5" s="26">
        <f t="shared" si="0"/>
        <v>0.97419829749260878</v>
      </c>
      <c r="G5" s="26">
        <f t="shared" si="0"/>
        <v>0.96796177225155045</v>
      </c>
      <c r="H5" s="26">
        <f t="shared" si="0"/>
        <v>0.96176517137412776</v>
      </c>
      <c r="I5" s="26">
        <f t="shared" si="0"/>
        <v>0.95560823927654204</v>
      </c>
      <c r="J5" s="26">
        <f t="shared" si="0"/>
        <v>0.94949072201116536</v>
      </c>
      <c r="K5" s="26">
        <f t="shared" si="0"/>
        <v>0.94341236725606648</v>
      </c>
      <c r="L5" s="26">
        <f t="shared" si="0"/>
        <v>0.93737292430460328</v>
      </c>
      <c r="M5" s="26">
        <f t="shared" si="0"/>
        <v>0.93137214405508251</v>
      </c>
      <c r="N5" s="26"/>
      <c r="Q5" t="s">
        <v>49</v>
      </c>
      <c r="R5">
        <v>6.1599999999999997E-3</v>
      </c>
      <c r="S5" s="23" t="s">
        <v>99</v>
      </c>
      <c r="X5" s="4" t="s">
        <v>112</v>
      </c>
      <c r="Y5" s="4">
        <f t="shared" ref="Y5:Y7" si="1">$R$4*C42</f>
        <v>3.43214E-5</v>
      </c>
      <c r="AA5">
        <v>0</v>
      </c>
    </row>
    <row r="6" spans="2:27" x14ac:dyDescent="0.35">
      <c r="B6" t="s">
        <v>0</v>
      </c>
      <c r="C6" s="26">
        <f>$C$46*C41</f>
        <v>6.4859999999999999E-5</v>
      </c>
      <c r="D6" s="26">
        <f>C6+(C5*$Y$4)-(C6*$R$6)-(C6*$R$9)</f>
        <v>6.4888692809667118E-5</v>
      </c>
      <c r="E6" s="26">
        <f t="shared" ref="E6:M6" si="2">D6+(D5*$Y$4)-(D6*$R$6)-(D6*$R$9)</f>
        <v>6.4762967317263468E-5</v>
      </c>
      <c r="F6" s="32">
        <f t="shared" si="2"/>
        <v>6.4537400570732477E-5</v>
      </c>
      <c r="G6" s="26">
        <f t="shared" si="2"/>
        <v>6.4247601012692857E-5</v>
      </c>
      <c r="H6" s="26">
        <f t="shared" si="2"/>
        <v>6.3916799122107668E-5</v>
      </c>
      <c r="I6" s="26">
        <f t="shared" si="2"/>
        <v>6.3560148150517171E-5</v>
      </c>
      <c r="J6" s="26">
        <f t="shared" si="2"/>
        <v>6.3187530575875827E-5</v>
      </c>
      <c r="K6" s="26">
        <f t="shared" si="2"/>
        <v>6.2805389459408116E-5</v>
      </c>
      <c r="L6" s="26">
        <f t="shared" si="2"/>
        <v>6.2417923500969851E-5</v>
      </c>
      <c r="M6" s="26">
        <f t="shared" si="2"/>
        <v>6.2027866874591188E-5</v>
      </c>
      <c r="N6" s="26"/>
      <c r="Q6" t="s">
        <v>28</v>
      </c>
      <c r="R6">
        <v>0.31</v>
      </c>
      <c r="X6" s="4" t="s">
        <v>113</v>
      </c>
      <c r="Y6" s="4">
        <f t="shared" si="1"/>
        <v>1.4018599999999999E-4</v>
      </c>
      <c r="AA6">
        <v>0</v>
      </c>
    </row>
    <row r="7" spans="2:27" x14ac:dyDescent="0.35">
      <c r="B7" t="s">
        <v>1</v>
      </c>
      <c r="C7" s="26">
        <f>$C$46*C42</f>
        <v>9.797999999999998E-5</v>
      </c>
      <c r="D7" s="26">
        <f>C7+(C6*$R$6)-(C7*$R$7)-(C7*$R$10)+(C5*$Y$5)</f>
        <v>1.1158426224782634E-4</v>
      </c>
      <c r="E7" s="26">
        <f t="shared" ref="E7:M7" si="3">D7+(D6*$R$6)-(D7*$R$7)-(D7*$R$10)+(D5*$Y$5)</f>
        <v>1.1934358489670918E-4</v>
      </c>
      <c r="F7" s="32">
        <f t="shared" si="3"/>
        <v>1.2363278654265128E-4</v>
      </c>
      <c r="G7" s="26">
        <f t="shared" si="3"/>
        <v>1.2585981691244278E-4</v>
      </c>
      <c r="H7" s="26">
        <f t="shared" si="3"/>
        <v>1.2686040623836775E-4</v>
      </c>
      <c r="I7" s="26">
        <f t="shared" si="3"/>
        <v>1.2713127253160888E-4</v>
      </c>
      <c r="J7" s="26">
        <f t="shared" si="3"/>
        <v>1.2696805496808239E-4</v>
      </c>
      <c r="K7" s="26">
        <f t="shared" si="3"/>
        <v>1.2654697777661868E-4</v>
      </c>
      <c r="L7" s="26">
        <f t="shared" si="3"/>
        <v>1.2597325223070158E-4</v>
      </c>
      <c r="M7" s="26">
        <f t="shared" si="3"/>
        <v>1.2530979837388124E-4</v>
      </c>
      <c r="N7" s="26"/>
      <c r="Q7" t="s">
        <v>15</v>
      </c>
      <c r="R7">
        <v>0.33200000000000002</v>
      </c>
      <c r="X7" s="4" t="s">
        <v>114</v>
      </c>
      <c r="Y7" s="4">
        <f t="shared" si="1"/>
        <v>4.4472800000000006E-5</v>
      </c>
      <c r="AA7">
        <v>0</v>
      </c>
    </row>
    <row r="8" spans="2:27" x14ac:dyDescent="0.35">
      <c r="B8" t="s">
        <v>2</v>
      </c>
      <c r="C8" s="26">
        <f>$C$46*C43</f>
        <v>4.0019999999999997E-4</v>
      </c>
      <c r="D8" s="26">
        <f>C8+(C7*$R$7)-(C8*$R$8)-(C8*$R$11)+(C5*$Y$6)</f>
        <v>2.9060821644830278E-4</v>
      </c>
      <c r="E8" s="26">
        <f t="shared" ref="E8:M8" si="4">D8+(D7*$R$7)-(D8*$R$8)-(D8*$R$11)+(D5*$Y$6)</f>
        <v>2.616865073127953E-4</v>
      </c>
      <c r="F8" s="26">
        <f t="shared" si="4"/>
        <v>2.5478773228677692E-4</v>
      </c>
      <c r="G8" s="26">
        <f t="shared" si="4"/>
        <v>2.5328301270090671E-4</v>
      </c>
      <c r="H8" s="26">
        <f t="shared" si="4"/>
        <v>2.5270123511186165E-4</v>
      </c>
      <c r="I8" s="26">
        <f t="shared" si="4"/>
        <v>2.5199197524752918E-4</v>
      </c>
      <c r="J8" s="26">
        <f t="shared" si="4"/>
        <v>2.5100814810526692E-4</v>
      </c>
      <c r="K8" s="26">
        <f t="shared" si="4"/>
        <v>2.4980418834999582E-4</v>
      </c>
      <c r="L8" s="26">
        <f t="shared" si="4"/>
        <v>2.484547332964044E-4</v>
      </c>
      <c r="M8" s="26">
        <f t="shared" si="4"/>
        <v>2.4701684405493746E-4</v>
      </c>
      <c r="N8" s="26"/>
      <c r="Q8" t="s">
        <v>29</v>
      </c>
      <c r="R8">
        <v>0.48499999999999999</v>
      </c>
      <c r="T8" s="5" t="s">
        <v>88</v>
      </c>
    </row>
    <row r="9" spans="2:27" x14ac:dyDescent="0.35">
      <c r="B9" t="s">
        <v>3</v>
      </c>
      <c r="C9" s="26">
        <f>$C$46*C44</f>
        <v>1.2695999999999999E-4</v>
      </c>
      <c r="D9" s="26">
        <f>C9+(C8*$R$8)-(C9*$R$12)+(C5*$Y$7)</f>
        <v>3.1026713392273968E-4</v>
      </c>
      <c r="E9" s="26">
        <f t="shared" ref="E9:M9" si="5">D9+(D8*$R$8)-(D9*$R$12)+(D5*$Y$7)</f>
        <v>3.6079011202569942E-4</v>
      </c>
      <c r="F9" s="26">
        <f t="shared" si="5"/>
        <v>3.751348993104628E-4</v>
      </c>
      <c r="G9" s="26">
        <f t="shared" si="5"/>
        <v>3.796451136209827E-4</v>
      </c>
      <c r="H9" s="26">
        <f t="shared" si="5"/>
        <v>3.8119581644997899E-4</v>
      </c>
      <c r="I9" s="26">
        <f t="shared" si="5"/>
        <v>3.8151751381437213E-4</v>
      </c>
      <c r="J9" s="26">
        <f t="shared" si="5"/>
        <v>3.8108214883731116E-4</v>
      </c>
      <c r="K9" s="26">
        <f t="shared" si="5"/>
        <v>3.800860239343466E-4</v>
      </c>
      <c r="L9" s="26">
        <f t="shared" si="5"/>
        <v>3.7866685636778717E-4</v>
      </c>
      <c r="M9" s="26">
        <f t="shared" si="5"/>
        <v>3.7693893675219995E-4</v>
      </c>
      <c r="N9" s="26"/>
      <c r="O9" s="5" t="s">
        <v>89</v>
      </c>
      <c r="Q9" s="5" t="s">
        <v>13</v>
      </c>
      <c r="R9">
        <f>T9/(1-($Q$17*R20))</f>
        <v>3.7447988904299581E-2</v>
      </c>
      <c r="T9">
        <v>2.7E-2</v>
      </c>
      <c r="U9" t="s">
        <v>13</v>
      </c>
    </row>
    <row r="10" spans="2:27" x14ac:dyDescent="0.35">
      <c r="B10" t="s">
        <v>4</v>
      </c>
      <c r="C10" s="26">
        <f>C47</f>
        <v>6.1599999999999997E-3</v>
      </c>
      <c r="D10" s="26">
        <f t="shared" ref="D10" si="6">C10+(C5*$R$5)+(C6*$R$9)+(C7*$R$10)+(C8*$R$11)+(C9*$R$12)</f>
        <v>1.2430500049571466E-2</v>
      </c>
      <c r="E10" s="26">
        <f t="shared" ref="E10" si="7">D10+(D5*$R$5)+(D6*$R$9)+(D7*$R$10)+(D8*$R$11)+(D9*$R$12)</f>
        <v>1.8718412500633327E-2</v>
      </c>
      <c r="F10" s="26">
        <f t="shared" ref="F10" si="8">E10+(E5*$R$5)+(E6*$R$9)+(E7*$R$10)+(E8*$R$11)+(E9*$R$12)</f>
        <v>2.4983609688680537E-2</v>
      </c>
      <c r="G10" s="26">
        <f t="shared" ref="G10" si="9">F10+(F5*$R$5)+(F6*$R$9)+(F7*$R$10)+(F8*$R$11)+(F9*$R$12)</f>
        <v>3.1215192204202571E-2</v>
      </c>
      <c r="H10" s="26">
        <f t="shared" ref="H10" si="10">G10+(G5*$R$5)+(G6*$R$9)+(G7*$R$10)+(G8*$R$11)+(G9*$R$12)</f>
        <v>3.7410154368950031E-2</v>
      </c>
      <c r="I10" s="26">
        <f t="shared" ref="I10" si="11">H10+(H5*$R$5)+(H6*$R$9)+(H7*$R$10)+(H8*$R$11)+(H9*$R$12)</f>
        <v>4.3567559813714067E-2</v>
      </c>
      <c r="J10" s="26">
        <f t="shared" ref="J10" si="12">I10+(I5*$R$5)+(I6*$R$9)+(I7*$R$10)+(I8*$R$11)+(I9*$R$12)</f>
        <v>4.9687032106348193E-2</v>
      </c>
      <c r="K10" s="26">
        <f t="shared" ref="K10" si="13">J10+(J5*$R$5)+(J6*$R$9)+(J7*$R$10)+(J8*$R$11)+(J9*$R$12)</f>
        <v>5.5768390164413234E-2</v>
      </c>
      <c r="L10" s="26">
        <f t="shared" ref="L10" si="14">K10+(K5*$R$5)+(K6*$R$9)+(K7*$R$10)+(K8*$R$11)+(K9*$R$12)</f>
        <v>6.1811562930000903E-2</v>
      </c>
      <c r="M10" s="26">
        <f t="shared" ref="M10" si="15">L10+(L5*$R$5)+(L6*$R$9)+(L7*$R$10)+(L8*$R$11)+(L9*$R$12)</f>
        <v>6.7816562498861935E-2</v>
      </c>
      <c r="N10" s="26"/>
      <c r="Q10" s="5" t="s">
        <v>41</v>
      </c>
      <c r="R10">
        <f>T10/(1-($Q$17*R21))</f>
        <v>8.2254298450435151E-2</v>
      </c>
      <c r="T10">
        <v>6.2E-2</v>
      </c>
      <c r="U10" t="s">
        <v>41</v>
      </c>
    </row>
    <row r="11" spans="2:27" x14ac:dyDescent="0.35">
      <c r="B11" t="s">
        <v>68</v>
      </c>
      <c r="C11" s="26">
        <f>SUM(C5:C10)</f>
        <v>1</v>
      </c>
      <c r="D11" s="26">
        <f t="shared" ref="D11:M11" si="16">SUM(D5:D10)</f>
        <v>1</v>
      </c>
      <c r="E11" s="26">
        <f t="shared" si="16"/>
        <v>1</v>
      </c>
      <c r="F11" s="26">
        <f t="shared" si="16"/>
        <v>1.0000000000000002</v>
      </c>
      <c r="G11" s="26">
        <f t="shared" si="16"/>
        <v>1</v>
      </c>
      <c r="H11" s="26">
        <f t="shared" si="16"/>
        <v>1.0000000000000002</v>
      </c>
      <c r="I11" s="26">
        <f t="shared" si="16"/>
        <v>1</v>
      </c>
      <c r="J11" s="26">
        <f t="shared" si="16"/>
        <v>1.0000000000000002</v>
      </c>
      <c r="K11" s="26">
        <f t="shared" si="16"/>
        <v>1</v>
      </c>
      <c r="L11" s="26">
        <f t="shared" si="16"/>
        <v>1</v>
      </c>
      <c r="M11" s="26">
        <f t="shared" si="16"/>
        <v>1</v>
      </c>
      <c r="N11" s="26"/>
      <c r="Q11" s="5" t="s">
        <v>46</v>
      </c>
      <c r="R11">
        <f>T11/(1-($Q$17*R22))</f>
        <v>0.21801566579634465</v>
      </c>
      <c r="T11">
        <v>0.16700000000000001</v>
      </c>
      <c r="U11" t="s">
        <v>46</v>
      </c>
    </row>
    <row r="12" spans="2:27" x14ac:dyDescent="0.35">
      <c r="Q12" s="5" t="s">
        <v>47</v>
      </c>
      <c r="R12">
        <f>T12/(1-($Q$17*R23))</f>
        <v>0.43287671232876712</v>
      </c>
      <c r="T12">
        <v>0.316</v>
      </c>
      <c r="U12" t="s">
        <v>47</v>
      </c>
    </row>
    <row r="13" spans="2:27" x14ac:dyDescent="0.35">
      <c r="B13" t="s">
        <v>110</v>
      </c>
      <c r="F13" s="26">
        <v>0</v>
      </c>
      <c r="G13" s="26">
        <f>F5*$R$4</f>
        <v>2.3546372850396355E-4</v>
      </c>
      <c r="H13" s="26">
        <f t="shared" ref="H13:L13" si="17">G5*$R$4</f>
        <v>2.3395636035319976E-4</v>
      </c>
      <c r="I13" s="26">
        <f t="shared" si="17"/>
        <v>2.3245864192112669E-4</v>
      </c>
      <c r="J13" s="26">
        <f t="shared" si="17"/>
        <v>2.3097051143314024E-4</v>
      </c>
      <c r="K13" s="26">
        <f t="shared" si="17"/>
        <v>2.2949190751009869E-4</v>
      </c>
      <c r="L13" s="26">
        <f t="shared" si="17"/>
        <v>2.2802276916579129E-4</v>
      </c>
      <c r="M13" s="26">
        <f>L5*$R$4</f>
        <v>2.2656303580442262E-4</v>
      </c>
      <c r="Q13" s="5"/>
    </row>
    <row r="14" spans="2:27" x14ac:dyDescent="0.35">
      <c r="B14" s="12" t="s">
        <v>81</v>
      </c>
      <c r="C14" s="12"/>
      <c r="D14" s="12"/>
      <c r="E14" s="12"/>
      <c r="F14" s="32">
        <f>F6</f>
        <v>6.4537400570732477E-5</v>
      </c>
      <c r="G14" s="26">
        <f>F14-(F14*$R$6)-(F14*$R$9)</f>
        <v>4.211401053332028E-5</v>
      </c>
      <c r="H14" s="26">
        <f>(G14+G13)-((G14+G13)*$R$6)-((G14+G13)*$R$9)</f>
        <v>1.8113391184417706E-4</v>
      </c>
      <c r="I14" s="26">
        <f t="shared" ref="I14:M14" si="18">(H14+H13)-((H14+H13)*$R$6)-((H14+H13)*$R$9)</f>
        <v>2.7086799190865997E-4</v>
      </c>
      <c r="J14" s="26">
        <f t="shared" si="18"/>
        <v>3.2844680714365647E-4</v>
      </c>
      <c r="K14" s="26">
        <f t="shared" si="18"/>
        <v>3.650488962790528E-4</v>
      </c>
      <c r="L14" s="26">
        <f t="shared" si="18"/>
        <v>3.8796879719106504E-4</v>
      </c>
      <c r="M14" s="26">
        <f t="shared" si="18"/>
        <v>4.0196653544415724E-4</v>
      </c>
    </row>
    <row r="15" spans="2:27" x14ac:dyDescent="0.35">
      <c r="B15" s="12" t="s">
        <v>73</v>
      </c>
      <c r="C15" s="12"/>
      <c r="D15" s="12"/>
      <c r="E15" s="12"/>
      <c r="F15" s="26">
        <v>0</v>
      </c>
      <c r="G15" s="26">
        <f>F14*$R$6</f>
        <v>2.0006594176927069E-5</v>
      </c>
      <c r="H15" s="26">
        <f>(G14+G13)*$R$6</f>
        <v>8.604909910155799E-5</v>
      </c>
      <c r="I15" s="26">
        <f t="shared" ref="I15:M15" si="19">(H14+H13)*$R$6</f>
        <v>1.2867798438118681E-4</v>
      </c>
      <c r="J15" s="26">
        <f t="shared" si="19"/>
        <v>1.5603125648723385E-4</v>
      </c>
      <c r="K15" s="26">
        <f t="shared" si="19"/>
        <v>1.7341936875880695E-4</v>
      </c>
      <c r="L15" s="26">
        <f t="shared" si="19"/>
        <v>1.8430764917463696E-4</v>
      </c>
      <c r="M15" s="26">
        <f t="shared" si="19"/>
        <v>1.9095738557062546E-4</v>
      </c>
    </row>
    <row r="16" spans="2:27" x14ac:dyDescent="0.35">
      <c r="B16" s="12" t="s">
        <v>82</v>
      </c>
      <c r="C16" s="12"/>
      <c r="D16" s="12"/>
      <c r="E16" s="12"/>
      <c r="F16" s="32">
        <f>F7</f>
        <v>1.2363278654265128E-4</v>
      </c>
      <c r="G16" s="26">
        <f t="shared" ref="G16:M16" si="20">(F16+F15)-((F16+F15)*$R$10)-((F16+F15)*$R$7)</f>
        <v>7.241737328795287E-5</v>
      </c>
      <c r="H16" s="26">
        <f t="shared" si="20"/>
        <v>5.4136941662710262E-5</v>
      </c>
      <c r="I16" s="26">
        <f t="shared" si="20"/>
        <v>8.2113370794922196E-5</v>
      </c>
      <c r="J16" s="26">
        <f t="shared" si="20"/>
        <v>1.2347013021821347E-4</v>
      </c>
      <c r="K16" s="26">
        <f t="shared" si="20"/>
        <v>1.6371673583985845E-4</v>
      </c>
      <c r="L16" s="26">
        <f t="shared" si="20"/>
        <v>1.974760241058327E-4</v>
      </c>
      <c r="M16" s="26">
        <f t="shared" si="20"/>
        <v>2.2362814554583856E-4</v>
      </c>
      <c r="Q16" t="s">
        <v>72</v>
      </c>
    </row>
    <row r="17" spans="2:23" x14ac:dyDescent="0.35">
      <c r="B17" s="12" t="s">
        <v>74</v>
      </c>
      <c r="C17" s="12"/>
      <c r="D17" s="12"/>
      <c r="E17" s="12"/>
      <c r="F17" s="26">
        <v>0</v>
      </c>
      <c r="G17" s="26">
        <f>(F16+F15)*$R$7</f>
        <v>4.1046085132160225E-5</v>
      </c>
      <c r="H17" s="26">
        <f>(G16+G15)*$R$7</f>
        <v>3.0684757198340141E-5</v>
      </c>
      <c r="I17" s="26">
        <f t="shared" ref="I17:M17" si="21">(H16+H15)*$R$7</f>
        <v>4.6541765533737063E-5</v>
      </c>
      <c r="J17" s="26">
        <f t="shared" si="21"/>
        <v>6.9982729918468192E-5</v>
      </c>
      <c r="K17" s="26">
        <f t="shared" si="21"/>
        <v>9.2794460386208519E-5</v>
      </c>
      <c r="L17" s="26">
        <f t="shared" si="21"/>
        <v>1.1192918672675691E-4</v>
      </c>
      <c r="M17" s="26">
        <f t="shared" si="21"/>
        <v>1.2675217952911593E-4</v>
      </c>
      <c r="Q17">
        <v>0.36</v>
      </c>
    </row>
    <row r="18" spans="2:23" x14ac:dyDescent="0.35">
      <c r="B18" s="12" t="s">
        <v>83</v>
      </c>
      <c r="C18" s="12"/>
      <c r="D18" s="12"/>
      <c r="E18" s="12"/>
      <c r="F18" s="26">
        <v>0</v>
      </c>
      <c r="G18" s="26">
        <f>F17-(F17*R11)-(F17*R8)</f>
        <v>0</v>
      </c>
      <c r="H18" s="26">
        <f t="shared" ref="H18:M18" si="22">(G18+G17)-((G18+G17)*$R$11)-((G18+G17)*$R$8)</f>
        <v>1.2190044264641157E-5</v>
      </c>
      <c r="I18" s="26">
        <f t="shared" si="22"/>
        <v>1.273314436659741E-5</v>
      </c>
      <c r="J18" s="26">
        <f t="shared" si="22"/>
        <v>1.760371965173249E-5</v>
      </c>
      <c r="K18" s="26">
        <f t="shared" si="22"/>
        <v>2.6011803410868092E-5</v>
      </c>
      <c r="L18" s="26">
        <f t="shared" si="22"/>
        <v>3.5283599152998639E-5</v>
      </c>
      <c r="M18" s="26">
        <f t="shared" si="22"/>
        <v>4.3719891200764478E-5</v>
      </c>
    </row>
    <row r="19" spans="2:23" x14ac:dyDescent="0.35">
      <c r="B19" s="12" t="s">
        <v>75</v>
      </c>
      <c r="C19" s="12"/>
      <c r="D19" s="12"/>
      <c r="E19" s="12"/>
      <c r="F19" s="31">
        <v>0</v>
      </c>
      <c r="G19" s="26">
        <f>F17*R8</f>
        <v>0</v>
      </c>
      <c r="H19" s="26">
        <f>(G18+G17)*$R$8</f>
        <v>1.9907351289097709E-5</v>
      </c>
      <c r="I19" s="26">
        <f t="shared" ref="I19:M19" si="23">(H18+H17)*$R$8</f>
        <v>2.0794278709545929E-5</v>
      </c>
      <c r="J19" s="26">
        <f t="shared" si="23"/>
        <v>2.8748331301662218E-5</v>
      </c>
      <c r="K19" s="26">
        <f t="shared" si="23"/>
        <v>4.2479428041547334E-5</v>
      </c>
      <c r="L19" s="26">
        <f t="shared" si="23"/>
        <v>5.762103794158215E-5</v>
      </c>
      <c r="M19" s="26">
        <f t="shared" si="23"/>
        <v>7.1398201151681449E-5</v>
      </c>
      <c r="Q19" t="s">
        <v>90</v>
      </c>
    </row>
    <row r="20" spans="2:23" x14ac:dyDescent="0.35">
      <c r="B20" s="12" t="s">
        <v>84</v>
      </c>
      <c r="C20" s="12"/>
      <c r="D20" s="12"/>
      <c r="E20" s="12"/>
      <c r="F20" s="31">
        <v>0</v>
      </c>
      <c r="G20" s="31">
        <v>0</v>
      </c>
      <c r="H20" s="26">
        <f>G19-(G19*R12)</f>
        <v>0</v>
      </c>
      <c r="I20" s="26">
        <f>(H19+H20)-((H19+H20)*$R$12)</f>
        <v>1.1289922511899249E-5</v>
      </c>
      <c r="J20" s="26">
        <f>(I19+I20)-((I19+I20)*$R$12)</f>
        <v>1.8195697679011376E-5</v>
      </c>
      <c r="K20" s="26">
        <f>(J19+J20)-((J19+J20)*$R$12)</f>
        <v>2.6623052052053242E-5</v>
      </c>
      <c r="L20" s="26">
        <f>(K19+K20)-((K19+K20)*$R$12)</f>
        <v>3.9189625696918682E-5</v>
      </c>
      <c r="M20" s="26">
        <f>(L19+L20)-((L19+L20)*$R$12)</f>
        <v>5.4903581844300475E-5</v>
      </c>
      <c r="Q20" t="s">
        <v>0</v>
      </c>
      <c r="R20">
        <v>0.77500000000000002</v>
      </c>
    </row>
    <row r="21" spans="2:23" x14ac:dyDescent="0.35">
      <c r="B21" s="12" t="s">
        <v>78</v>
      </c>
      <c r="C21" s="12"/>
      <c r="D21" s="12"/>
      <c r="E21" s="12"/>
      <c r="F21" s="26">
        <v>0</v>
      </c>
      <c r="G21" s="26">
        <f t="shared" ref="G21" si="24">F14*$R$9</f>
        <v>2.4167958604851272E-6</v>
      </c>
      <c r="H21" s="26">
        <f>(G14+G13)*$R$9</f>
        <v>1.039472809154877E-5</v>
      </c>
      <c r="I21" s="26">
        <f t="shared" ref="I21:M21" si="25">(H14+H13)*$R$9</f>
        <v>1.5544295907530062E-5</v>
      </c>
      <c r="J21" s="26">
        <f t="shared" si="25"/>
        <v>1.8848570198896308E-5</v>
      </c>
      <c r="K21" s="26">
        <f t="shared" si="25"/>
        <v>2.0949053538936904E-5</v>
      </c>
      <c r="L21" s="26">
        <f t="shared" si="25"/>
        <v>2.2264357423449499E-5</v>
      </c>
      <c r="M21" s="26">
        <f t="shared" si="25"/>
        <v>2.3067645342073675E-5</v>
      </c>
      <c r="Q21" t="s">
        <v>1</v>
      </c>
      <c r="R21">
        <v>0.68400000000000005</v>
      </c>
    </row>
    <row r="22" spans="2:23" x14ac:dyDescent="0.35">
      <c r="B22" s="12" t="s">
        <v>79</v>
      </c>
      <c r="C22" s="12"/>
      <c r="D22" s="12"/>
      <c r="E22" s="12"/>
      <c r="F22" s="26">
        <v>0</v>
      </c>
      <c r="G22" s="26">
        <f t="shared" ref="G22:M22" si="26">(F16+F15)*$R$10</f>
        <v>1.0169328122538181E-5</v>
      </c>
      <c r="H22" s="26">
        <f t="shared" si="26"/>
        <v>7.6022686038295432E-6</v>
      </c>
      <c r="I22" s="26">
        <f t="shared" si="26"/>
        <v>1.153090443560899E-5</v>
      </c>
      <c r="J22" s="26">
        <f t="shared" si="26"/>
        <v>1.7338495039427347E-5</v>
      </c>
      <c r="K22" s="26">
        <f t="shared" si="26"/>
        <v>2.2990190479380351E-5</v>
      </c>
      <c r="L22" s="26">
        <f t="shared" si="26"/>
        <v>2.7730893766075744E-5</v>
      </c>
      <c r="M22" s="26">
        <f t="shared" si="26"/>
        <v>3.140334820551518E-5</v>
      </c>
      <c r="Q22" t="s">
        <v>2</v>
      </c>
      <c r="R22">
        <v>0.65</v>
      </c>
      <c r="U22" s="5"/>
      <c r="V22" s="5"/>
      <c r="W22" s="5"/>
    </row>
    <row r="23" spans="2:23" x14ac:dyDescent="0.35">
      <c r="B23" s="12" t="s">
        <v>80</v>
      </c>
      <c r="C23" s="12"/>
      <c r="D23" s="12"/>
      <c r="E23" s="12"/>
      <c r="F23" s="31">
        <v>0</v>
      </c>
      <c r="G23" s="26">
        <f>F17*R11</f>
        <v>0</v>
      </c>
      <c r="H23" s="26">
        <f t="shared" ref="H23:M23" si="27">(G18+G17)*$R$11</f>
        <v>8.9486895784213553E-6</v>
      </c>
      <c r="I23" s="26">
        <f t="shared" si="27"/>
        <v>9.3473783868379593E-6</v>
      </c>
      <c r="J23" s="26">
        <f t="shared" si="27"/>
        <v>1.2922858946939761E-5</v>
      </c>
      <c r="K23" s="26">
        <f t="shared" si="27"/>
        <v>1.9095218117785267E-5</v>
      </c>
      <c r="L23" s="26">
        <f t="shared" si="27"/>
        <v>2.5901626702495815E-5</v>
      </c>
      <c r="M23" s="26">
        <f t="shared" si="27"/>
        <v>3.2094693527309631E-5</v>
      </c>
      <c r="Q23" t="s">
        <v>3</v>
      </c>
      <c r="R23">
        <v>0.75</v>
      </c>
      <c r="U23" s="5"/>
      <c r="V23" s="5"/>
      <c r="W23" s="5"/>
    </row>
    <row r="24" spans="2:23" x14ac:dyDescent="0.35">
      <c r="B24" s="12" t="s">
        <v>76</v>
      </c>
      <c r="C24" s="12"/>
      <c r="D24" s="12"/>
      <c r="E24" s="12"/>
      <c r="F24" s="31">
        <v>0</v>
      </c>
      <c r="G24" s="31">
        <v>0</v>
      </c>
      <c r="H24" s="26">
        <f>G19*R12</f>
        <v>0</v>
      </c>
      <c r="I24" s="26">
        <f>(H19+H20)*$R$12</f>
        <v>8.6174287771984602E-6</v>
      </c>
      <c r="J24" s="26">
        <f>(I19+I20)*$R$12</f>
        <v>1.3888503542433803E-5</v>
      </c>
      <c r="K24" s="26">
        <f>(J19+J20)*$R$12</f>
        <v>2.0320976928620348E-5</v>
      </c>
      <c r="L24" s="26">
        <f>(K19+K20)*$R$12</f>
        <v>2.9912854396681894E-5</v>
      </c>
      <c r="M24" s="26">
        <f>(L19+L20)*$R$12</f>
        <v>4.1907081794200357E-5</v>
      </c>
      <c r="U24" s="5"/>
      <c r="V24" s="5"/>
      <c r="W24" s="5"/>
    </row>
    <row r="25" spans="2:23" x14ac:dyDescent="0.35">
      <c r="B25" s="12" t="s">
        <v>86</v>
      </c>
      <c r="C25" s="12"/>
      <c r="D25" s="12"/>
      <c r="E25" s="12"/>
      <c r="F25" s="31">
        <v>0</v>
      </c>
      <c r="G25" s="26">
        <f>SUM(F21:F24)</f>
        <v>0</v>
      </c>
      <c r="H25" s="26">
        <f>SUM(G21:G25)</f>
        <v>1.2586123983023309E-5</v>
      </c>
      <c r="I25" s="26">
        <f t="shared" ref="I25:M25" si="28">SUM(H21:H25)</f>
        <v>3.9531810256822979E-5</v>
      </c>
      <c r="J25" s="26">
        <f t="shared" si="28"/>
        <v>8.4571817763998445E-5</v>
      </c>
      <c r="K25" s="26">
        <f t="shared" si="28"/>
        <v>1.4757024549169565E-4</v>
      </c>
      <c r="L25" s="26">
        <f t="shared" si="28"/>
        <v>2.3092568455641854E-4</v>
      </c>
      <c r="M25" s="26">
        <f t="shared" si="28"/>
        <v>3.3673541684512147E-4</v>
      </c>
      <c r="U25" s="5"/>
      <c r="V25" s="5"/>
      <c r="W25" s="5"/>
    </row>
    <row r="26" spans="2:23" s="37" customFormat="1" x14ac:dyDescent="0.35">
      <c r="B26" s="34" t="s">
        <v>116</v>
      </c>
      <c r="C26" s="34"/>
      <c r="D26" s="34"/>
      <c r="E26" s="34"/>
      <c r="F26" s="35">
        <f>SUM(F13:F25)</f>
        <v>1.8817018711338374E-4</v>
      </c>
      <c r="G26" s="36">
        <f>SUM(G13:G25)</f>
        <v>4.2363391561734727E-4</v>
      </c>
      <c r="H26" s="36">
        <f t="shared" ref="H26:M26" si="29">SUM(H13:H25)</f>
        <v>6.5759027597054698E-4</v>
      </c>
      <c r="I26" s="36">
        <f t="shared" si="29"/>
        <v>8.9004891789167386E-4</v>
      </c>
      <c r="J26" s="36">
        <f t="shared" si="29"/>
        <v>1.121019429324814E-3</v>
      </c>
      <c r="K26" s="36">
        <f t="shared" si="29"/>
        <v>1.3505113368349128E-3</v>
      </c>
      <c r="L26" s="36">
        <f t="shared" si="29"/>
        <v>1.5785341060007038E-3</v>
      </c>
      <c r="M26" s="36">
        <f t="shared" si="29"/>
        <v>1.8050971418051268E-3</v>
      </c>
    </row>
    <row r="27" spans="2:23" x14ac:dyDescent="0.35">
      <c r="B27" s="12" t="s">
        <v>85</v>
      </c>
      <c r="C27" s="12"/>
      <c r="D27" s="12"/>
      <c r="E27" s="12"/>
      <c r="F27" s="33">
        <f>F26-F13</f>
        <v>1.8817018711338374E-4</v>
      </c>
      <c r="G27" s="33">
        <f>G26-G13</f>
        <v>1.8817018711338372E-4</v>
      </c>
      <c r="H27" s="33">
        <f>H26-H13-G13</f>
        <v>1.8817018711338366E-4</v>
      </c>
      <c r="I27" s="33">
        <f>I26-I13-H13-G13</f>
        <v>1.8817018711338388E-4</v>
      </c>
      <c r="J27" s="33">
        <f>J26-J13-I13-H13-G13</f>
        <v>1.8817018711338377E-4</v>
      </c>
      <c r="K27" s="33">
        <f>K26-K13-J13-I13-H13-G13</f>
        <v>1.8817018711338399E-4</v>
      </c>
      <c r="L27" s="33">
        <f>L26-L13-K13-J13-I13-H13-G13</f>
        <v>1.8817018711338377E-4</v>
      </c>
      <c r="M27" s="33">
        <f>M26-M13-L13-K13-J13-I13-H13-G13</f>
        <v>1.881701871133842E-4</v>
      </c>
    </row>
    <row r="28" spans="2:23" x14ac:dyDescent="0.3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U28" s="5"/>
      <c r="W28" s="27"/>
    </row>
    <row r="29" spans="2:23" x14ac:dyDescent="0.35">
      <c r="B29" s="15" t="s">
        <v>91</v>
      </c>
      <c r="C29" s="12"/>
      <c r="D29" s="12"/>
      <c r="E29" s="12"/>
      <c r="F29" s="16">
        <f>SUM(F21:F25)/F26</f>
        <v>0</v>
      </c>
      <c r="G29" s="16">
        <f>SUM(G21:G25)/G26</f>
        <v>2.9709906405113902E-2</v>
      </c>
      <c r="H29" s="16">
        <f>SUM(H21:H25)/H26</f>
        <v>6.0116172184081357E-2</v>
      </c>
      <c r="I29" s="16">
        <f>SUM(I21:I25)/I26</f>
        <v>9.5019291708516543E-2</v>
      </c>
      <c r="J29" s="16">
        <f>SUM(J21:J25)/J26</f>
        <v>0.13163932901731837</v>
      </c>
      <c r="K29" s="16">
        <f>SUM(K21:K25)/K26</f>
        <v>0.17099129659853202</v>
      </c>
      <c r="L29" s="16">
        <f>SUM(L21:L25)/L26</f>
        <v>0.21332159727499186</v>
      </c>
      <c r="M29" s="16">
        <f>SUM(M21:M25)/M26</f>
        <v>0.25771919690095152</v>
      </c>
      <c r="N29" s="5"/>
      <c r="O29" s="24">
        <f>GEOMEAN(G29:M29)</f>
        <v>0.11118215649920696</v>
      </c>
      <c r="P29" s="21">
        <f>AVERAGE(F29:M29)</f>
        <v>0.11981459876118819</v>
      </c>
      <c r="Q29" s="22">
        <f>MEDIAN(F29:M29)</f>
        <v>0.11332931036291746</v>
      </c>
      <c r="U29" s="5"/>
      <c r="W29" s="27"/>
    </row>
    <row r="31" spans="2:23" x14ac:dyDescent="0.35">
      <c r="B31" s="20" t="s">
        <v>93</v>
      </c>
      <c r="F31" s="26">
        <v>0</v>
      </c>
      <c r="G31" s="26">
        <f>SUM(G21:G24)</f>
        <v>1.2586123983023309E-5</v>
      </c>
      <c r="H31" s="26">
        <f t="shared" ref="H31:M31" si="30">SUM(H21:H24)</f>
        <v>2.6945686273799667E-5</v>
      </c>
      <c r="I31" s="26">
        <f t="shared" si="30"/>
        <v>4.5040007507175473E-5</v>
      </c>
      <c r="J31" s="26">
        <f t="shared" si="30"/>
        <v>6.299842772769721E-5</v>
      </c>
      <c r="K31" s="26">
        <f t="shared" si="30"/>
        <v>8.3355439064722883E-5</v>
      </c>
      <c r="L31" s="26">
        <f t="shared" si="30"/>
        <v>1.0580973228870296E-4</v>
      </c>
      <c r="M31" s="26">
        <f t="shared" si="30"/>
        <v>1.2847276886909884E-4</v>
      </c>
    </row>
    <row r="32" spans="2:23" x14ac:dyDescent="0.35">
      <c r="B32" s="12" t="s">
        <v>94</v>
      </c>
      <c r="F32" s="26">
        <v>0</v>
      </c>
      <c r="G32" s="26">
        <f>G25</f>
        <v>0</v>
      </c>
      <c r="H32" s="26">
        <f>H25</f>
        <v>1.2586123983023309E-5</v>
      </c>
      <c r="I32" s="26">
        <f t="shared" ref="I32:O32" si="31">I25</f>
        <v>3.9531810256822979E-5</v>
      </c>
      <c r="J32" s="26">
        <f t="shared" si="31"/>
        <v>8.4571817763998445E-5</v>
      </c>
      <c r="K32" s="26">
        <f t="shared" si="31"/>
        <v>1.4757024549169565E-4</v>
      </c>
      <c r="L32" s="26">
        <f t="shared" si="31"/>
        <v>2.3092568455641854E-4</v>
      </c>
      <c r="M32" s="26">
        <f t="shared" si="31"/>
        <v>3.3673541684512147E-4</v>
      </c>
    </row>
    <row r="33" spans="2:23" x14ac:dyDescent="0.35">
      <c r="B33" s="5" t="s">
        <v>92</v>
      </c>
      <c r="F33" s="26">
        <f>F10-E10-(E5*$R$5)</f>
        <v>2.2547116138787494E-4</v>
      </c>
      <c r="G33" s="26">
        <f>G10-F10-(F5*$R$5)</f>
        <v>2.3052100296756459E-4</v>
      </c>
      <c r="H33" s="26">
        <f>H10-G10-(G5*$R$5)</f>
        <v>2.3231764767790968E-4</v>
      </c>
      <c r="I33" s="26">
        <f>I10-H10-(H5*$R$5)</f>
        <v>2.3293198909940874E-4</v>
      </c>
      <c r="J33" s="26">
        <f t="shared" ref="I33:M33" si="32">J10-I10-(I5*$R$5)</f>
        <v>2.3292553869062784E-4</v>
      </c>
      <c r="K33" s="26">
        <f t="shared" si="32"/>
        <v>2.3249521047626238E-4</v>
      </c>
      <c r="L33" s="26">
        <f t="shared" si="32"/>
        <v>2.3175258329029974E-4</v>
      </c>
      <c r="M33" s="26">
        <f t="shared" si="32"/>
        <v>2.3078235514467551E-4</v>
      </c>
      <c r="T33" s="30"/>
      <c r="U33" s="28"/>
      <c r="V33" s="28"/>
      <c r="W33" s="28"/>
    </row>
    <row r="34" spans="2:23" x14ac:dyDescent="0.35">
      <c r="B34" t="s">
        <v>95</v>
      </c>
      <c r="F34" s="26">
        <f>SUM($F33:F33)</f>
        <v>2.2547116138787494E-4</v>
      </c>
      <c r="G34" s="26">
        <f>SUM($F33:G33)</f>
        <v>4.5599216435543953E-4</v>
      </c>
      <c r="H34" s="26">
        <f>SUM($F33:H33)</f>
        <v>6.8830981203334921E-4</v>
      </c>
      <c r="I34" s="26">
        <f>SUM($F33:I33)</f>
        <v>9.2124180113275795E-4</v>
      </c>
      <c r="J34" s="26">
        <f>SUM($F33:J33)</f>
        <v>1.1541673398233858E-3</v>
      </c>
      <c r="K34" s="26">
        <f>SUM($F33:K33)</f>
        <v>1.3866625502996482E-3</v>
      </c>
      <c r="L34" s="26">
        <f>SUM($F33:L33)</f>
        <v>1.6184151335899479E-3</v>
      </c>
      <c r="M34" s="26">
        <f>SUM($F33:M33)</f>
        <v>1.8491974887346234E-3</v>
      </c>
      <c r="T34" s="28"/>
      <c r="U34" s="28"/>
      <c r="V34" s="28"/>
      <c r="W34" s="28"/>
    </row>
    <row r="35" spans="2:23" x14ac:dyDescent="0.35">
      <c r="O35" s="5"/>
      <c r="T35" s="28"/>
      <c r="U35" s="28"/>
      <c r="V35" s="28"/>
      <c r="W35" s="28"/>
    </row>
    <row r="36" spans="2:23" x14ac:dyDescent="0.35">
      <c r="B36" s="5" t="s">
        <v>97</v>
      </c>
      <c r="F36" s="29">
        <f>F31/F33</f>
        <v>0</v>
      </c>
      <c r="G36" s="29">
        <f>G31/G33</f>
        <v>5.4598599784828443E-2</v>
      </c>
      <c r="H36" s="29">
        <f t="shared" ref="H36:L36" si="33">H31/H33</f>
        <v>0.1159863942456828</v>
      </c>
      <c r="I36" s="29">
        <f t="shared" si="33"/>
        <v>0.19336119388888953</v>
      </c>
      <c r="J36" s="29">
        <f t="shared" si="33"/>
        <v>0.27046595268959256</v>
      </c>
      <c r="K36" s="29">
        <f t="shared" si="33"/>
        <v>0.35852540314258829</v>
      </c>
      <c r="L36" s="29">
        <f t="shared" si="33"/>
        <v>0.45656333485682332</v>
      </c>
      <c r="M36" s="29">
        <f>M31/M33</f>
        <v>0.55668367188886836</v>
      </c>
      <c r="O36" s="19">
        <f>GEOMEAN(G36:M36)</f>
        <v>0.2260699539842532</v>
      </c>
      <c r="P36" s="18">
        <f>AVERAGE(G36:M36)</f>
        <v>0.28659779292818188</v>
      </c>
      <c r="Q36" s="18">
        <f>MEDIAN(G36:M36)</f>
        <v>0.27046595268959256</v>
      </c>
      <c r="T36" s="28"/>
      <c r="U36" s="28"/>
      <c r="V36" s="28"/>
      <c r="W36" s="28"/>
    </row>
    <row r="37" spans="2:23" x14ac:dyDescent="0.35">
      <c r="B37" t="s">
        <v>96</v>
      </c>
      <c r="F37" s="17">
        <f>F32/F34</f>
        <v>0</v>
      </c>
      <c r="G37" s="17">
        <f t="shared" ref="G37:M37" si="34">G32/G34</f>
        <v>0</v>
      </c>
      <c r="H37" s="17">
        <f t="shared" si="34"/>
        <v>1.8285550725831438E-2</v>
      </c>
      <c r="I37" s="17">
        <f t="shared" si="34"/>
        <v>4.2911437809503114E-2</v>
      </c>
      <c r="J37" s="17">
        <f t="shared" si="34"/>
        <v>7.3275178430313129E-2</v>
      </c>
      <c r="K37" s="17">
        <f t="shared" si="34"/>
        <v>0.10642116602904343</v>
      </c>
      <c r="L37" s="17">
        <f t="shared" si="34"/>
        <v>0.1426863106773984</v>
      </c>
      <c r="M37" s="17">
        <f>M32/M34</f>
        <v>0.18209813656817378</v>
      </c>
    </row>
    <row r="38" spans="2:23" x14ac:dyDescent="0.35">
      <c r="F38" s="17"/>
      <c r="G38" s="17"/>
      <c r="H38" s="17"/>
      <c r="I38" s="17"/>
      <c r="J38" s="17"/>
      <c r="K38" s="17"/>
      <c r="L38" s="17"/>
      <c r="M38" s="17"/>
    </row>
    <row r="40" spans="2:23" x14ac:dyDescent="0.35">
      <c r="B40" t="s">
        <v>7</v>
      </c>
      <c r="T40" t="s">
        <v>109</v>
      </c>
    </row>
    <row r="41" spans="2:23" x14ac:dyDescent="0.35">
      <c r="B41" t="s">
        <v>0</v>
      </c>
      <c r="C41">
        <v>9.4E-2</v>
      </c>
    </row>
    <row r="42" spans="2:23" x14ac:dyDescent="0.35">
      <c r="B42" t="s">
        <v>1</v>
      </c>
      <c r="C42">
        <v>0.14199999999999999</v>
      </c>
      <c r="J42" s="7" t="s">
        <v>17</v>
      </c>
      <c r="K42">
        <v>1</v>
      </c>
      <c r="L42">
        <v>2</v>
      </c>
      <c r="M42">
        <v>3</v>
      </c>
      <c r="N42">
        <v>4</v>
      </c>
      <c r="O42" s="7" t="s">
        <v>59</v>
      </c>
    </row>
    <row r="43" spans="2:23" x14ac:dyDescent="0.35">
      <c r="B43" t="s">
        <v>2</v>
      </c>
      <c r="C43">
        <v>0.57999999999999996</v>
      </c>
      <c r="I43" s="7" t="s">
        <v>17</v>
      </c>
      <c r="J43" t="s">
        <v>62</v>
      </c>
      <c r="K43" t="s">
        <v>9</v>
      </c>
      <c r="O43" t="s">
        <v>49</v>
      </c>
    </row>
    <row r="44" spans="2:23" x14ac:dyDescent="0.35">
      <c r="B44" t="s">
        <v>3</v>
      </c>
      <c r="C44">
        <v>0.184</v>
      </c>
      <c r="I44">
        <v>1</v>
      </c>
      <c r="K44" t="s">
        <v>63</v>
      </c>
      <c r="L44" t="s">
        <v>28</v>
      </c>
      <c r="O44" t="s">
        <v>13</v>
      </c>
    </row>
    <row r="45" spans="2:23" x14ac:dyDescent="0.35">
      <c r="I45">
        <v>2</v>
      </c>
      <c r="L45" t="s">
        <v>64</v>
      </c>
      <c r="M45" t="s">
        <v>15</v>
      </c>
      <c r="O45" t="s">
        <v>41</v>
      </c>
    </row>
    <row r="46" spans="2:23" x14ac:dyDescent="0.35">
      <c r="B46" t="s">
        <v>60</v>
      </c>
      <c r="C46">
        <f>69/100000</f>
        <v>6.8999999999999997E-4</v>
      </c>
      <c r="I46">
        <v>3</v>
      </c>
      <c r="M46" t="s">
        <v>65</v>
      </c>
      <c r="N46" t="s">
        <v>29</v>
      </c>
      <c r="O46" t="s">
        <v>46</v>
      </c>
    </row>
    <row r="47" spans="2:23" x14ac:dyDescent="0.35">
      <c r="B47" t="s">
        <v>61</v>
      </c>
      <c r="C47">
        <f>616/100000</f>
        <v>6.1599999999999997E-3</v>
      </c>
      <c r="I47">
        <v>4</v>
      </c>
      <c r="N47" t="s">
        <v>40</v>
      </c>
      <c r="O47" t="s">
        <v>47</v>
      </c>
    </row>
    <row r="48" spans="2:23" x14ac:dyDescent="0.35">
      <c r="I48" t="s">
        <v>59</v>
      </c>
      <c r="O48" t="s">
        <v>66</v>
      </c>
    </row>
    <row r="49" spans="8:8" ht="15.5" x14ac:dyDescent="0.35">
      <c r="H4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breast cancer</vt:lpstr>
      <vt:lpstr>colon cancer</vt:lpstr>
      <vt:lpstr>cervical 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Pickersgill</dc:creator>
  <cp:lastModifiedBy>Sarah Pickersgill</cp:lastModifiedBy>
  <dcterms:created xsi:type="dcterms:W3CDTF">2021-06-28T17:34:51Z</dcterms:created>
  <dcterms:modified xsi:type="dcterms:W3CDTF">2021-07-03T02:15:06Z</dcterms:modified>
</cp:coreProperties>
</file>