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mcgill-my.sharepoint.com/personal/ebenezer_kwofie_mcgill_ca/Documents/1 - People/Derrick Allotey/Derrick Allotey/PEA PROJECT/"/>
    </mc:Choice>
  </mc:AlternateContent>
  <xr:revisionPtr revIDLastSave="0" documentId="8_{0853181E-A1A3-4357-8EA6-2A358B6396FA}" xr6:coauthVersionLast="47" xr6:coauthVersionMax="47" xr10:uidLastSave="{00000000-0000-0000-0000-000000000000}"/>
  <bookViews>
    <workbookView xWindow="-120" yWindow="-120" windowWidth="29040" windowHeight="15720" activeTab="3" xr2:uid="{00000000-000D-0000-FFFF-FFFF00000000}"/>
  </bookViews>
  <sheets>
    <sheet name="Investment &amp; Production Cost" sheetId="2" r:id="rId1"/>
    <sheet name="Profitability Analysis" sheetId="3" r:id="rId2"/>
    <sheet name="Sheet1" sheetId="4" r:id="rId3"/>
    <sheet name="Sheet2" sheetId="5" r:id="rId4"/>
    <sheet name="Sheet3"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3" l="1"/>
  <c r="H41" i="3"/>
  <c r="Q5" i="3"/>
  <c r="I28" i="2"/>
  <c r="I11" i="2"/>
  <c r="T34" i="6"/>
  <c r="D28" i="6"/>
  <c r="D29" i="6"/>
  <c r="X26" i="6"/>
  <c r="Y26" i="6" s="1"/>
  <c r="Y28" i="6" l="1"/>
  <c r="X27" i="6"/>
  <c r="E32" i="2"/>
  <c r="D30" i="6" l="1"/>
  <c r="D31" i="6" s="1"/>
  <c r="Y27" i="6"/>
  <c r="X29" i="6"/>
  <c r="X28" i="6"/>
  <c r="X30" i="6"/>
  <c r="H35" i="2"/>
  <c r="H36" i="2"/>
  <c r="H37" i="2"/>
  <c r="H38" i="2"/>
  <c r="H34" i="2"/>
  <c r="G38" i="2"/>
  <c r="Y29" i="6" l="1"/>
  <c r="Y30" i="6"/>
  <c r="I14" i="2"/>
  <c r="T33" i="6" l="1"/>
  <c r="D27" i="6" s="1"/>
  <c r="N3" i="6" s="1"/>
  <c r="N7" i="6"/>
  <c r="R10" i="3"/>
  <c r="N7" i="3"/>
  <c r="F17" i="3"/>
  <c r="R11" i="3"/>
  <c r="I24" i="2"/>
  <c r="I17" i="2"/>
  <c r="I16" i="2"/>
  <c r="G18" i="3" l="1"/>
  <c r="G19" i="3"/>
  <c r="G20" i="3"/>
  <c r="G21" i="3"/>
  <c r="G22" i="3"/>
  <c r="G23" i="3"/>
  <c r="G24" i="3"/>
  <c r="G25" i="3"/>
  <c r="G26" i="3"/>
  <c r="G27" i="3"/>
  <c r="G28" i="3"/>
  <c r="G29" i="3"/>
  <c r="G30" i="3"/>
  <c r="G31" i="3"/>
  <c r="G32" i="3"/>
  <c r="G33" i="3"/>
  <c r="G34" i="3"/>
  <c r="G35" i="3"/>
  <c r="G36" i="3"/>
  <c r="G37" i="3"/>
  <c r="C19" i="2"/>
  <c r="M10" i="2" s="1"/>
  <c r="M9" i="2"/>
  <c r="M13" i="2" s="1"/>
  <c r="M8" i="2"/>
  <c r="M14" i="2" s="1"/>
  <c r="M11" i="2" l="1"/>
  <c r="M15" i="2" s="1"/>
  <c r="I23" i="2" l="1"/>
  <c r="I10" i="2"/>
  <c r="F8" i="3"/>
  <c r="E9" i="3"/>
  <c r="N31" i="2"/>
  <c r="N47" i="2"/>
  <c r="M29" i="2" s="1"/>
  <c r="N44" i="2"/>
  <c r="N43" i="2"/>
  <c r="N42" i="2"/>
  <c r="N41" i="2"/>
  <c r="M41" i="2"/>
  <c r="M44" i="2"/>
  <c r="M46" i="2"/>
  <c r="O22" i="2"/>
  <c r="M43" i="2"/>
  <c r="M42" i="2"/>
  <c r="F7" i="3"/>
  <c r="F6" i="3"/>
  <c r="I12" i="2" l="1"/>
  <c r="F9" i="3"/>
  <c r="O25" i="2"/>
  <c r="I3" i="2" s="1"/>
  <c r="M25" i="2"/>
  <c r="E3" i="2" l="1"/>
  <c r="E4" i="2"/>
  <c r="E5" i="2"/>
  <c r="E6" i="2"/>
  <c r="E22" i="2" l="1"/>
  <c r="I4" i="2"/>
  <c r="I5" i="2" s="1"/>
  <c r="E30" i="2" l="1"/>
  <c r="E28" i="2"/>
  <c r="E29" i="2"/>
  <c r="E27" i="2"/>
  <c r="E31" i="2"/>
  <c r="E25" i="2"/>
  <c r="E36" i="2" l="1"/>
  <c r="E37" i="2" s="1"/>
  <c r="E45" i="2" l="1"/>
  <c r="E43" i="2"/>
  <c r="E41" i="2"/>
  <c r="E44" i="2"/>
  <c r="E46" i="2" l="1"/>
  <c r="E47" i="2" s="1"/>
  <c r="I13" i="2" l="1"/>
  <c r="I9" i="2"/>
  <c r="E49" i="2"/>
  <c r="I15" i="2"/>
  <c r="E48" i="2" l="1"/>
  <c r="D11" i="3"/>
  <c r="H17" i="3" l="1"/>
  <c r="N8" i="3"/>
  <c r="I21" i="2"/>
  <c r="I22" i="2"/>
  <c r="N10" i="3" l="1"/>
  <c r="E19" i="3" s="1"/>
  <c r="I17" i="3"/>
  <c r="E21" i="3" l="1"/>
  <c r="E34" i="3"/>
  <c r="E29" i="3"/>
  <c r="E20" i="3"/>
  <c r="E25" i="3"/>
  <c r="E32" i="3"/>
  <c r="E27" i="3"/>
  <c r="E33" i="3"/>
  <c r="E31" i="3"/>
  <c r="E26" i="3"/>
  <c r="E24" i="3"/>
  <c r="E30" i="3"/>
  <c r="E23" i="3"/>
  <c r="E18" i="3"/>
  <c r="E35" i="3"/>
  <c r="E22" i="3"/>
  <c r="E36" i="3"/>
  <c r="E37" i="3"/>
  <c r="E28" i="3"/>
  <c r="Q7" i="3" l="1"/>
  <c r="Q8" i="3" s="1"/>
  <c r="D19" i="3" l="1"/>
  <c r="F19" i="3" s="1"/>
  <c r="H19" i="3" s="1"/>
  <c r="R13" i="3"/>
  <c r="D32" i="3"/>
  <c r="F32" i="3" s="1"/>
  <c r="H32" i="3" s="1"/>
  <c r="D28" i="3"/>
  <c r="F28" i="3" s="1"/>
  <c r="H28" i="3" s="1"/>
  <c r="D24" i="3"/>
  <c r="F24" i="3" s="1"/>
  <c r="H24" i="3" s="1"/>
  <c r="D31" i="3"/>
  <c r="F31" i="3" s="1"/>
  <c r="H31" i="3" s="1"/>
  <c r="D21" i="3"/>
  <c r="F21" i="3" s="1"/>
  <c r="H21" i="3" s="1"/>
  <c r="D30" i="3"/>
  <c r="F30" i="3" s="1"/>
  <c r="H30" i="3" s="1"/>
  <c r="D33" i="3"/>
  <c r="F33" i="3" s="1"/>
  <c r="H33" i="3" s="1"/>
  <c r="D29" i="3"/>
  <c r="F29" i="3" s="1"/>
  <c r="H29" i="3" s="1"/>
  <c r="D26" i="3"/>
  <c r="F26" i="3" s="1"/>
  <c r="H26" i="3" s="1"/>
  <c r="D22" i="3"/>
  <c r="F22" i="3" s="1"/>
  <c r="H22" i="3" s="1"/>
  <c r="D35" i="3"/>
  <c r="F35" i="3" s="1"/>
  <c r="H35" i="3" s="1"/>
  <c r="D36" i="3"/>
  <c r="F36" i="3" s="1"/>
  <c r="H36" i="3" s="1"/>
  <c r="D20" i="3"/>
  <c r="F20" i="3" s="1"/>
  <c r="H20" i="3" s="1"/>
  <c r="D37" i="3"/>
  <c r="F37" i="3" s="1"/>
  <c r="H37" i="3" s="1"/>
  <c r="D25" i="3"/>
  <c r="F25" i="3" s="1"/>
  <c r="H25" i="3" s="1"/>
  <c r="D27" i="3"/>
  <c r="F27" i="3" s="1"/>
  <c r="H27" i="3" s="1"/>
  <c r="D34" i="3"/>
  <c r="F34" i="3" s="1"/>
  <c r="H34" i="3" s="1"/>
  <c r="D23" i="3"/>
  <c r="F23" i="3" s="1"/>
  <c r="H23" i="3" s="1"/>
  <c r="D18" i="3"/>
  <c r="F18" i="3" s="1"/>
  <c r="H18" i="3" s="1"/>
  <c r="I18" i="3" l="1"/>
  <c r="I19" i="3" s="1"/>
  <c r="I20" i="3" s="1"/>
  <c r="I21" i="3" s="1"/>
  <c r="I22" i="3" s="1"/>
  <c r="I23" i="3" s="1"/>
  <c r="I24" i="3" s="1"/>
  <c r="I25" i="3" s="1"/>
  <c r="I26" i="3" s="1"/>
  <c r="I27" i="3" s="1"/>
  <c r="I28" i="3" s="1"/>
  <c r="I29" i="3" s="1"/>
  <c r="I30" i="3" s="1"/>
  <c r="I31" i="3" s="1"/>
  <c r="I32" i="3" s="1"/>
  <c r="I33" i="3" s="1"/>
  <c r="I34" i="3" s="1"/>
  <c r="I35" i="3" s="1"/>
  <c r="I36" i="3" s="1"/>
  <c r="I37" i="3" s="1"/>
  <c r="I47" i="3" s="1"/>
</calcChain>
</file>

<file path=xl/sharedStrings.xml><?xml version="1.0" encoding="utf-8"?>
<sst xmlns="http://schemas.openxmlformats.org/spreadsheetml/2006/main" count="236" uniqueCount="213">
  <si>
    <t>Purchase Cost of Equipment</t>
  </si>
  <si>
    <t>Direct Production Cost</t>
  </si>
  <si>
    <t>Equipment</t>
  </si>
  <si>
    <t>Number</t>
  </si>
  <si>
    <t>Purchased Cost, USD</t>
  </si>
  <si>
    <t>Total, USD</t>
  </si>
  <si>
    <t>Variable cost</t>
  </si>
  <si>
    <t>Description</t>
  </si>
  <si>
    <t>Cost, USD</t>
  </si>
  <si>
    <t>Dehulling Unit</t>
  </si>
  <si>
    <t>Raw materials</t>
  </si>
  <si>
    <t>from Table of Raw Materils</t>
  </si>
  <si>
    <t>Hammer mill</t>
  </si>
  <si>
    <t>Utilities</t>
  </si>
  <si>
    <t>from Table of Utilities</t>
  </si>
  <si>
    <t>Air Classifier Mill</t>
  </si>
  <si>
    <t>Sub Total</t>
  </si>
  <si>
    <t>Direct Labour Cost</t>
  </si>
  <si>
    <t>Air Classification unit</t>
  </si>
  <si>
    <t>Parameters</t>
  </si>
  <si>
    <t>Quantity</t>
  </si>
  <si>
    <t>Number of shifts per week</t>
  </si>
  <si>
    <t>Fixed Costs</t>
  </si>
  <si>
    <t>Number of shifts per operator</t>
  </si>
  <si>
    <t>Maintenance</t>
  </si>
  <si>
    <t>30% of FCI</t>
  </si>
  <si>
    <t>Total number of shifts in a year</t>
  </si>
  <si>
    <t>Operating labour</t>
  </si>
  <si>
    <t>from Labour cost</t>
  </si>
  <si>
    <t>Number of operators (given time)</t>
  </si>
  <si>
    <t xml:space="preserve">Supervision </t>
  </si>
  <si>
    <t>25% of Labour Cost</t>
  </si>
  <si>
    <t>Total number of operators</t>
  </si>
  <si>
    <t>Direct Overheads</t>
  </si>
  <si>
    <t>45% of (Labour+Supervision)</t>
  </si>
  <si>
    <t xml:space="preserve">Hourly wage </t>
  </si>
  <si>
    <t>Insurance</t>
  </si>
  <si>
    <t>5% of FCI</t>
  </si>
  <si>
    <t xml:space="preserve">Operators needed to fill position </t>
  </si>
  <si>
    <t>Interest (Financing)</t>
  </si>
  <si>
    <t>10% of FCI</t>
  </si>
  <si>
    <t>Annual Salary of operator</t>
  </si>
  <si>
    <t>Royalties</t>
  </si>
  <si>
    <t>1% of FCI</t>
  </si>
  <si>
    <t>Cost of operating labour</t>
  </si>
  <si>
    <t>Direct Production Cost (DPC)</t>
  </si>
  <si>
    <t>Indirect Production Cost</t>
  </si>
  <si>
    <t xml:space="preserve">Indirect Cost </t>
  </si>
  <si>
    <t xml:space="preserve">Description </t>
  </si>
  <si>
    <t>Sales Expenses</t>
  </si>
  <si>
    <t>15.% of DPC</t>
  </si>
  <si>
    <t>Raw Materials (cost perkg)</t>
  </si>
  <si>
    <t>Total Purchase Cost</t>
  </si>
  <si>
    <t>Research and Development</t>
  </si>
  <si>
    <t>15% of DPC</t>
  </si>
  <si>
    <t>Pea seeds</t>
  </si>
  <si>
    <t>Administrative Expenses</t>
  </si>
  <si>
    <t>30% of Labour Cost</t>
  </si>
  <si>
    <t>Physical Plant Cost (PPC)</t>
  </si>
  <si>
    <t>Sub total</t>
  </si>
  <si>
    <t>Total Plant Equipment Cost (PEC)</t>
  </si>
  <si>
    <t>Total</t>
  </si>
  <si>
    <t>Direct Costs</t>
  </si>
  <si>
    <t xml:space="preserve">Equipment erection </t>
  </si>
  <si>
    <t>45% of PEC</t>
  </si>
  <si>
    <t>Piping</t>
  </si>
  <si>
    <t>30% of PEC</t>
  </si>
  <si>
    <t>Total Annual Production Cost, USD</t>
  </si>
  <si>
    <t>Instrumentation</t>
  </si>
  <si>
    <t>20% of PEC</t>
  </si>
  <si>
    <t xml:space="preserve"> Electrical power kWh/yr</t>
  </si>
  <si>
    <t>Electrical</t>
  </si>
  <si>
    <t>Charge</t>
  </si>
  <si>
    <t>Charge per kWh, USD</t>
  </si>
  <si>
    <t>Gross Charge</t>
  </si>
  <si>
    <t>Storages</t>
  </si>
  <si>
    <t>Energy Chrge</t>
  </si>
  <si>
    <t>Site development</t>
  </si>
  <si>
    <t>10% of PEC</t>
  </si>
  <si>
    <t>Total Direct Costs</t>
  </si>
  <si>
    <t>Total Charges, USD</t>
  </si>
  <si>
    <t>Plant Physical Cost (PPC)</t>
  </si>
  <si>
    <t xml:space="preserve">Unit </t>
  </si>
  <si>
    <t xml:space="preserve">Total Electrical demand </t>
  </si>
  <si>
    <t>Fixed Capital Investment</t>
  </si>
  <si>
    <t xml:space="preserve">Dehulling </t>
  </si>
  <si>
    <t>Indirect Costs</t>
  </si>
  <si>
    <t>Hammer Milling</t>
  </si>
  <si>
    <t>Design and Engineering</t>
  </si>
  <si>
    <t>25% of PPC</t>
  </si>
  <si>
    <t>Air classifier mill</t>
  </si>
  <si>
    <t>Contractor's fee</t>
  </si>
  <si>
    <t>5% of PPC</t>
  </si>
  <si>
    <t xml:space="preserve">Air Classification fractionation </t>
  </si>
  <si>
    <t>Contingency</t>
  </si>
  <si>
    <t>10% of PPC</t>
  </si>
  <si>
    <t>Total Indirect Cost (TIC)</t>
  </si>
  <si>
    <t>Fixed Capital Investment (FCI)</t>
  </si>
  <si>
    <t xml:space="preserve">Working Capital </t>
  </si>
  <si>
    <t>15% of FCI</t>
  </si>
  <si>
    <t xml:space="preserve">Total Capital Investment </t>
  </si>
  <si>
    <t>Annual Cash Flow</t>
  </si>
  <si>
    <t>Product</t>
  </si>
  <si>
    <t>Selling Price, USD per kg</t>
  </si>
  <si>
    <t>Annual Quantity</t>
  </si>
  <si>
    <t>Gross Annual Sales, USD</t>
  </si>
  <si>
    <t>Dollar rate, GHS</t>
  </si>
  <si>
    <t>Gross Profit</t>
  </si>
  <si>
    <t>Pea protein concentrate</t>
  </si>
  <si>
    <t>Rate</t>
  </si>
  <si>
    <t xml:space="preserve">Pea Starch concentrate </t>
  </si>
  <si>
    <t>Original Value, USD</t>
  </si>
  <si>
    <t>Income Tax</t>
  </si>
  <si>
    <t>Hulls (fibre)</t>
  </si>
  <si>
    <t>Salvage Value, USD</t>
  </si>
  <si>
    <t>Net Profit</t>
  </si>
  <si>
    <t>Total Gross Annual Sales, USD</t>
  </si>
  <si>
    <t>Plant life, yrs</t>
  </si>
  <si>
    <t>Depreciation Value, USD</t>
  </si>
  <si>
    <t>Fixed Capital Invesstment</t>
  </si>
  <si>
    <t>Turn Over Ratio</t>
  </si>
  <si>
    <t>Annual Cummulative Cash Flow</t>
  </si>
  <si>
    <t>Year</t>
  </si>
  <si>
    <t>Net Profit, USD</t>
  </si>
  <si>
    <t>Net Annual Cash Flow, USD</t>
  </si>
  <si>
    <t>Discounted Factor at 7.55%</t>
  </si>
  <si>
    <t>Present Value</t>
  </si>
  <si>
    <t>Cummulative Cash Flow, USD</t>
  </si>
  <si>
    <t>NPV</t>
  </si>
  <si>
    <t>Profitability Index</t>
  </si>
  <si>
    <t xml:space="preserve">  </t>
  </si>
  <si>
    <t>Economics</t>
  </si>
  <si>
    <t>Yield, Electricity, SP*</t>
  </si>
  <si>
    <t>Asuming same equipment, no change in capital costs</t>
  </si>
  <si>
    <t xml:space="preserve">Envoironmental </t>
  </si>
  <si>
    <t>Electricity usage, yield, impact factors</t>
  </si>
  <si>
    <t>Quality</t>
  </si>
  <si>
    <t>Protein content</t>
  </si>
  <si>
    <t>Wang's Model</t>
  </si>
  <si>
    <t xml:space="preserve">Electricity </t>
  </si>
  <si>
    <t>Air flow rate (compressor power load)</t>
  </si>
  <si>
    <t>Classifier Speed (speed to power)</t>
  </si>
  <si>
    <t>Feed rate (belt speed* to power)</t>
  </si>
  <si>
    <t>SPECIFY PROCESSING CONDITIONS</t>
  </si>
  <si>
    <t>ENVIRONMENT</t>
  </si>
  <si>
    <t>kg CO2</t>
  </si>
  <si>
    <t>Air Classifier Speed</t>
  </si>
  <si>
    <t>rpm</t>
  </si>
  <si>
    <t>Air Flow Rate</t>
  </si>
  <si>
    <t>m3/hr</t>
  </si>
  <si>
    <t>ECONOMIC</t>
  </si>
  <si>
    <t>$</t>
  </si>
  <si>
    <t>Feed Rate</t>
  </si>
  <si>
    <t>kg/hr</t>
  </si>
  <si>
    <t>Capacity (flour)</t>
  </si>
  <si>
    <t>kg</t>
  </si>
  <si>
    <t>QUALITY</t>
  </si>
  <si>
    <t>%</t>
  </si>
  <si>
    <t>Capacity (processing rate)</t>
  </si>
  <si>
    <t>1. The power (kW) is calculated from the torque and speed (rpm)
2. The feed rate is determined to estimate the residence time (h) of the operation based on the processing rate to estimate the power consumption (kWh)
3. The GWP is then calculated based on the emission factor (0.777kg CO2), total kWH and yield of protein (kg protein concentrate)</t>
  </si>
  <si>
    <t xml:space="preserve">1. The quality Is estimated from the product-process model generated
2. For now this is generated using two models:
a. Using Wang's Regression Model, based on the Classifier Speed and Air Flow rate
b. Using a simple regression model obtained from data from meta-analysis study (to be be obtained later)
</t>
  </si>
  <si>
    <t>Capital Cost</t>
  </si>
  <si>
    <t>Parameter</t>
  </si>
  <si>
    <t xml:space="preserve">Units </t>
  </si>
  <si>
    <t>Value</t>
  </si>
  <si>
    <t xml:space="preserve">Torque </t>
  </si>
  <si>
    <t>Nm</t>
  </si>
  <si>
    <t>Raw material costs (flour)</t>
  </si>
  <si>
    <t>Co-effs</t>
  </si>
  <si>
    <t>Yield</t>
  </si>
  <si>
    <t>Protein Purity</t>
  </si>
  <si>
    <t>Variables</t>
  </si>
  <si>
    <t>x VALUES</t>
  </si>
  <si>
    <t>GWP factor</t>
  </si>
  <si>
    <t>kg CO2 eq/kg protein</t>
  </si>
  <si>
    <t>Electricity Charge</t>
  </si>
  <si>
    <t>b0</t>
  </si>
  <si>
    <t>N</t>
  </si>
  <si>
    <t>Protein yield</t>
  </si>
  <si>
    <t>Labour Costs</t>
  </si>
  <si>
    <t>b1</t>
  </si>
  <si>
    <t>V</t>
  </si>
  <si>
    <t>Residence time</t>
  </si>
  <si>
    <t>hr</t>
  </si>
  <si>
    <t>b2</t>
  </si>
  <si>
    <t>Nsqr</t>
  </si>
  <si>
    <t>Power</t>
  </si>
  <si>
    <t>Kw</t>
  </si>
  <si>
    <t>Revenue</t>
  </si>
  <si>
    <t>b3</t>
  </si>
  <si>
    <t>N/A</t>
  </si>
  <si>
    <t>Vsqr</t>
  </si>
  <si>
    <t>Power consumption</t>
  </si>
  <si>
    <t>kWh</t>
  </si>
  <si>
    <t>Coarse Fractions</t>
  </si>
  <si>
    <t>b4</t>
  </si>
  <si>
    <t>NV</t>
  </si>
  <si>
    <t>GWP</t>
  </si>
  <si>
    <t>kg CO2 eq.</t>
  </si>
  <si>
    <t>Fine (protein concentrate)</t>
  </si>
  <si>
    <t>b5</t>
  </si>
  <si>
    <t xml:space="preserve">Profit </t>
  </si>
  <si>
    <t xml:space="preserve">Yield </t>
  </si>
  <si>
    <t>Midpoint</t>
  </si>
  <si>
    <t>Half range</t>
  </si>
  <si>
    <t>Different Rates for energy consumption</t>
  </si>
  <si>
    <t>25kg</t>
  </si>
  <si>
    <t>4000 tonnes</t>
  </si>
  <si>
    <t>0.54kwh/kg</t>
  </si>
  <si>
    <t>Dry</t>
  </si>
  <si>
    <t>Wet</t>
  </si>
  <si>
    <t>Hybrid</t>
  </si>
  <si>
    <t>*Super Pro Costs can be used as default and allow changes to suit user's prefernce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</si>
</sst>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 #,##0.000_);_(* \(#,##0.000\);_(* &quot;-&quot;??_);_(@_)"/>
  </numFmts>
  <fonts count="17" x14ac:knownFonts="1">
    <font>
      <sz val="11"/>
      <color theme="1"/>
      <name val="Calibri"/>
      <family val="2"/>
      <scheme val="minor"/>
    </font>
    <font>
      <sz val="11"/>
      <color theme="1"/>
      <name val="Calibri"/>
      <family val="2"/>
      <scheme val="minor"/>
    </font>
    <font>
      <sz val="12"/>
      <color theme="1"/>
      <name val="Times New Roman"/>
      <family val="1"/>
    </font>
    <font>
      <sz val="11"/>
      <color theme="1"/>
      <name val="Times New Roman"/>
      <family val="1"/>
    </font>
    <font>
      <b/>
      <sz val="12"/>
      <color theme="1"/>
      <name val="Times New Roman"/>
      <family val="1"/>
    </font>
    <font>
      <b/>
      <sz val="18"/>
      <color theme="1"/>
      <name val="Times New Roman"/>
      <family val="1"/>
    </font>
    <font>
      <b/>
      <sz val="20"/>
      <color theme="1"/>
      <name val="Times New Roman"/>
      <family val="1"/>
    </font>
    <font>
      <b/>
      <sz val="12"/>
      <color theme="0"/>
      <name val="Calibri"/>
      <family val="2"/>
      <scheme val="minor"/>
    </font>
    <font>
      <sz val="11"/>
      <color theme="1"/>
      <name val="Amasis MT Pro Medium"/>
      <family val="1"/>
    </font>
    <font>
      <sz val="13"/>
      <name val="Amasis MT Pro Medium"/>
      <family val="1"/>
    </font>
    <font>
      <sz val="28"/>
      <color theme="1"/>
      <name val="Calibri"/>
      <family val="2"/>
      <scheme val="minor"/>
    </font>
    <font>
      <sz val="20"/>
      <color theme="1"/>
      <name val="Calibri"/>
      <family val="2"/>
      <scheme val="minor"/>
    </font>
    <font>
      <sz val="29"/>
      <color theme="1"/>
      <name val="Calibri"/>
      <family val="2"/>
      <scheme val="minor"/>
    </font>
    <font>
      <b/>
      <sz val="19"/>
      <color theme="1"/>
      <name val="Calibri"/>
      <family val="2"/>
      <scheme val="minor"/>
    </font>
    <font>
      <b/>
      <sz val="17"/>
      <color theme="1"/>
      <name val="Calibri"/>
      <family val="2"/>
      <scheme val="minor"/>
    </font>
    <font>
      <b/>
      <sz val="18"/>
      <color theme="1"/>
      <name val="Calibri"/>
      <family val="2"/>
      <scheme val="minor"/>
    </font>
    <font>
      <b/>
      <sz val="17"/>
      <color theme="0"/>
      <name val="Calibri"/>
      <family val="2"/>
      <scheme val="minor"/>
    </font>
  </fonts>
  <fills count="12">
    <fill>
      <patternFill patternType="none"/>
    </fill>
    <fill>
      <patternFill patternType="gray125"/>
    </fill>
    <fill>
      <patternFill patternType="solid">
        <fgColor theme="7" tint="-0.49998474074526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00206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s>
  <cellStyleXfs count="2">
    <xf numFmtId="0" fontId="0" fillId="0" borderId="0"/>
    <xf numFmtId="164" fontId="1" fillId="0" borderId="0" applyFont="0" applyFill="0" applyBorder="0" applyAlignment="0" applyProtection="0"/>
  </cellStyleXfs>
  <cellXfs count="142">
    <xf numFmtId="0" fontId="0" fillId="0" borderId="0" xfId="0"/>
    <xf numFmtId="0" fontId="0" fillId="0" borderId="3" xfId="0" applyBorder="1"/>
    <xf numFmtId="0" fontId="0" fillId="0" borderId="4" xfId="0" applyBorder="1"/>
    <xf numFmtId="0" fontId="3" fillId="0" borderId="14" xfId="0" applyFont="1" applyBorder="1"/>
    <xf numFmtId="0" fontId="3" fillId="0" borderId="13" xfId="0" applyFont="1" applyBorder="1"/>
    <xf numFmtId="0" fontId="3" fillId="0" borderId="10" xfId="0" applyFont="1" applyBorder="1"/>
    <xf numFmtId="165" fontId="3" fillId="0" borderId="13" xfId="1" applyNumberFormat="1" applyFont="1" applyBorder="1"/>
    <xf numFmtId="165" fontId="3" fillId="0" borderId="6" xfId="1" applyNumberFormat="1" applyFont="1" applyBorder="1"/>
    <xf numFmtId="0" fontId="3" fillId="0" borderId="7" xfId="0" applyFont="1" applyBorder="1"/>
    <xf numFmtId="0" fontId="3" fillId="0" borderId="8" xfId="0" applyFont="1" applyBorder="1"/>
    <xf numFmtId="0" fontId="3" fillId="0" borderId="9" xfId="0" applyFont="1" applyBorder="1"/>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0" xfId="0" applyFont="1"/>
    <xf numFmtId="0" fontId="3" fillId="0" borderId="2" xfId="0" applyFont="1" applyBorder="1"/>
    <xf numFmtId="0" fontId="3" fillId="0" borderId="3" xfId="0" applyFont="1" applyBorder="1"/>
    <xf numFmtId="165" fontId="3" fillId="0" borderId="4" xfId="1" applyNumberFormat="1" applyFont="1" applyBorder="1"/>
    <xf numFmtId="0" fontId="3" fillId="0" borderId="1" xfId="0" applyFont="1" applyBorder="1"/>
    <xf numFmtId="165" fontId="3" fillId="0" borderId="1" xfId="1" applyNumberFormat="1" applyFont="1" applyBorder="1"/>
    <xf numFmtId="0" fontId="3" fillId="0" borderId="4" xfId="0" applyFont="1" applyBorder="1"/>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xf numFmtId="0" fontId="3" fillId="0" borderId="15" xfId="0" applyFont="1" applyBorder="1"/>
    <xf numFmtId="0" fontId="3" fillId="0" borderId="5" xfId="0" applyFont="1" applyBorder="1"/>
    <xf numFmtId="165" fontId="3" fillId="0" borderId="12" xfId="1" applyNumberFormat="1" applyFont="1" applyBorder="1"/>
    <xf numFmtId="165" fontId="3" fillId="0" borderId="15" xfId="1" applyNumberFormat="1" applyFont="1" applyBorder="1"/>
    <xf numFmtId="165" fontId="3" fillId="0" borderId="5" xfId="1" applyNumberFormat="1" applyFont="1" applyBorder="1"/>
    <xf numFmtId="0" fontId="3" fillId="0" borderId="1" xfId="0" applyFont="1" applyBorder="1" applyAlignment="1">
      <alignment horizontal="center"/>
    </xf>
    <xf numFmtId="0" fontId="3" fillId="0" borderId="12" xfId="0" applyFont="1" applyBorder="1" applyAlignment="1">
      <alignment horizontal="center"/>
    </xf>
    <xf numFmtId="0" fontId="3" fillId="0" borderId="15" xfId="0" applyFont="1" applyBorder="1" applyAlignment="1">
      <alignment horizontal="center"/>
    </xf>
    <xf numFmtId="0" fontId="3" fillId="0" borderId="5" xfId="0" applyFont="1" applyBorder="1" applyAlignment="1">
      <alignment horizontal="center"/>
    </xf>
    <xf numFmtId="165" fontId="3" fillId="0" borderId="15" xfId="1" applyNumberFormat="1" applyFont="1" applyBorder="1" applyAlignment="1">
      <alignment horizontal="center"/>
    </xf>
    <xf numFmtId="165" fontId="3" fillId="0" borderId="5" xfId="1" applyNumberFormat="1" applyFont="1" applyBorder="1" applyAlignment="1">
      <alignment horizontal="center"/>
    </xf>
    <xf numFmtId="165" fontId="3" fillId="0" borderId="15" xfId="1" applyNumberFormat="1" applyFont="1" applyBorder="1" applyAlignment="1"/>
    <xf numFmtId="165" fontId="3" fillId="0" borderId="13" xfId="1" applyNumberFormat="1" applyFont="1" applyBorder="1" applyAlignment="1">
      <alignment horizontal="center"/>
    </xf>
    <xf numFmtId="165" fontId="3" fillId="0" borderId="6" xfId="1" applyNumberFormat="1" applyFont="1" applyBorder="1" applyAlignment="1">
      <alignment horizontal="center"/>
    </xf>
    <xf numFmtId="165" fontId="3" fillId="0" borderId="4" xfId="0" applyNumberFormat="1" applyFont="1" applyBorder="1"/>
    <xf numFmtId="0" fontId="3" fillId="0" borderId="14" xfId="0" applyFont="1" applyBorder="1" applyAlignment="1">
      <alignment horizontal="left"/>
    </xf>
    <xf numFmtId="165" fontId="3" fillId="0" borderId="1" xfId="1" applyNumberFormat="1" applyFont="1" applyFill="1" applyBorder="1"/>
    <xf numFmtId="165" fontId="3" fillId="0" borderId="1" xfId="0" applyNumberFormat="1" applyFont="1" applyBorder="1"/>
    <xf numFmtId="0" fontId="4" fillId="0" borderId="14" xfId="0" applyFont="1" applyBorder="1" applyAlignment="1">
      <alignment horizontal="center"/>
    </xf>
    <xf numFmtId="0" fontId="2" fillId="0" borderId="12" xfId="0" applyFont="1" applyBorder="1"/>
    <xf numFmtId="0" fontId="2" fillId="0" borderId="15" xfId="0" applyFont="1" applyBorder="1"/>
    <xf numFmtId="0" fontId="2" fillId="0" borderId="5" xfId="0" applyFont="1" applyBorder="1"/>
    <xf numFmtId="0" fontId="4" fillId="0" borderId="1" xfId="0" applyFont="1" applyBorder="1" applyAlignment="1">
      <alignment horizontal="center"/>
    </xf>
    <xf numFmtId="2" fontId="3" fillId="0" borderId="15" xfId="0" applyNumberFormat="1" applyFont="1" applyBorder="1"/>
    <xf numFmtId="165" fontId="3" fillId="0" borderId="9" xfId="1" applyNumberFormat="1" applyFont="1" applyBorder="1"/>
    <xf numFmtId="165" fontId="3" fillId="0" borderId="9" xfId="1" applyNumberFormat="1" applyFont="1" applyBorder="1" applyAlignment="1"/>
    <xf numFmtId="165" fontId="3" fillId="0" borderId="13" xfId="1" applyNumberFormat="1" applyFont="1" applyBorder="1" applyAlignment="1"/>
    <xf numFmtId="165" fontId="3" fillId="0" borderId="6" xfId="1" applyNumberFormat="1" applyFont="1" applyBorder="1" applyAlignment="1"/>
    <xf numFmtId="0" fontId="3" fillId="0" borderId="0" xfId="0" applyFont="1" applyAlignment="1">
      <alignment horizontal="right"/>
    </xf>
    <xf numFmtId="0" fontId="3" fillId="0" borderId="14" xfId="0" applyFont="1" applyBorder="1" applyAlignment="1">
      <alignment horizontal="center"/>
    </xf>
    <xf numFmtId="0" fontId="3" fillId="0" borderId="15" xfId="0" applyFont="1" applyBorder="1" applyAlignment="1">
      <alignment horizontal="right"/>
    </xf>
    <xf numFmtId="164" fontId="3" fillId="0" borderId="15" xfId="1" applyFont="1" applyBorder="1" applyAlignment="1">
      <alignment horizontal="right"/>
    </xf>
    <xf numFmtId="164" fontId="3" fillId="0" borderId="15" xfId="0" applyNumberFormat="1" applyFont="1" applyBorder="1" applyAlignment="1">
      <alignment horizontal="right"/>
    </xf>
    <xf numFmtId="164" fontId="3" fillId="0" borderId="5" xfId="0" applyNumberFormat="1" applyFont="1" applyBorder="1" applyAlignment="1">
      <alignment horizontal="right"/>
    </xf>
    <xf numFmtId="0" fontId="0" fillId="0" borderId="15" xfId="0" applyBorder="1"/>
    <xf numFmtId="0" fontId="0" fillId="0" borderId="5" xfId="0" applyBorder="1"/>
    <xf numFmtId="0" fontId="0" fillId="0" borderId="1" xfId="0" applyBorder="1"/>
    <xf numFmtId="165" fontId="0" fillId="0" borderId="15" xfId="0" applyNumberFormat="1" applyBorder="1"/>
    <xf numFmtId="165" fontId="0" fillId="0" borderId="5" xfId="0" applyNumberFormat="1" applyBorder="1"/>
    <xf numFmtId="165" fontId="3" fillId="0" borderId="13" xfId="0" applyNumberFormat="1" applyFont="1" applyBorder="1"/>
    <xf numFmtId="0" fontId="3" fillId="0" borderId="0" xfId="0" applyFont="1" applyAlignment="1">
      <alignment horizontal="center"/>
    </xf>
    <xf numFmtId="0" fontId="2" fillId="0" borderId="0" xfId="0" applyFont="1"/>
    <xf numFmtId="3" fontId="2" fillId="0" borderId="0" xfId="0" applyNumberFormat="1" applyFont="1"/>
    <xf numFmtId="0" fontId="2" fillId="0" borderId="0" xfId="0" applyFont="1" applyAlignment="1">
      <alignment horizontal="center"/>
    </xf>
    <xf numFmtId="3" fontId="2" fillId="0" borderId="0" xfId="0" applyNumberFormat="1" applyFont="1" applyAlignment="1">
      <alignment horizontal="center"/>
    </xf>
    <xf numFmtId="0" fontId="4" fillId="0" borderId="0" xfId="0" applyFont="1"/>
    <xf numFmtId="0" fontId="0" fillId="0" borderId="7" xfId="0" applyBorder="1"/>
    <xf numFmtId="0" fontId="0" fillId="0" borderId="8" xfId="0" applyBorder="1"/>
    <xf numFmtId="0" fontId="0" fillId="0" borderId="9" xfId="0" applyBorder="1"/>
    <xf numFmtId="0" fontId="0" fillId="0" borderId="14" xfId="0" applyBorder="1"/>
    <xf numFmtId="0" fontId="0" fillId="0" borderId="13" xfId="0" applyBorder="1"/>
    <xf numFmtId="0" fontId="0" fillId="0" borderId="10" xfId="0" applyBorder="1"/>
    <xf numFmtId="0" fontId="0" fillId="0" borderId="11" xfId="0" applyBorder="1"/>
    <xf numFmtId="0" fontId="0" fillId="0" borderId="6" xfId="0" applyBorder="1"/>
    <xf numFmtId="3" fontId="0" fillId="0" borderId="0" xfId="0" applyNumberFormat="1"/>
    <xf numFmtId="165" fontId="3" fillId="0" borderId="0" xfId="1" applyNumberFormat="1" applyFont="1" applyBorder="1"/>
    <xf numFmtId="43" fontId="3" fillId="0" borderId="0" xfId="0" applyNumberFormat="1" applyFont="1"/>
    <xf numFmtId="166" fontId="3" fillId="0" borderId="15" xfId="0" applyNumberFormat="1" applyFont="1" applyBorder="1" applyAlignment="1">
      <alignment horizontal="right"/>
    </xf>
    <xf numFmtId="164" fontId="3" fillId="0" borderId="12" xfId="1" applyFont="1" applyBorder="1" applyAlignment="1">
      <alignment horizontal="right"/>
    </xf>
    <xf numFmtId="164" fontId="5" fillId="0" borderId="0" xfId="1" applyFont="1" applyAlignment="1">
      <alignment horizontal="right"/>
    </xf>
    <xf numFmtId="0" fontId="6" fillId="0" borderId="0" xfId="0" applyFont="1" applyAlignment="1">
      <alignment horizontal="right"/>
    </xf>
    <xf numFmtId="164" fontId="0" fillId="0" borderId="15" xfId="1" applyFont="1" applyBorder="1"/>
    <xf numFmtId="0" fontId="0" fillId="0" borderId="0" xfId="0" applyAlignment="1">
      <alignment horizontal="center"/>
    </xf>
    <xf numFmtId="3" fontId="4" fillId="0" borderId="0" xfId="0" applyNumberFormat="1" applyFont="1"/>
    <xf numFmtId="0" fontId="4" fillId="0" borderId="2" xfId="0" applyFont="1" applyBorder="1"/>
    <xf numFmtId="0" fontId="4" fillId="0" borderId="4" xfId="0" applyFont="1" applyBorder="1"/>
    <xf numFmtId="0" fontId="2" fillId="0" borderId="12" xfId="0" applyFont="1" applyBorder="1" applyAlignment="1">
      <alignment horizontal="center"/>
    </xf>
    <xf numFmtId="0" fontId="2" fillId="0" borderId="15" xfId="0" applyFont="1" applyBorder="1" applyAlignment="1">
      <alignment horizontal="center"/>
    </xf>
    <xf numFmtId="0" fontId="2" fillId="0" borderId="14" xfId="0" applyFont="1" applyBorder="1"/>
    <xf numFmtId="1" fontId="0" fillId="0" borderId="0" xfId="0" applyNumberFormat="1" applyAlignment="1">
      <alignment horizontal="center"/>
    </xf>
    <xf numFmtId="164" fontId="2" fillId="0" borderId="15" xfId="1" applyFont="1" applyBorder="1" applyAlignment="1"/>
    <xf numFmtId="0" fontId="2" fillId="0" borderId="5" xfId="0" applyFont="1" applyBorder="1" applyAlignment="1">
      <alignment horizontal="center"/>
    </xf>
    <xf numFmtId="165" fontId="0" fillId="0" borderId="0" xfId="0" applyNumberFormat="1"/>
    <xf numFmtId="43" fontId="0" fillId="0" borderId="0" xfId="0" applyNumberFormat="1"/>
    <xf numFmtId="0" fontId="0" fillId="0" borderId="0" xfId="0" applyAlignment="1">
      <alignment vertical="top" wrapText="1"/>
    </xf>
    <xf numFmtId="0" fontId="0" fillId="0" borderId="0" xfId="0" applyAlignment="1">
      <alignment horizontal="right"/>
    </xf>
    <xf numFmtId="0" fontId="0" fillId="0" borderId="0" xfId="0" applyAlignment="1">
      <alignment wrapText="1"/>
    </xf>
    <xf numFmtId="0" fontId="0" fillId="0" borderId="0" xfId="0" applyAlignment="1">
      <alignment horizontal="left" wrapText="1"/>
    </xf>
    <xf numFmtId="0" fontId="8" fillId="0" borderId="1" xfId="0" applyFont="1" applyBorder="1" applyAlignment="1">
      <alignment horizontal="left"/>
    </xf>
    <xf numFmtId="0" fontId="13" fillId="4"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0" fillId="8" borderId="1" xfId="0" applyFill="1" applyBorder="1"/>
    <xf numFmtId="0" fontId="11" fillId="0" borderId="4" xfId="0" applyFont="1" applyBorder="1"/>
    <xf numFmtId="0" fontId="12" fillId="0" borderId="4" xfId="0" applyFont="1" applyBorder="1" applyAlignment="1">
      <alignment horizontal="center" vertical="center"/>
    </xf>
    <xf numFmtId="0" fontId="10" fillId="0" borderId="4" xfId="0" applyFont="1" applyBorder="1" applyAlignment="1">
      <alignment horizontal="center" vertical="center"/>
    </xf>
    <xf numFmtId="0" fontId="14" fillId="0" borderId="1" xfId="0" applyFont="1" applyBorder="1"/>
    <xf numFmtId="0" fontId="14"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7" fillId="11" borderId="1" xfId="0" applyFont="1" applyFill="1" applyBorder="1"/>
    <xf numFmtId="0" fontId="7" fillId="11" borderId="4" xfId="0" applyFont="1" applyFill="1" applyBorder="1"/>
    <xf numFmtId="0" fontId="2" fillId="0" borderId="13" xfId="0" applyFont="1" applyBorder="1"/>
    <xf numFmtId="0" fontId="2" fillId="0" borderId="6" xfId="0" applyFont="1" applyBorder="1"/>
    <xf numFmtId="0" fontId="10" fillId="9" borderId="1" xfId="0" applyFont="1" applyFill="1" applyBorder="1"/>
    <xf numFmtId="0" fontId="3" fillId="0" borderId="2" xfId="0" applyFont="1" applyBorder="1" applyAlignment="1">
      <alignment horizontal="center"/>
    </xf>
    <xf numFmtId="0" fontId="3" fillId="0" borderId="4"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0" fillId="0" borderId="0" xfId="0" applyAlignment="1">
      <alignment horizontal="center"/>
    </xf>
    <xf numFmtId="0" fontId="3" fillId="0" borderId="14" xfId="0" applyFont="1" applyBorder="1" applyAlignment="1">
      <alignment horizontal="center"/>
    </xf>
    <xf numFmtId="0" fontId="3" fillId="0" borderId="0" xfId="0" applyFont="1" applyAlignment="1">
      <alignment horizontal="center"/>
    </xf>
    <xf numFmtId="0" fontId="0" fillId="0" borderId="0" xfId="0" applyAlignment="1">
      <alignment horizontal="left" vertical="top" wrapText="1"/>
    </xf>
    <xf numFmtId="0" fontId="15" fillId="10" borderId="2" xfId="0" applyFont="1" applyFill="1" applyBorder="1" applyAlignment="1">
      <alignment horizontal="center" vertical="center"/>
    </xf>
    <xf numFmtId="0" fontId="15" fillId="10" borderId="3" xfId="0" applyFont="1" applyFill="1" applyBorder="1" applyAlignment="1">
      <alignment horizontal="center" vertical="center"/>
    </xf>
    <xf numFmtId="0" fontId="15" fillId="10" borderId="4" xfId="0" applyFont="1" applyFill="1" applyBorder="1" applyAlignment="1">
      <alignment horizontal="center" vertical="center"/>
    </xf>
    <xf numFmtId="0" fontId="16" fillId="2" borderId="2" xfId="0" applyFont="1" applyFill="1" applyBorder="1" applyAlignment="1">
      <alignment horizontal="center"/>
    </xf>
    <xf numFmtId="0" fontId="16" fillId="2" borderId="3" xfId="0" applyFont="1" applyFill="1" applyBorder="1" applyAlignment="1">
      <alignment horizontal="center"/>
    </xf>
    <xf numFmtId="0" fontId="16" fillId="2" borderId="4" xfId="0" applyFont="1" applyFill="1" applyBorder="1" applyAlignment="1">
      <alignment horizontal="center"/>
    </xf>
    <xf numFmtId="0" fontId="0" fillId="0" borderId="0" xfId="0" applyAlignment="1">
      <alignment horizontal="center" vertical="top" wrapText="1"/>
    </xf>
    <xf numFmtId="0" fontId="9" fillId="3" borderId="2" xfId="0" applyFont="1" applyFill="1" applyBorder="1" applyAlignment="1">
      <alignment horizontal="left" vertical="center"/>
    </xf>
    <xf numFmtId="0" fontId="9" fillId="3" borderId="4" xfId="0" applyFont="1" applyFill="1" applyBorder="1" applyAlignment="1">
      <alignment horizontal="left" vertical="center"/>
    </xf>
    <xf numFmtId="0" fontId="0" fillId="0" borderId="8"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Times New Roman" panose="02020603050405020304" pitchFamily="18" charset="0"/>
                <a:cs typeface="Times New Roman" panose="02020603050405020304" pitchFamily="18" charset="0"/>
              </a:rPr>
              <a:t>Graph</a:t>
            </a:r>
            <a:r>
              <a:rPr lang="en-GB" b="1" baseline="0">
                <a:latin typeface="Times New Roman" panose="02020603050405020304" pitchFamily="18" charset="0"/>
                <a:cs typeface="Times New Roman" panose="02020603050405020304" pitchFamily="18" charset="0"/>
              </a:rPr>
              <a:t> of Annual Cummulative Cash Flow Against Projct Lifetime</a:t>
            </a:r>
            <a:endParaRPr lang="en-GB"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1686010346972515E-2"/>
          <c:y val="0.12861723428289332"/>
          <c:w val="0.89833325747576354"/>
          <c:h val="0.70118718433972815"/>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'Profitability Analysis'!$C$17:$C$38</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'Profitability Analysis'!#REF!</c:f>
              <c:numCache>
                <c:formatCode>General</c:formatCode>
                <c:ptCount val="1"/>
                <c:pt idx="0">
                  <c:v>1</c:v>
                </c:pt>
              </c:numCache>
            </c:numRef>
          </c:yVal>
          <c:smooth val="1"/>
          <c:extLst>
            <c:ext xmlns:c16="http://schemas.microsoft.com/office/drawing/2014/chart" uri="{C3380CC4-5D6E-409C-BE32-E72D297353CC}">
              <c16:uniqueId val="{00000000-54E7-43C0-B845-455C212A11A5}"/>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'Profitability Analysis'!$C$16:$C$37</c:f>
              <c:numCache>
                <c:formatCode>General</c:formatCode>
                <c:ptCount val="22"/>
                <c:pt idx="0">
                  <c:v>-1</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numCache>
            </c:numRef>
          </c:xVal>
          <c:yVal>
            <c:numRef>
              <c:f>'Profitability Analysis'!$I$16:$I$37</c:f>
              <c:numCache>
                <c:formatCode>_(* #,##0.00_);_(* \(#,##0.00\);_(* "-"??_);_(@_)</c:formatCode>
                <c:ptCount val="22"/>
                <c:pt idx="0" formatCode="General">
                  <c:v>0</c:v>
                </c:pt>
                <c:pt idx="1">
                  <c:v>-11550000</c:v>
                </c:pt>
                <c:pt idx="2">
                  <c:v>-6948725.1524999989</c:v>
                </c:pt>
                <c:pt idx="3">
                  <c:v>-1224743.3118749978</c:v>
                </c:pt>
                <c:pt idx="4">
                  <c:v>4499238.5287500033</c:v>
                </c:pt>
                <c:pt idx="5">
                  <c:v>10223220.369375005</c:v>
                </c:pt>
                <c:pt idx="6">
                  <c:v>15947202.210000006</c:v>
                </c:pt>
                <c:pt idx="7">
                  <c:v>21671184.050625008</c:v>
                </c:pt>
                <c:pt idx="8">
                  <c:v>27395165.891250007</c:v>
                </c:pt>
                <c:pt idx="9">
                  <c:v>33119147.73187501</c:v>
                </c:pt>
                <c:pt idx="10">
                  <c:v>38843129.572500013</c:v>
                </c:pt>
                <c:pt idx="11">
                  <c:v>44567111.413125016</c:v>
                </c:pt>
                <c:pt idx="12">
                  <c:v>50291093.253750019</c:v>
                </c:pt>
                <c:pt idx="13">
                  <c:v>56015075.094375022</c:v>
                </c:pt>
                <c:pt idx="14">
                  <c:v>61739056.935000025</c:v>
                </c:pt>
                <c:pt idx="15">
                  <c:v>67463038.77562502</c:v>
                </c:pt>
                <c:pt idx="16">
                  <c:v>73187020.616250023</c:v>
                </c:pt>
                <c:pt idx="17">
                  <c:v>78911002.456875026</c:v>
                </c:pt>
                <c:pt idx="18">
                  <c:v>84634984.297500029</c:v>
                </c:pt>
                <c:pt idx="19">
                  <c:v>89797612.641562536</c:v>
                </c:pt>
                <c:pt idx="20">
                  <c:v>94398887.489062533</c:v>
                </c:pt>
                <c:pt idx="21">
                  <c:v>98438808.840000033</c:v>
                </c:pt>
              </c:numCache>
            </c:numRef>
          </c:yVal>
          <c:smooth val="1"/>
          <c:extLst>
            <c:ext xmlns:c16="http://schemas.microsoft.com/office/drawing/2014/chart" uri="{C3380CC4-5D6E-409C-BE32-E72D297353CC}">
              <c16:uniqueId val="{00000001-54E7-43C0-B845-455C212A11A5}"/>
            </c:ext>
          </c:extLst>
        </c:ser>
        <c:dLbls>
          <c:showLegendKey val="0"/>
          <c:showVal val="0"/>
          <c:showCatName val="0"/>
          <c:showSerName val="0"/>
          <c:showPercent val="0"/>
          <c:showBubbleSize val="0"/>
        </c:dLbls>
        <c:axId val="-552835008"/>
        <c:axId val="-552830656"/>
      </c:scatterChart>
      <c:valAx>
        <c:axId val="-55283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Project life,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830656"/>
        <c:crosses val="autoZero"/>
        <c:crossBetween val="midCat"/>
      </c:valAx>
      <c:valAx>
        <c:axId val="-552830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a:t>
                </a:r>
                <a:r>
                  <a:rPr lang="en-GB" baseline="0"/>
                  <a:t> Cash Flow, USD </a:t>
                </a:r>
                <a:endParaRPr lang="en-GB"/>
              </a:p>
            </c:rich>
          </c:tx>
          <c:layout>
            <c:manualLayout>
              <c:xMode val="edge"/>
              <c:yMode val="edge"/>
              <c:x val="2.3121387283236993E-2"/>
              <c:y val="0.255413513078851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835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1104899</xdr:colOff>
      <xdr:row>17</xdr:row>
      <xdr:rowOff>57150</xdr:rowOff>
    </xdr:from>
    <xdr:to>
      <xdr:col>19</xdr:col>
      <xdr:colOff>323849</xdr:colOff>
      <xdr:row>52</xdr:row>
      <xdr:rowOff>180974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152400</xdr:rowOff>
    </xdr:from>
    <xdr:to>
      <xdr:col>17</xdr:col>
      <xdr:colOff>540868</xdr:colOff>
      <xdr:row>29</xdr:row>
      <xdr:rowOff>161333</xdr:rowOff>
    </xdr:to>
    <xdr:pic>
      <xdr:nvPicPr>
        <xdr:cNvPr id="2" name="Picture 1">
          <a:extLst>
            <a:ext uri="{FF2B5EF4-FFF2-40B4-BE49-F238E27FC236}">
              <a16:creationId xmlns:a16="http://schemas.microsoft.com/office/drawing/2014/main" id="{5C5969A1-F92E-40B1-AEF9-ECA8EFE47772}"/>
            </a:ext>
          </a:extLst>
        </xdr:cNvPr>
        <xdr:cNvPicPr>
          <a:picLocks noChangeAspect="1"/>
        </xdr:cNvPicPr>
      </xdr:nvPicPr>
      <xdr:blipFill>
        <a:blip xmlns:r="http://schemas.openxmlformats.org/officeDocument/2006/relationships" r:embed="rId1"/>
        <a:stretch>
          <a:fillRect/>
        </a:stretch>
      </xdr:blipFill>
      <xdr:spPr>
        <a:xfrm>
          <a:off x="0" y="2247900"/>
          <a:ext cx="10904068" cy="3437933"/>
        </a:xfrm>
        <a:prstGeom prst="rect">
          <a:avLst/>
        </a:prstGeom>
      </xdr:spPr>
    </xdr:pic>
    <xdr:clientData/>
  </xdr:twoCellAnchor>
  <xdr:twoCellAnchor editAs="oneCell">
    <xdr:from>
      <xdr:col>5</xdr:col>
      <xdr:colOff>104775</xdr:colOff>
      <xdr:row>1</xdr:row>
      <xdr:rowOff>66675</xdr:rowOff>
    </xdr:from>
    <xdr:to>
      <xdr:col>24</xdr:col>
      <xdr:colOff>430287</xdr:colOff>
      <xdr:row>32</xdr:row>
      <xdr:rowOff>19868</xdr:rowOff>
    </xdr:to>
    <xdr:pic>
      <xdr:nvPicPr>
        <xdr:cNvPr id="3" name="Picture 2">
          <a:extLst>
            <a:ext uri="{FF2B5EF4-FFF2-40B4-BE49-F238E27FC236}">
              <a16:creationId xmlns:a16="http://schemas.microsoft.com/office/drawing/2014/main" id="{3779ADA3-4D1D-8607-742F-8C82FCB2A3D7}"/>
            </a:ext>
            <a:ext uri="{147F2762-F138-4A5C-976F-8EAC2B608ADB}">
              <a16:predDERef xmlns:a16="http://schemas.microsoft.com/office/drawing/2014/main" pred="{5C5969A1-F92E-40B1-AEF9-ECA8EFE47772}"/>
            </a:ext>
          </a:extLst>
        </xdr:cNvPr>
        <xdr:cNvPicPr>
          <a:picLocks noChangeAspect="1"/>
        </xdr:cNvPicPr>
      </xdr:nvPicPr>
      <xdr:blipFill>
        <a:blip xmlns:r="http://schemas.openxmlformats.org/officeDocument/2006/relationships" r:embed="rId2"/>
        <a:stretch>
          <a:fillRect/>
        </a:stretch>
      </xdr:blipFill>
      <xdr:spPr>
        <a:xfrm>
          <a:off x="3152775" y="257175"/>
          <a:ext cx="11907912" cy="5858693"/>
        </a:xfrm>
        <a:prstGeom prst="rect">
          <a:avLst/>
        </a:prstGeom>
      </xdr:spPr>
    </xdr:pic>
    <xdr:clientData/>
  </xdr:twoCellAnchor>
  <xdr:twoCellAnchor editAs="oneCell">
    <xdr:from>
      <xdr:col>17</xdr:col>
      <xdr:colOff>590550</xdr:colOff>
      <xdr:row>7</xdr:row>
      <xdr:rowOff>114300</xdr:rowOff>
    </xdr:from>
    <xdr:to>
      <xdr:col>24</xdr:col>
      <xdr:colOff>191040</xdr:colOff>
      <xdr:row>12</xdr:row>
      <xdr:rowOff>47749</xdr:rowOff>
    </xdr:to>
    <xdr:pic>
      <xdr:nvPicPr>
        <xdr:cNvPr id="5" name="Picture 4">
          <a:extLst>
            <a:ext uri="{FF2B5EF4-FFF2-40B4-BE49-F238E27FC236}">
              <a16:creationId xmlns:a16="http://schemas.microsoft.com/office/drawing/2014/main" id="{5EF18D53-E983-603E-7876-F2A8F556D944}"/>
            </a:ext>
            <a:ext uri="{147F2762-F138-4A5C-976F-8EAC2B608ADB}">
              <a16:predDERef xmlns:a16="http://schemas.microsoft.com/office/drawing/2014/main" pred="{3779ADA3-4D1D-8607-742F-8C82FCB2A3D7}"/>
            </a:ext>
          </a:extLst>
        </xdr:cNvPr>
        <xdr:cNvPicPr>
          <a:picLocks noChangeAspect="1"/>
        </xdr:cNvPicPr>
      </xdr:nvPicPr>
      <xdr:blipFill>
        <a:blip xmlns:r="http://schemas.openxmlformats.org/officeDocument/2006/relationships" r:embed="rId3"/>
        <a:stretch>
          <a:fillRect/>
        </a:stretch>
      </xdr:blipFill>
      <xdr:spPr>
        <a:xfrm>
          <a:off x="10953750" y="1447800"/>
          <a:ext cx="3867690" cy="885949"/>
        </a:xfrm>
        <a:prstGeom prst="rect">
          <a:avLst/>
        </a:prstGeom>
      </xdr:spPr>
    </xdr:pic>
    <xdr:clientData/>
  </xdr:twoCellAnchor>
  <xdr:twoCellAnchor editAs="oneCell">
    <xdr:from>
      <xdr:col>2</xdr:col>
      <xdr:colOff>38100</xdr:colOff>
      <xdr:row>38</xdr:row>
      <xdr:rowOff>133350</xdr:rowOff>
    </xdr:from>
    <xdr:to>
      <xdr:col>19</xdr:col>
      <xdr:colOff>258652</xdr:colOff>
      <xdr:row>56</xdr:row>
      <xdr:rowOff>152881</xdr:rowOff>
    </xdr:to>
    <xdr:pic>
      <xdr:nvPicPr>
        <xdr:cNvPr id="6" name="Picture 5">
          <a:extLst>
            <a:ext uri="{FF2B5EF4-FFF2-40B4-BE49-F238E27FC236}">
              <a16:creationId xmlns:a16="http://schemas.microsoft.com/office/drawing/2014/main" id="{B51742E9-AB44-5696-178B-8FAC8CB01EC9}"/>
            </a:ext>
            <a:ext uri="{147F2762-F138-4A5C-976F-8EAC2B608ADB}">
              <a16:predDERef xmlns:a16="http://schemas.microsoft.com/office/drawing/2014/main" pred="{5EF18D53-E983-603E-7876-F2A8F556D944}"/>
            </a:ext>
          </a:extLst>
        </xdr:cNvPr>
        <xdr:cNvPicPr>
          <a:picLocks noChangeAspect="1"/>
        </xdr:cNvPicPr>
      </xdr:nvPicPr>
      <xdr:blipFill>
        <a:blip xmlns:r="http://schemas.openxmlformats.org/officeDocument/2006/relationships" r:embed="rId4"/>
        <a:stretch>
          <a:fillRect/>
        </a:stretch>
      </xdr:blipFill>
      <xdr:spPr>
        <a:xfrm>
          <a:off x="1257300" y="7372350"/>
          <a:ext cx="10583752" cy="3448531"/>
        </a:xfrm>
        <a:prstGeom prst="rect">
          <a:avLst/>
        </a:prstGeom>
      </xdr:spPr>
    </xdr:pic>
    <xdr:clientData/>
  </xdr:twoCellAnchor>
  <xdr:twoCellAnchor editAs="oneCell">
    <xdr:from>
      <xdr:col>0</xdr:col>
      <xdr:colOff>0</xdr:colOff>
      <xdr:row>1</xdr:row>
      <xdr:rowOff>95250</xdr:rowOff>
    </xdr:from>
    <xdr:to>
      <xdr:col>17</xdr:col>
      <xdr:colOff>287236</xdr:colOff>
      <xdr:row>19</xdr:row>
      <xdr:rowOff>465</xdr:rowOff>
    </xdr:to>
    <xdr:pic>
      <xdr:nvPicPr>
        <xdr:cNvPr id="7" name="Picture 6">
          <a:extLst>
            <a:ext uri="{FF2B5EF4-FFF2-40B4-BE49-F238E27FC236}">
              <a16:creationId xmlns:a16="http://schemas.microsoft.com/office/drawing/2014/main" id="{781D34E6-2FD0-5591-D84B-128BFF1E6EA4}"/>
            </a:ext>
            <a:ext uri="{147F2762-F138-4A5C-976F-8EAC2B608ADB}">
              <a16:predDERef xmlns:a16="http://schemas.microsoft.com/office/drawing/2014/main" pred="{B51742E9-AB44-5696-178B-8FAC8CB01EC9}"/>
            </a:ext>
          </a:extLst>
        </xdr:cNvPr>
        <xdr:cNvPicPr>
          <a:picLocks noChangeAspect="1"/>
        </xdr:cNvPicPr>
      </xdr:nvPicPr>
      <xdr:blipFill>
        <a:blip xmlns:r="http://schemas.openxmlformats.org/officeDocument/2006/relationships" r:embed="rId5"/>
        <a:stretch>
          <a:fillRect/>
        </a:stretch>
      </xdr:blipFill>
      <xdr:spPr>
        <a:xfrm>
          <a:off x="0" y="285750"/>
          <a:ext cx="10650436" cy="33342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49"/>
  <sheetViews>
    <sheetView workbookViewId="0">
      <selection activeCell="I28" sqref="I28"/>
    </sheetView>
  </sheetViews>
  <sheetFormatPr defaultRowHeight="15" x14ac:dyDescent="0.25"/>
  <cols>
    <col min="2" max="2" width="25.140625" customWidth="1"/>
    <col min="3" max="3" width="14.5703125" customWidth="1"/>
    <col min="4" max="4" width="19.85546875" customWidth="1"/>
    <col min="5" max="5" width="12.28515625" customWidth="1"/>
    <col min="6" max="6" width="9.28515625" customWidth="1"/>
    <col min="7" max="7" width="33" customWidth="1"/>
    <col min="8" max="8" width="25.28515625" customWidth="1"/>
    <col min="9" max="9" width="15.140625" customWidth="1"/>
    <col min="10" max="10" width="23.28515625" customWidth="1"/>
    <col min="11" max="11" width="17" customWidth="1"/>
    <col min="12" max="12" width="36" customWidth="1"/>
    <col min="13" max="13" width="21.5703125" customWidth="1"/>
    <col min="14" max="14" width="26.7109375" customWidth="1"/>
    <col min="15" max="15" width="23.7109375" customWidth="1"/>
  </cols>
  <sheetData>
    <row r="1" spans="2:15" ht="15.75" thickBot="1" x14ac:dyDescent="0.3">
      <c r="B1" s="120" t="s">
        <v>0</v>
      </c>
      <c r="C1" s="122"/>
      <c r="D1" s="122"/>
      <c r="E1" s="121"/>
      <c r="G1" s="123" t="s">
        <v>1</v>
      </c>
      <c r="H1" s="124"/>
      <c r="I1" s="125"/>
    </row>
    <row r="2" spans="2:15" ht="15.75" thickBot="1" x14ac:dyDescent="0.3">
      <c r="B2" s="18" t="s">
        <v>2</v>
      </c>
      <c r="C2" s="29" t="s">
        <v>3</v>
      </c>
      <c r="D2" s="18" t="s">
        <v>4</v>
      </c>
      <c r="E2" s="18" t="s">
        <v>5</v>
      </c>
      <c r="G2" s="15" t="s">
        <v>6</v>
      </c>
      <c r="H2" s="15" t="s">
        <v>7</v>
      </c>
      <c r="I2" s="18" t="s">
        <v>8</v>
      </c>
      <c r="K2" s="128"/>
      <c r="L2" s="128"/>
      <c r="M2" s="128"/>
      <c r="N2" s="128"/>
      <c r="O2" s="128"/>
    </row>
    <row r="3" spans="2:15" x14ac:dyDescent="0.25">
      <c r="B3" s="3" t="s">
        <v>9</v>
      </c>
      <c r="C3" s="31">
        <v>2</v>
      </c>
      <c r="D3" s="33">
        <v>300000</v>
      </c>
      <c r="E3" s="36">
        <f>C3*D3</f>
        <v>600000</v>
      </c>
      <c r="G3" s="3" t="s">
        <v>10</v>
      </c>
      <c r="H3" s="14" t="s">
        <v>11</v>
      </c>
      <c r="I3" s="63">
        <f>O25</f>
        <v>13973199.999999998</v>
      </c>
      <c r="J3" s="96"/>
      <c r="K3" s="128"/>
      <c r="L3" s="128"/>
      <c r="M3" s="128"/>
      <c r="N3" s="128"/>
    </row>
    <row r="4" spans="2:15" ht="15.75" thickBot="1" x14ac:dyDescent="0.3">
      <c r="B4" s="3" t="s">
        <v>12</v>
      </c>
      <c r="C4" s="31">
        <v>2</v>
      </c>
      <c r="D4" s="33">
        <v>350000</v>
      </c>
      <c r="E4" s="36">
        <f>C4*D4</f>
        <v>700000</v>
      </c>
      <c r="G4" s="3" t="s">
        <v>13</v>
      </c>
      <c r="H4" s="14" t="s">
        <v>14</v>
      </c>
      <c r="I4" s="63">
        <f>N31</f>
        <v>1069068</v>
      </c>
      <c r="J4" s="96"/>
    </row>
    <row r="5" spans="2:15" ht="16.5" thickBot="1" x14ac:dyDescent="0.3">
      <c r="B5" s="3" t="s">
        <v>15</v>
      </c>
      <c r="C5" s="31">
        <v>1</v>
      </c>
      <c r="D5" s="33">
        <v>450000</v>
      </c>
      <c r="E5" s="36">
        <f>C5*D5</f>
        <v>450000</v>
      </c>
      <c r="G5" s="120" t="s">
        <v>16</v>
      </c>
      <c r="H5" s="122"/>
      <c r="I5" s="41">
        <f>SUM(I3:I4)</f>
        <v>15042267.999999998</v>
      </c>
      <c r="J5" s="96"/>
      <c r="L5" s="88" t="s">
        <v>17</v>
      </c>
      <c r="M5" s="89"/>
      <c r="N5" s="69"/>
      <c r="O5" s="69"/>
    </row>
    <row r="6" spans="2:15" ht="16.5" thickBot="1" x14ac:dyDescent="0.3">
      <c r="B6" s="3" t="s">
        <v>18</v>
      </c>
      <c r="C6" s="31">
        <v>2</v>
      </c>
      <c r="D6" s="33">
        <v>500000</v>
      </c>
      <c r="E6" s="36">
        <f>C6*D6</f>
        <v>1000000</v>
      </c>
      <c r="G6" s="14"/>
      <c r="H6" s="14"/>
      <c r="I6" s="14"/>
      <c r="J6" s="96"/>
      <c r="L6" s="42" t="s">
        <v>19</v>
      </c>
      <c r="M6" s="46" t="s">
        <v>20</v>
      </c>
      <c r="N6" s="87"/>
      <c r="O6" s="87"/>
    </row>
    <row r="7" spans="2:15" ht="16.5" thickBot="1" x14ac:dyDescent="0.3">
      <c r="G7" s="14"/>
      <c r="H7" s="14"/>
      <c r="I7" s="14"/>
      <c r="J7" s="96"/>
      <c r="L7" t="s">
        <v>21</v>
      </c>
      <c r="M7" s="90">
        <v>5</v>
      </c>
      <c r="N7" s="68"/>
      <c r="O7" s="68"/>
    </row>
    <row r="8" spans="2:15" ht="16.5" thickBot="1" x14ac:dyDescent="0.3">
      <c r="B8" s="3"/>
      <c r="C8" s="31"/>
      <c r="D8" s="33"/>
      <c r="E8" s="36"/>
      <c r="G8" s="15" t="s">
        <v>22</v>
      </c>
      <c r="H8" s="18" t="s">
        <v>7</v>
      </c>
      <c r="I8" s="13" t="s">
        <v>8</v>
      </c>
      <c r="J8" s="96"/>
      <c r="L8" s="44" t="s">
        <v>23</v>
      </c>
      <c r="M8" s="91">
        <f>M7*48</f>
        <v>240</v>
      </c>
      <c r="N8" s="68"/>
      <c r="O8" s="68"/>
    </row>
    <row r="9" spans="2:15" ht="15.75" x14ac:dyDescent="0.25">
      <c r="B9" s="3"/>
      <c r="C9" s="31"/>
      <c r="D9" s="33"/>
      <c r="E9" s="36"/>
      <c r="G9" s="23" t="s">
        <v>24</v>
      </c>
      <c r="H9" s="23" t="s">
        <v>25</v>
      </c>
      <c r="I9" s="26">
        <f>(0.3*E47)</f>
        <v>2945250</v>
      </c>
      <c r="J9" s="96"/>
      <c r="L9" s="43" t="s">
        <v>26</v>
      </c>
      <c r="M9" s="86">
        <f>365*3</f>
        <v>1095</v>
      </c>
      <c r="N9" s="68"/>
      <c r="O9" s="68"/>
    </row>
    <row r="10" spans="2:15" ht="15.75" x14ac:dyDescent="0.25">
      <c r="B10" s="3"/>
      <c r="C10" s="31"/>
      <c r="D10" s="33"/>
      <c r="E10" s="36"/>
      <c r="G10" s="24" t="s">
        <v>27</v>
      </c>
      <c r="H10" s="24" t="s">
        <v>28</v>
      </c>
      <c r="I10" s="27">
        <f>M15</f>
        <v>1163240.3999999999</v>
      </c>
      <c r="J10" s="96"/>
      <c r="L10" s="44" t="s">
        <v>29</v>
      </c>
      <c r="M10" s="91">
        <f>C19</f>
        <v>7</v>
      </c>
      <c r="N10" s="68"/>
      <c r="O10" s="68"/>
    </row>
    <row r="11" spans="2:15" ht="15.75" x14ac:dyDescent="0.25">
      <c r="B11" s="3"/>
      <c r="C11" s="31"/>
      <c r="D11" s="33"/>
      <c r="E11" s="36"/>
      <c r="G11" s="24" t="s">
        <v>30</v>
      </c>
      <c r="H11" s="24" t="s">
        <v>31</v>
      </c>
      <c r="I11" s="27">
        <f>0.25*I10</f>
        <v>290810.09999999998</v>
      </c>
      <c r="J11" s="96"/>
      <c r="L11" s="92" t="s">
        <v>32</v>
      </c>
      <c r="M11" s="93">
        <f>M10*M13</f>
        <v>31.9375</v>
      </c>
      <c r="N11" s="68"/>
      <c r="O11" s="68"/>
    </row>
    <row r="12" spans="2:15" ht="15.75" x14ac:dyDescent="0.25">
      <c r="B12" s="3"/>
      <c r="C12" s="31"/>
      <c r="D12" s="35"/>
      <c r="E12" s="36"/>
      <c r="G12" s="24" t="s">
        <v>33</v>
      </c>
      <c r="H12" s="24" t="s">
        <v>34</v>
      </c>
      <c r="I12" s="27">
        <f>0.45*(I10+I11)</f>
        <v>654322.72499999998</v>
      </c>
      <c r="J12" s="96"/>
      <c r="K12" s="96"/>
      <c r="L12" s="65" t="s">
        <v>35</v>
      </c>
      <c r="M12" s="91">
        <v>18.97</v>
      </c>
      <c r="N12" s="68"/>
      <c r="O12" s="68"/>
    </row>
    <row r="13" spans="2:15" ht="15.75" x14ac:dyDescent="0.25">
      <c r="B13" s="3"/>
      <c r="C13" s="31"/>
      <c r="D13" s="33"/>
      <c r="E13" s="36"/>
      <c r="G13" s="24" t="s">
        <v>36</v>
      </c>
      <c r="H13" s="24" t="s">
        <v>37</v>
      </c>
      <c r="I13" s="27">
        <f>(0.05*E47)</f>
        <v>490875</v>
      </c>
      <c r="J13" s="96"/>
      <c r="L13" s="65" t="s">
        <v>38</v>
      </c>
      <c r="M13" s="91">
        <f>M9/M8</f>
        <v>4.5625</v>
      </c>
      <c r="N13" s="68"/>
      <c r="O13" s="68"/>
    </row>
    <row r="14" spans="2:15" ht="15.75" x14ac:dyDescent="0.25">
      <c r="B14" s="3"/>
      <c r="C14" s="31"/>
      <c r="D14" s="33"/>
      <c r="E14" s="36"/>
      <c r="G14" s="24" t="s">
        <v>39</v>
      </c>
      <c r="H14" s="24" t="s">
        <v>40</v>
      </c>
      <c r="I14" s="27">
        <f>(0.1*E47)</f>
        <v>981750</v>
      </c>
      <c r="J14" s="96"/>
      <c r="L14" s="44" t="s">
        <v>41</v>
      </c>
      <c r="M14" s="91">
        <f>M8*8*M12</f>
        <v>36422.399999999994</v>
      </c>
      <c r="N14" s="68"/>
      <c r="O14" s="68"/>
    </row>
    <row r="15" spans="2:15" ht="16.5" thickBot="1" x14ac:dyDescent="0.3">
      <c r="B15" s="3"/>
      <c r="C15" s="31"/>
      <c r="D15" s="33"/>
      <c r="E15" s="36"/>
      <c r="G15" s="25" t="s">
        <v>42</v>
      </c>
      <c r="H15" s="25" t="s">
        <v>43</v>
      </c>
      <c r="I15" s="28">
        <f>(0.01*E47)</f>
        <v>98175</v>
      </c>
      <c r="J15" s="96"/>
      <c r="L15" s="44" t="s">
        <v>44</v>
      </c>
      <c r="M15" s="94">
        <f>M14*M11</f>
        <v>1163240.3999999999</v>
      </c>
      <c r="N15" s="68"/>
      <c r="O15" s="68"/>
    </row>
    <row r="16" spans="2:15" ht="16.5" thickBot="1" x14ac:dyDescent="0.3">
      <c r="B16" s="3"/>
      <c r="C16" s="31"/>
      <c r="D16" s="33"/>
      <c r="E16" s="36"/>
      <c r="G16" s="126" t="s">
        <v>16</v>
      </c>
      <c r="H16" s="127"/>
      <c r="I16" s="19">
        <f>SUM(I9:I15)</f>
        <v>6624423.2249999996</v>
      </c>
      <c r="J16" s="96"/>
      <c r="L16" s="44"/>
      <c r="M16" s="91"/>
      <c r="N16" s="68"/>
      <c r="O16" s="68"/>
    </row>
    <row r="17" spans="2:15" ht="16.5" thickBot="1" x14ac:dyDescent="0.3">
      <c r="B17" s="3"/>
      <c r="C17" s="31"/>
      <c r="D17" s="33"/>
      <c r="E17" s="36"/>
      <c r="G17" s="120" t="s">
        <v>45</v>
      </c>
      <c r="H17" s="122"/>
      <c r="I17" s="19">
        <f>I5+I16</f>
        <v>21666691.224999998</v>
      </c>
      <c r="J17" s="96"/>
      <c r="L17" s="45"/>
      <c r="M17" s="95"/>
      <c r="N17" s="68"/>
      <c r="O17" s="68"/>
    </row>
    <row r="18" spans="2:15" ht="15.75" thickBot="1" x14ac:dyDescent="0.3">
      <c r="B18" s="3"/>
      <c r="C18" s="31"/>
      <c r="D18" s="33"/>
      <c r="E18" s="36"/>
      <c r="G18" s="14"/>
      <c r="H18" s="14"/>
      <c r="I18" s="14"/>
      <c r="J18" s="96"/>
    </row>
    <row r="19" spans="2:15" ht="16.5" thickBot="1" x14ac:dyDescent="0.3">
      <c r="B19" s="5"/>
      <c r="C19" s="32">
        <f>SUM(C3:C6)</f>
        <v>7</v>
      </c>
      <c r="D19" s="34"/>
      <c r="E19" s="37"/>
      <c r="G19" s="120" t="s">
        <v>46</v>
      </c>
      <c r="H19" s="122"/>
      <c r="I19" s="121"/>
      <c r="J19" s="96"/>
      <c r="L19" s="65"/>
      <c r="M19" s="65"/>
      <c r="N19" s="65"/>
      <c r="O19" s="66"/>
    </row>
    <row r="20" spans="2:15" ht="16.5" thickBot="1" x14ac:dyDescent="0.3">
      <c r="B20" s="141" t="s">
        <v>212</v>
      </c>
      <c r="C20" s="141"/>
      <c r="D20" s="141"/>
      <c r="E20" s="141"/>
      <c r="G20" s="18" t="s">
        <v>47</v>
      </c>
      <c r="H20" s="18" t="s">
        <v>48</v>
      </c>
      <c r="I20" s="18" t="s">
        <v>8</v>
      </c>
      <c r="J20" s="96"/>
      <c r="L20" s="69"/>
      <c r="M20" s="69"/>
      <c r="N20" s="69"/>
      <c r="O20" s="69"/>
    </row>
    <row r="21" spans="2:15" ht="15.75" thickBot="1" x14ac:dyDescent="0.3">
      <c r="G21" s="3" t="s">
        <v>49</v>
      </c>
      <c r="H21" s="14" t="s">
        <v>50</v>
      </c>
      <c r="I21" s="6">
        <f>0.15*I17</f>
        <v>3250003.6837499994</v>
      </c>
      <c r="J21" s="96"/>
      <c r="L21" s="15" t="s">
        <v>51</v>
      </c>
      <c r="M21" s="20"/>
      <c r="N21" s="60"/>
      <c r="O21" s="60"/>
    </row>
    <row r="22" spans="2:15" ht="15.75" thickBot="1" x14ac:dyDescent="0.3">
      <c r="B22" s="120" t="s">
        <v>52</v>
      </c>
      <c r="C22" s="122"/>
      <c r="D22" s="122"/>
      <c r="E22" s="38">
        <f>SUM(E3:E17)+E19+E18</f>
        <v>2750000</v>
      </c>
      <c r="G22" s="3" t="s">
        <v>53</v>
      </c>
      <c r="H22" s="14" t="s">
        <v>54</v>
      </c>
      <c r="I22" s="6">
        <f>(0.15*I17)</f>
        <v>3250003.6837499994</v>
      </c>
      <c r="J22" s="96"/>
      <c r="L22" s="23" t="s">
        <v>55</v>
      </c>
      <c r="M22" s="4">
        <v>0.34932999999999997</v>
      </c>
      <c r="N22" s="85">
        <v>40000000</v>
      </c>
      <c r="O22" s="58">
        <f>N22*M22</f>
        <v>13973199.999999998</v>
      </c>
    </row>
    <row r="23" spans="2:15" ht="15.75" thickBot="1" x14ac:dyDescent="0.3">
      <c r="G23" s="3" t="s">
        <v>56</v>
      </c>
      <c r="H23" s="14" t="s">
        <v>57</v>
      </c>
      <c r="I23" s="6">
        <f>0.3*M15</f>
        <v>348972.11999999994</v>
      </c>
      <c r="J23" s="96"/>
      <c r="L23" s="24"/>
      <c r="M23" s="6"/>
      <c r="N23" s="58"/>
      <c r="O23" s="61"/>
    </row>
    <row r="24" spans="2:15" ht="15.75" thickBot="1" x14ac:dyDescent="0.3">
      <c r="B24" s="120" t="s">
        <v>58</v>
      </c>
      <c r="C24" s="122"/>
      <c r="D24" s="122"/>
      <c r="E24" s="121"/>
      <c r="G24" s="21" t="s">
        <v>59</v>
      </c>
      <c r="H24" s="22"/>
      <c r="I24" s="7">
        <f>I21+I22+I23</f>
        <v>6848979.4874999989</v>
      </c>
      <c r="J24" s="96"/>
      <c r="L24" s="24"/>
      <c r="M24" s="6"/>
      <c r="N24" s="58"/>
      <c r="O24" s="58"/>
    </row>
    <row r="25" spans="2:15" ht="15.75" thickBot="1" x14ac:dyDescent="0.3">
      <c r="B25" s="126" t="s">
        <v>60</v>
      </c>
      <c r="C25" s="127"/>
      <c r="D25" s="127"/>
      <c r="E25" s="7">
        <f>E22</f>
        <v>2750000</v>
      </c>
      <c r="G25" s="14"/>
      <c r="H25" s="14"/>
      <c r="I25" s="14"/>
      <c r="J25" s="96"/>
      <c r="L25" s="18" t="s">
        <v>61</v>
      </c>
      <c r="M25" s="19">
        <f>M23+M24</f>
        <v>0</v>
      </c>
      <c r="N25" s="59"/>
      <c r="O25" s="62">
        <f>O22+O23+O24</f>
        <v>13973199.999999998</v>
      </c>
    </row>
    <row r="26" spans="2:15" ht="16.5" thickBot="1" x14ac:dyDescent="0.3">
      <c r="B26" s="15" t="s">
        <v>62</v>
      </c>
      <c r="C26" s="122" t="s">
        <v>7</v>
      </c>
      <c r="D26" s="122"/>
      <c r="E26" s="13" t="s">
        <v>8</v>
      </c>
      <c r="G26" s="14"/>
      <c r="H26" s="14"/>
      <c r="I26" s="14"/>
      <c r="J26" s="96"/>
      <c r="L26" s="65"/>
      <c r="M26" s="67"/>
      <c r="N26" s="68"/>
      <c r="O26" s="68"/>
    </row>
    <row r="27" spans="2:15" ht="16.5" thickBot="1" x14ac:dyDescent="0.3">
      <c r="B27" s="3" t="s">
        <v>63</v>
      </c>
      <c r="C27" s="130" t="s">
        <v>64</v>
      </c>
      <c r="D27" s="130"/>
      <c r="E27" s="6">
        <f>(0.45*E22)</f>
        <v>1237500</v>
      </c>
      <c r="G27" s="14"/>
      <c r="H27" s="14"/>
      <c r="I27" s="14"/>
      <c r="J27" s="96"/>
      <c r="L27" s="65"/>
      <c r="M27" s="67"/>
      <c r="N27" s="68"/>
      <c r="O27" s="68"/>
    </row>
    <row r="28" spans="2:15" ht="16.5" thickBot="1" x14ac:dyDescent="0.3">
      <c r="B28" s="3" t="s">
        <v>65</v>
      </c>
      <c r="C28" s="130" t="s">
        <v>66</v>
      </c>
      <c r="D28" s="130"/>
      <c r="E28" s="6">
        <f>(0.3*E22)</f>
        <v>825000</v>
      </c>
      <c r="G28" s="120" t="s">
        <v>67</v>
      </c>
      <c r="H28" s="122"/>
      <c r="I28" s="41">
        <f>I24+I17</f>
        <v>28515670.712499999</v>
      </c>
      <c r="J28" s="96"/>
      <c r="L28" s="65"/>
      <c r="M28" s="67"/>
      <c r="N28" s="68"/>
      <c r="O28" s="68"/>
    </row>
    <row r="29" spans="2:15" ht="16.5" thickBot="1" x14ac:dyDescent="0.3">
      <c r="B29" s="3" t="s">
        <v>68</v>
      </c>
      <c r="C29" s="130" t="s">
        <v>69</v>
      </c>
      <c r="D29" s="130"/>
      <c r="E29" s="6">
        <f>(0.2*E22)</f>
        <v>550000</v>
      </c>
      <c r="G29" s="128"/>
      <c r="H29" s="128"/>
      <c r="L29" s="8" t="s">
        <v>70</v>
      </c>
      <c r="M29" s="9">
        <f>N47</f>
        <v>9718800</v>
      </c>
      <c r="N29" s="10"/>
      <c r="O29" s="68"/>
    </row>
    <row r="30" spans="2:15" ht="16.5" thickBot="1" x14ac:dyDescent="0.3">
      <c r="B30" s="3" t="s">
        <v>71</v>
      </c>
      <c r="C30" s="130" t="s">
        <v>66</v>
      </c>
      <c r="D30" s="130"/>
      <c r="E30" s="6">
        <f>(0.3*E22)</f>
        <v>825000</v>
      </c>
      <c r="G30" s="128"/>
      <c r="H30" s="128"/>
      <c r="L30" s="11" t="s">
        <v>72</v>
      </c>
      <c r="M30" s="12" t="s">
        <v>73</v>
      </c>
      <c r="N30" s="13" t="s">
        <v>74</v>
      </c>
      <c r="O30" s="68"/>
    </row>
    <row r="31" spans="2:15" ht="15.75" x14ac:dyDescent="0.25">
      <c r="B31" s="3" t="s">
        <v>75</v>
      </c>
      <c r="C31" s="130" t="s">
        <v>69</v>
      </c>
      <c r="D31" s="130"/>
      <c r="E31" s="6">
        <f>(0.2*E22)</f>
        <v>550000</v>
      </c>
      <c r="G31" t="s">
        <v>206</v>
      </c>
      <c r="H31" t="s">
        <v>208</v>
      </c>
      <c r="L31" s="3" t="s">
        <v>76</v>
      </c>
      <c r="M31" s="14">
        <v>0.11</v>
      </c>
      <c r="N31" s="6">
        <f>M31*M29</f>
        <v>1069068</v>
      </c>
      <c r="O31" s="68"/>
    </row>
    <row r="32" spans="2:15" ht="15.75" x14ac:dyDescent="0.25">
      <c r="B32" s="3" t="s">
        <v>77</v>
      </c>
      <c r="C32" s="130" t="s">
        <v>78</v>
      </c>
      <c r="D32" s="130"/>
      <c r="E32" s="6">
        <f>(0.1*E22)</f>
        <v>275000</v>
      </c>
      <c r="G32" t="s">
        <v>207</v>
      </c>
      <c r="L32" s="3"/>
      <c r="M32" s="14"/>
      <c r="N32" s="6"/>
      <c r="O32" s="68"/>
    </row>
    <row r="33" spans="2:15" ht="15.75" x14ac:dyDescent="0.25">
      <c r="B33" s="3"/>
      <c r="C33" s="130"/>
      <c r="D33" s="130"/>
      <c r="E33" s="6"/>
      <c r="L33" s="3"/>
      <c r="M33" s="14"/>
      <c r="N33" s="6"/>
      <c r="O33" s="68"/>
    </row>
    <row r="34" spans="2:15" ht="15.75" x14ac:dyDescent="0.25">
      <c r="B34" s="39"/>
      <c r="C34" s="130"/>
      <c r="D34" s="130"/>
      <c r="E34" s="6"/>
      <c r="G34">
        <v>300000</v>
      </c>
      <c r="H34" s="96">
        <f>(G34/$G$38)*100</f>
        <v>10.909090909090908</v>
      </c>
      <c r="L34" s="3"/>
      <c r="M34" s="14"/>
      <c r="N34" s="6"/>
      <c r="O34" s="66"/>
    </row>
    <row r="35" spans="2:15" ht="16.5" thickBot="1" x14ac:dyDescent="0.3">
      <c r="B35" s="39"/>
      <c r="C35" s="130"/>
      <c r="D35" s="130"/>
      <c r="E35" s="6"/>
      <c r="G35">
        <v>350000</v>
      </c>
      <c r="H35" s="96">
        <f t="shared" ref="H35:H38" si="0">(G35/$G$38)*100</f>
        <v>12.727272727272727</v>
      </c>
      <c r="L35" s="3"/>
      <c r="M35" s="14"/>
      <c r="N35" s="6"/>
      <c r="O35" s="66"/>
    </row>
    <row r="36" spans="2:15" ht="15.75" thickBot="1" x14ac:dyDescent="0.3">
      <c r="B36" s="120" t="s">
        <v>79</v>
      </c>
      <c r="C36" s="122"/>
      <c r="D36" s="122"/>
      <c r="E36" s="40">
        <f>SUM(E27:E35)</f>
        <v>4262500</v>
      </c>
      <c r="G36">
        <v>450000</v>
      </c>
      <c r="H36" s="96">
        <f t="shared" si="0"/>
        <v>16.363636363636363</v>
      </c>
      <c r="L36" s="15" t="s">
        <v>80</v>
      </c>
      <c r="M36" s="16"/>
      <c r="N36" s="17"/>
    </row>
    <row r="37" spans="2:15" ht="15.75" thickBot="1" x14ac:dyDescent="0.3">
      <c r="B37" s="120" t="s">
        <v>81</v>
      </c>
      <c r="C37" s="122"/>
      <c r="D37" s="122"/>
      <c r="E37" s="40">
        <f>(E36+E22)</f>
        <v>7012500</v>
      </c>
      <c r="G37">
        <v>500000</v>
      </c>
      <c r="H37" s="96">
        <f t="shared" si="0"/>
        <v>18.181818181818183</v>
      </c>
    </row>
    <row r="38" spans="2:15" ht="15.75" thickBot="1" x14ac:dyDescent="0.3">
      <c r="G38" s="96">
        <f>E22</f>
        <v>2750000</v>
      </c>
      <c r="H38" s="96">
        <f t="shared" si="0"/>
        <v>100</v>
      </c>
    </row>
    <row r="39" spans="2:15" ht="15.75" thickBot="1" x14ac:dyDescent="0.3">
      <c r="L39" s="70" t="s">
        <v>82</v>
      </c>
      <c r="M39" s="71" t="s">
        <v>83</v>
      </c>
      <c r="N39" s="72"/>
    </row>
    <row r="40" spans="2:15" ht="15.75" thickBot="1" x14ac:dyDescent="0.3">
      <c r="B40" s="120" t="s">
        <v>84</v>
      </c>
      <c r="C40" s="122"/>
      <c r="D40" s="122"/>
      <c r="E40" s="121"/>
      <c r="L40" s="73"/>
      <c r="N40" s="74"/>
    </row>
    <row r="41" spans="2:15" ht="15.75" thickBot="1" x14ac:dyDescent="0.3">
      <c r="B41" s="120" t="s">
        <v>81</v>
      </c>
      <c r="C41" s="122"/>
      <c r="D41" s="121"/>
      <c r="E41" s="18">
        <f>E37</f>
        <v>7012500</v>
      </c>
      <c r="L41" s="73" t="s">
        <v>85</v>
      </c>
      <c r="M41">
        <f>111.855*8000</f>
        <v>894840</v>
      </c>
      <c r="N41" s="74">
        <f>M41*2</f>
        <v>1789680</v>
      </c>
    </row>
    <row r="42" spans="2:15" x14ac:dyDescent="0.25">
      <c r="B42" s="23" t="s">
        <v>86</v>
      </c>
      <c r="C42" s="123" t="s">
        <v>7</v>
      </c>
      <c r="D42" s="124"/>
      <c r="E42" s="30" t="s">
        <v>8</v>
      </c>
      <c r="L42" s="73" t="s">
        <v>87</v>
      </c>
      <c r="M42">
        <f>272*8000</f>
        <v>2176000</v>
      </c>
      <c r="N42" s="74">
        <f>M42*2</f>
        <v>4352000</v>
      </c>
    </row>
    <row r="43" spans="2:15" x14ac:dyDescent="0.25">
      <c r="B43" s="24" t="s">
        <v>88</v>
      </c>
      <c r="C43" s="129" t="s">
        <v>89</v>
      </c>
      <c r="D43" s="130"/>
      <c r="E43" s="27">
        <f>(0.25*E37)</f>
        <v>1753125</v>
      </c>
      <c r="L43" s="73" t="s">
        <v>90</v>
      </c>
      <c r="M43">
        <f>298*8000</f>
        <v>2384000</v>
      </c>
      <c r="N43" s="74">
        <f>M43</f>
        <v>2384000</v>
      </c>
    </row>
    <row r="44" spans="2:15" x14ac:dyDescent="0.25">
      <c r="B44" s="24" t="s">
        <v>91</v>
      </c>
      <c r="C44" s="129" t="s">
        <v>92</v>
      </c>
      <c r="D44" s="130"/>
      <c r="E44" s="27">
        <f>(0.05*E37)</f>
        <v>350625</v>
      </c>
      <c r="L44" s="73" t="s">
        <v>93</v>
      </c>
      <c r="M44">
        <f>149.14*8000</f>
        <v>1193120</v>
      </c>
      <c r="N44" s="74">
        <f>M44</f>
        <v>1193120</v>
      </c>
    </row>
    <row r="45" spans="2:15" ht="15.75" thickBot="1" x14ac:dyDescent="0.3">
      <c r="B45" s="25" t="s">
        <v>94</v>
      </c>
      <c r="C45" s="126" t="s">
        <v>95</v>
      </c>
      <c r="D45" s="127"/>
      <c r="E45" s="27">
        <f>(0.1*E37)</f>
        <v>701250</v>
      </c>
      <c r="L45" s="73"/>
      <c r="N45" s="74"/>
    </row>
    <row r="46" spans="2:15" ht="15.75" thickBot="1" x14ac:dyDescent="0.3">
      <c r="B46" s="129" t="s">
        <v>96</v>
      </c>
      <c r="C46" s="130"/>
      <c r="D46" s="130"/>
      <c r="E46" s="19">
        <f>E43+E44+E45</f>
        <v>2805000</v>
      </c>
      <c r="L46" s="73" t="s">
        <v>61</v>
      </c>
      <c r="M46">
        <f>SUM(M40:M44)</f>
        <v>6647960</v>
      </c>
      <c r="N46" s="74"/>
    </row>
    <row r="47" spans="2:15" ht="15.75" thickBot="1" x14ac:dyDescent="0.3">
      <c r="B47" s="129" t="s">
        <v>97</v>
      </c>
      <c r="C47" s="130"/>
      <c r="D47" s="130"/>
      <c r="E47" s="41">
        <f>E46+E37</f>
        <v>9817500</v>
      </c>
      <c r="L47" s="75"/>
      <c r="M47" s="76"/>
      <c r="N47" s="77">
        <f>SUM(N41:N44)</f>
        <v>9718800</v>
      </c>
    </row>
    <row r="48" spans="2:15" ht="15.75" thickBot="1" x14ac:dyDescent="0.3">
      <c r="B48" s="15" t="s">
        <v>98</v>
      </c>
      <c r="C48" s="120" t="s">
        <v>99</v>
      </c>
      <c r="D48" s="121"/>
      <c r="E48" s="19">
        <f>0.15*E49</f>
        <v>1732500</v>
      </c>
    </row>
    <row r="49" spans="2:5" ht="15.75" thickBot="1" x14ac:dyDescent="0.3">
      <c r="B49" s="120" t="s">
        <v>100</v>
      </c>
      <c r="C49" s="122"/>
      <c r="D49" s="122"/>
      <c r="E49" s="41">
        <f>E47/0.85</f>
        <v>11550000</v>
      </c>
    </row>
  </sheetData>
  <mergeCells count="37">
    <mergeCell ref="K2:O2"/>
    <mergeCell ref="K3:N3"/>
    <mergeCell ref="C29:D29"/>
    <mergeCell ref="C30:D30"/>
    <mergeCell ref="C26:D26"/>
    <mergeCell ref="B20:E20"/>
    <mergeCell ref="B37:D37"/>
    <mergeCell ref="B40:E40"/>
    <mergeCell ref="B41:D41"/>
    <mergeCell ref="B47:D47"/>
    <mergeCell ref="B1:E1"/>
    <mergeCell ref="B24:E24"/>
    <mergeCell ref="B25:D25"/>
    <mergeCell ref="C27:D27"/>
    <mergeCell ref="C28:D28"/>
    <mergeCell ref="C33:D33"/>
    <mergeCell ref="C34:D34"/>
    <mergeCell ref="C35:D35"/>
    <mergeCell ref="B22:D22"/>
    <mergeCell ref="C31:D31"/>
    <mergeCell ref="C32:D32"/>
    <mergeCell ref="C48:D48"/>
    <mergeCell ref="B49:D49"/>
    <mergeCell ref="G1:I1"/>
    <mergeCell ref="G5:H5"/>
    <mergeCell ref="G16:H16"/>
    <mergeCell ref="G19:I19"/>
    <mergeCell ref="G17:H17"/>
    <mergeCell ref="G28:H28"/>
    <mergeCell ref="G29:H29"/>
    <mergeCell ref="G30:H30"/>
    <mergeCell ref="C42:D42"/>
    <mergeCell ref="C43:D43"/>
    <mergeCell ref="C44:D44"/>
    <mergeCell ref="C45:D45"/>
    <mergeCell ref="B46:D46"/>
    <mergeCell ref="B36:D3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T47"/>
  <sheetViews>
    <sheetView topLeftCell="F11" workbookViewId="0">
      <selection activeCell="H43" sqref="H43"/>
    </sheetView>
  </sheetViews>
  <sheetFormatPr defaultRowHeight="15" x14ac:dyDescent="0.25"/>
  <cols>
    <col min="3" max="3" width="30" customWidth="1"/>
    <col min="4" max="4" width="24" customWidth="1"/>
    <col min="5" max="5" width="23.5703125" customWidth="1"/>
    <col min="6" max="6" width="23.28515625" customWidth="1"/>
    <col min="7" max="7" width="32.42578125" customWidth="1"/>
    <col min="8" max="8" width="27.7109375" customWidth="1"/>
    <col min="9" max="9" width="27.28515625" customWidth="1"/>
    <col min="10" max="10" width="22.140625" customWidth="1"/>
    <col min="11" max="11" width="14" bestFit="1" customWidth="1"/>
    <col min="13" max="13" width="22.85546875" customWidth="1"/>
    <col min="14" max="14" width="12.85546875" bestFit="1" customWidth="1"/>
    <col min="16" max="16" width="19.7109375" customWidth="1"/>
    <col min="17" max="17" width="14.28515625" bestFit="1" customWidth="1"/>
  </cols>
  <sheetData>
    <row r="3" spans="3:20" ht="15.75" thickBot="1" x14ac:dyDescent="0.3"/>
    <row r="4" spans="3:20" ht="15.75" thickBot="1" x14ac:dyDescent="0.3">
      <c r="C4" s="120" t="s">
        <v>101</v>
      </c>
      <c r="D4" s="122"/>
      <c r="E4" s="122"/>
      <c r="F4" s="121"/>
      <c r="G4" s="64"/>
      <c r="H4" s="64"/>
      <c r="I4" s="14"/>
      <c r="J4" s="14"/>
      <c r="K4" s="14"/>
      <c r="L4" s="14"/>
      <c r="M4" s="14"/>
      <c r="N4" s="14"/>
      <c r="O4" s="14"/>
      <c r="P4" s="14"/>
    </row>
    <row r="5" spans="3:20" ht="15.75" thickBot="1" x14ac:dyDescent="0.3">
      <c r="C5" s="18" t="s">
        <v>102</v>
      </c>
      <c r="D5" s="18" t="s">
        <v>103</v>
      </c>
      <c r="E5" s="29" t="s">
        <v>104</v>
      </c>
      <c r="F5" s="18" t="s">
        <v>105</v>
      </c>
      <c r="G5" s="14"/>
      <c r="H5" s="14"/>
      <c r="I5" s="14"/>
      <c r="J5" s="23"/>
      <c r="K5" s="48"/>
      <c r="L5" s="14"/>
      <c r="M5" s="15" t="s">
        <v>106</v>
      </c>
      <c r="N5" s="20">
        <v>5.5</v>
      </c>
      <c r="O5" s="14"/>
      <c r="P5" s="23" t="s">
        <v>107</v>
      </c>
      <c r="Q5" s="48">
        <f>(F9-'Investment &amp; Production Cost'!I28)</f>
        <v>7484713.2875000015</v>
      </c>
    </row>
    <row r="6" spans="3:20" ht="15.75" thickBot="1" x14ac:dyDescent="0.3">
      <c r="C6" s="24" t="s">
        <v>108</v>
      </c>
      <c r="D6" s="47">
        <v>2.84</v>
      </c>
      <c r="E6" s="33">
        <v>5529600</v>
      </c>
      <c r="F6" s="27">
        <f>(D6*E6)</f>
        <v>15704064</v>
      </c>
      <c r="G6" s="79"/>
      <c r="H6" s="79"/>
      <c r="I6" s="14"/>
      <c r="J6" s="24"/>
      <c r="K6" s="6"/>
      <c r="L6" s="14"/>
      <c r="M6" s="14"/>
      <c r="N6" s="14"/>
      <c r="O6" s="14"/>
      <c r="S6" t="s">
        <v>109</v>
      </c>
      <c r="T6">
        <v>0.25</v>
      </c>
    </row>
    <row r="7" spans="3:20" ht="15.75" thickBot="1" x14ac:dyDescent="0.3">
      <c r="C7" s="25" t="s">
        <v>110</v>
      </c>
      <c r="D7" s="25">
        <v>0.8</v>
      </c>
      <c r="E7" s="34">
        <v>23270400</v>
      </c>
      <c r="F7" s="28">
        <f>(D7*E7)</f>
        <v>18616320</v>
      </c>
      <c r="G7" s="79"/>
      <c r="H7" s="79"/>
      <c r="I7" s="14"/>
      <c r="J7" s="24"/>
      <c r="K7" s="6"/>
      <c r="L7" s="14"/>
      <c r="M7" s="23" t="s">
        <v>111</v>
      </c>
      <c r="N7" s="49">
        <f>R10</f>
        <v>9817500</v>
      </c>
      <c r="O7" s="14"/>
      <c r="P7" s="24" t="s">
        <v>112</v>
      </c>
      <c r="Q7" s="6">
        <f>(0.25*Q5)</f>
        <v>1871178.3218750004</v>
      </c>
    </row>
    <row r="8" spans="3:20" ht="15.75" thickBot="1" x14ac:dyDescent="0.3">
      <c r="C8" s="14" t="s">
        <v>113</v>
      </c>
      <c r="D8">
        <v>0.15</v>
      </c>
      <c r="E8" s="78">
        <v>11200000</v>
      </c>
      <c r="F8">
        <f>D8*E8</f>
        <v>1680000</v>
      </c>
      <c r="I8" s="14"/>
      <c r="J8" s="25"/>
      <c r="K8" s="7"/>
      <c r="L8" s="14"/>
      <c r="M8" s="24" t="s">
        <v>114</v>
      </c>
      <c r="N8" s="50">
        <f>(0.1*R10)</f>
        <v>981750</v>
      </c>
      <c r="O8" s="14"/>
      <c r="P8" s="25" t="s">
        <v>115</v>
      </c>
      <c r="Q8" s="7">
        <f>Q5-Q7</f>
        <v>5613534.9656250011</v>
      </c>
    </row>
    <row r="9" spans="3:20" ht="15.75" thickBot="1" x14ac:dyDescent="0.3">
      <c r="C9" s="15" t="s">
        <v>116</v>
      </c>
      <c r="D9" s="16"/>
      <c r="E9" s="38">
        <f>SUM(E6:E8)</f>
        <v>40000000</v>
      </c>
      <c r="F9" s="17">
        <f>(F6+F7+F8)</f>
        <v>36000384</v>
      </c>
      <c r="G9" s="79"/>
      <c r="H9" s="79"/>
      <c r="I9" s="14"/>
      <c r="J9" s="14"/>
      <c r="K9" s="14"/>
      <c r="L9" s="14"/>
      <c r="M9" s="24" t="s">
        <v>117</v>
      </c>
      <c r="N9" s="50">
        <v>20</v>
      </c>
      <c r="O9" s="14"/>
    </row>
    <row r="10" spans="3:20" ht="15.75" thickBot="1" x14ac:dyDescent="0.3">
      <c r="C10" s="14"/>
      <c r="D10" s="14"/>
      <c r="E10" s="14"/>
      <c r="F10" s="14"/>
      <c r="G10" s="14"/>
      <c r="H10" s="14"/>
      <c r="I10" s="14"/>
      <c r="J10" s="14"/>
      <c r="K10" s="14"/>
      <c r="L10" s="14"/>
      <c r="M10" s="25" t="s">
        <v>118</v>
      </c>
      <c r="N10" s="51">
        <f>(N7-N8)/N9</f>
        <v>441787.5</v>
      </c>
      <c r="O10" s="14"/>
      <c r="P10" s="15" t="s">
        <v>119</v>
      </c>
      <c r="Q10" s="1"/>
      <c r="R10" s="2">
        <f>'Investment &amp; Production Cost'!E47</f>
        <v>9817500</v>
      </c>
    </row>
    <row r="11" spans="3:20" x14ac:dyDescent="0.25">
      <c r="C11" s="14" t="s">
        <v>120</v>
      </c>
      <c r="D11" s="80">
        <f>F9/R10</f>
        <v>3.6669604278074868</v>
      </c>
      <c r="E11" s="14"/>
      <c r="F11" s="14"/>
      <c r="G11" s="14"/>
      <c r="H11" s="14"/>
      <c r="I11" s="14"/>
      <c r="J11" s="14"/>
      <c r="K11" s="14"/>
      <c r="L11" s="14"/>
      <c r="O11" s="14"/>
      <c r="P11" s="14" t="s">
        <v>100</v>
      </c>
      <c r="R11">
        <f>'Investment &amp; Production Cost'!E49</f>
        <v>11550000</v>
      </c>
    </row>
    <row r="12" spans="3:20" x14ac:dyDescent="0.25">
      <c r="C12" s="14"/>
      <c r="D12" s="14"/>
      <c r="E12" s="14"/>
      <c r="F12" s="14"/>
      <c r="G12" s="14"/>
      <c r="H12" s="14"/>
      <c r="I12" s="14"/>
      <c r="J12" s="14"/>
      <c r="K12" s="14"/>
      <c r="L12" s="14"/>
      <c r="M12" s="14"/>
      <c r="N12" s="14"/>
      <c r="O12" s="14"/>
      <c r="P12" s="14"/>
    </row>
    <row r="13" spans="3:20" ht="15.75" thickBot="1" x14ac:dyDescent="0.3">
      <c r="C13" s="14"/>
      <c r="D13" s="14"/>
      <c r="E13" s="14"/>
      <c r="F13" s="14"/>
      <c r="G13" s="14"/>
      <c r="H13" s="14"/>
      <c r="I13" s="14"/>
      <c r="J13" s="14"/>
      <c r="K13" s="14"/>
      <c r="L13" s="14"/>
      <c r="M13" s="14"/>
      <c r="N13" s="14"/>
      <c r="O13" s="14"/>
      <c r="P13" s="14"/>
      <c r="R13" s="97">
        <f>(Q8/R11)*100</f>
        <v>48.602034334415592</v>
      </c>
    </row>
    <row r="14" spans="3:20" ht="15.75" thickBot="1" x14ac:dyDescent="0.3">
      <c r="C14" s="15" t="s">
        <v>121</v>
      </c>
      <c r="D14" s="16"/>
      <c r="E14" s="16"/>
      <c r="F14" s="16"/>
      <c r="G14" s="16"/>
      <c r="H14" s="16"/>
      <c r="I14" s="20"/>
      <c r="J14" s="14"/>
      <c r="K14" s="14"/>
      <c r="L14" s="14"/>
      <c r="M14" s="14"/>
      <c r="N14" s="14"/>
      <c r="O14" s="14"/>
      <c r="P14" s="14"/>
    </row>
    <row r="15" spans="3:20" ht="15.75" thickBot="1" x14ac:dyDescent="0.3">
      <c r="C15" s="15" t="s">
        <v>122</v>
      </c>
      <c r="D15" s="18" t="s">
        <v>123</v>
      </c>
      <c r="E15" s="18" t="s">
        <v>118</v>
      </c>
      <c r="F15" s="18" t="s">
        <v>124</v>
      </c>
      <c r="G15" s="20" t="s">
        <v>125</v>
      </c>
      <c r="H15" s="20" t="s">
        <v>126</v>
      </c>
      <c r="I15" s="20" t="s">
        <v>127</v>
      </c>
      <c r="J15" s="14"/>
      <c r="K15" s="14"/>
      <c r="L15" s="14"/>
      <c r="M15" s="14"/>
      <c r="N15" s="14"/>
      <c r="O15" s="14"/>
      <c r="P15" s="14"/>
    </row>
    <row r="16" spans="3:20" x14ac:dyDescent="0.25">
      <c r="C16" s="53">
        <v>-1</v>
      </c>
      <c r="D16" s="24"/>
      <c r="E16" s="24"/>
      <c r="F16" s="24">
        <v>0</v>
      </c>
      <c r="G16" s="4">
        <v>1</v>
      </c>
      <c r="H16" s="4">
        <v>0</v>
      </c>
      <c r="I16" s="4">
        <v>0</v>
      </c>
      <c r="J16" s="14"/>
      <c r="K16" s="14"/>
      <c r="L16" s="14"/>
      <c r="M16" s="14"/>
      <c r="N16" s="14"/>
      <c r="O16" s="14"/>
      <c r="P16" s="14"/>
    </row>
    <row r="17" spans="3:16" ht="15.75" thickBot="1" x14ac:dyDescent="0.3">
      <c r="C17" s="53">
        <v>0</v>
      </c>
      <c r="D17" s="54"/>
      <c r="E17" s="54"/>
      <c r="F17" s="55">
        <f>-R11</f>
        <v>-11550000</v>
      </c>
      <c r="G17" s="54">
        <v>1</v>
      </c>
      <c r="H17" s="55">
        <f>G17*F17</f>
        <v>-11550000</v>
      </c>
      <c r="I17" s="55">
        <f>F17</f>
        <v>-11550000</v>
      </c>
      <c r="J17" s="14"/>
      <c r="K17" s="14"/>
      <c r="L17" s="14"/>
      <c r="M17" s="14"/>
      <c r="N17" s="14"/>
      <c r="O17" s="14"/>
      <c r="P17" s="14"/>
    </row>
    <row r="18" spans="3:16" x14ac:dyDescent="0.25">
      <c r="C18" s="53">
        <v>1</v>
      </c>
      <c r="D18" s="33">
        <f>0.8*Q8</f>
        <v>4490827.9725000011</v>
      </c>
      <c r="E18" s="55">
        <f>$N$10*0.25</f>
        <v>110446.875</v>
      </c>
      <c r="F18" s="56">
        <f t="shared" ref="F18:F37" si="0">D18+E18</f>
        <v>4601274.8475000011</v>
      </c>
      <c r="G18" s="81">
        <f>1/(POWER((1+0.0755),C18))</f>
        <v>0.92980009298000943</v>
      </c>
      <c r="H18" s="82">
        <f t="shared" ref="H18:H37" si="1">G18*F18</f>
        <v>4278265.7810320798</v>
      </c>
      <c r="I18" s="56">
        <f t="shared" ref="I18:I37" si="2">I17+F18</f>
        <v>-6948725.1524999989</v>
      </c>
      <c r="J18" s="14"/>
      <c r="K18" s="14"/>
      <c r="L18" s="14"/>
      <c r="M18" s="14"/>
      <c r="N18" s="14"/>
      <c r="O18" s="14"/>
      <c r="P18" s="14"/>
    </row>
    <row r="19" spans="3:16" ht="15.75" thickBot="1" x14ac:dyDescent="0.3">
      <c r="C19" s="53">
        <v>2</v>
      </c>
      <c r="D19" s="33">
        <f>$Q$8</f>
        <v>5613534.9656250011</v>
      </c>
      <c r="E19" s="55">
        <f t="shared" ref="E19:E37" si="3">$N$10*0.25</f>
        <v>110446.875</v>
      </c>
      <c r="F19" s="56">
        <f t="shared" si="0"/>
        <v>5723981.8406250011</v>
      </c>
      <c r="G19" s="81">
        <f t="shared" ref="G19:G37" si="4">1/(POWER((1+0.0755),C19))</f>
        <v>0.86452821290563397</v>
      </c>
      <c r="H19" s="55">
        <f t="shared" si="1"/>
        <v>4948543.7913798336</v>
      </c>
      <c r="I19" s="56">
        <f t="shared" si="2"/>
        <v>-1224743.3118749978</v>
      </c>
      <c r="J19" s="14"/>
      <c r="K19" s="14"/>
      <c r="L19" s="14"/>
      <c r="M19" s="14"/>
      <c r="N19" s="14"/>
      <c r="O19" s="14"/>
      <c r="P19" s="14"/>
    </row>
    <row r="20" spans="3:16" x14ac:dyDescent="0.25">
      <c r="C20" s="53">
        <v>3</v>
      </c>
      <c r="D20" s="33">
        <f t="shared" ref="D20:D34" si="5">$Q$8</f>
        <v>5613534.9656250011</v>
      </c>
      <c r="E20" s="55">
        <f t="shared" si="3"/>
        <v>110446.875</v>
      </c>
      <c r="F20" s="56">
        <f t="shared" si="0"/>
        <v>5723981.8406250011</v>
      </c>
      <c r="G20" s="81">
        <f t="shared" si="4"/>
        <v>0.80383841274349987</v>
      </c>
      <c r="H20" s="82">
        <f t="shared" si="1"/>
        <v>4601156.4773406181</v>
      </c>
      <c r="I20" s="56">
        <f t="shared" si="2"/>
        <v>4499238.5287500033</v>
      </c>
      <c r="J20" s="14"/>
      <c r="K20" s="14"/>
      <c r="L20" s="14"/>
      <c r="M20" s="14"/>
      <c r="N20" s="14"/>
      <c r="O20" s="14"/>
      <c r="P20" s="14"/>
    </row>
    <row r="21" spans="3:16" ht="15.75" thickBot="1" x14ac:dyDescent="0.3">
      <c r="C21" s="53">
        <v>4</v>
      </c>
      <c r="D21" s="33">
        <f t="shared" si="5"/>
        <v>5613534.9656250011</v>
      </c>
      <c r="E21" s="55">
        <f t="shared" si="3"/>
        <v>110446.875</v>
      </c>
      <c r="F21" s="56">
        <f t="shared" si="0"/>
        <v>5723981.8406250011</v>
      </c>
      <c r="G21" s="81">
        <f t="shared" si="4"/>
        <v>0.74740903090980926</v>
      </c>
      <c r="H21" s="55">
        <f t="shared" si="1"/>
        <v>4278155.7204468781</v>
      </c>
      <c r="I21" s="56">
        <f t="shared" si="2"/>
        <v>10223220.369375005</v>
      </c>
      <c r="J21" s="14"/>
      <c r="K21" s="14"/>
      <c r="L21" s="14"/>
      <c r="M21" s="14"/>
      <c r="N21" s="14"/>
      <c r="O21" s="14"/>
      <c r="P21" s="14"/>
    </row>
    <row r="22" spans="3:16" x14ac:dyDescent="0.25">
      <c r="C22" s="53">
        <v>5</v>
      </c>
      <c r="D22" s="33">
        <f t="shared" si="5"/>
        <v>5613534.9656250011</v>
      </c>
      <c r="E22" s="55">
        <f t="shared" si="3"/>
        <v>110446.875</v>
      </c>
      <c r="F22" s="56">
        <f t="shared" si="0"/>
        <v>5723981.8406250011</v>
      </c>
      <c r="G22" s="81">
        <f t="shared" si="4"/>
        <v>0.69494098643403934</v>
      </c>
      <c r="H22" s="82">
        <f t="shared" si="1"/>
        <v>3977829.5866544666</v>
      </c>
      <c r="I22" s="56">
        <f t="shared" si="2"/>
        <v>15947202.210000006</v>
      </c>
      <c r="J22" s="14"/>
      <c r="K22" s="14"/>
      <c r="L22" s="14"/>
      <c r="M22" s="14"/>
      <c r="N22" s="14"/>
      <c r="O22" s="14"/>
      <c r="P22" s="14"/>
    </row>
    <row r="23" spans="3:16" ht="15.75" thickBot="1" x14ac:dyDescent="0.3">
      <c r="C23" s="53">
        <v>6</v>
      </c>
      <c r="D23" s="33">
        <f t="shared" si="5"/>
        <v>5613534.9656250011</v>
      </c>
      <c r="E23" s="55">
        <f t="shared" si="3"/>
        <v>110446.875</v>
      </c>
      <c r="F23" s="56">
        <f t="shared" si="0"/>
        <v>5723981.8406250011</v>
      </c>
      <c r="G23" s="81">
        <f t="shared" si="4"/>
        <v>0.64615619380198919</v>
      </c>
      <c r="H23" s="55">
        <f t="shared" si="1"/>
        <v>3698586.3195299548</v>
      </c>
      <c r="I23" s="56">
        <f t="shared" si="2"/>
        <v>21671184.050625008</v>
      </c>
      <c r="J23" s="14"/>
      <c r="K23" s="14"/>
      <c r="L23" s="14"/>
      <c r="M23" s="14"/>
      <c r="N23" s="14"/>
      <c r="O23" s="14"/>
      <c r="P23" s="14"/>
    </row>
    <row r="24" spans="3:16" x14ac:dyDescent="0.25">
      <c r="C24" s="53">
        <v>7</v>
      </c>
      <c r="D24" s="33">
        <f t="shared" si="5"/>
        <v>5613534.9656250011</v>
      </c>
      <c r="E24" s="55">
        <f t="shared" si="3"/>
        <v>110446.875</v>
      </c>
      <c r="F24" s="56">
        <f t="shared" si="0"/>
        <v>5723981.8406250011</v>
      </c>
      <c r="G24" s="81">
        <f t="shared" si="4"/>
        <v>0.60079608907669846</v>
      </c>
      <c r="H24" s="82">
        <f t="shared" si="1"/>
        <v>3438945.9037935426</v>
      </c>
      <c r="I24" s="56">
        <f t="shared" si="2"/>
        <v>27395165.891250007</v>
      </c>
      <c r="J24" s="14"/>
      <c r="K24" s="14"/>
      <c r="L24" s="14"/>
      <c r="M24" s="14"/>
      <c r="N24" s="14"/>
      <c r="O24" s="14"/>
      <c r="P24" s="14"/>
    </row>
    <row r="25" spans="3:16" ht="15.75" thickBot="1" x14ac:dyDescent="0.3">
      <c r="C25" s="53">
        <v>8</v>
      </c>
      <c r="D25" s="33">
        <f t="shared" si="5"/>
        <v>5613534.9656250011</v>
      </c>
      <c r="E25" s="55">
        <f t="shared" si="3"/>
        <v>110446.875</v>
      </c>
      <c r="F25" s="56">
        <f t="shared" si="0"/>
        <v>5723981.8406250011</v>
      </c>
      <c r="G25" s="81">
        <f t="shared" si="4"/>
        <v>0.55862025948554017</v>
      </c>
      <c r="H25" s="55">
        <f t="shared" si="1"/>
        <v>3197532.2211004579</v>
      </c>
      <c r="I25" s="56">
        <f t="shared" si="2"/>
        <v>33119147.73187501</v>
      </c>
      <c r="J25" s="14"/>
      <c r="K25" s="14"/>
      <c r="L25" s="14"/>
      <c r="M25" s="14"/>
      <c r="N25" s="14"/>
      <c r="O25" s="14"/>
      <c r="P25" s="14"/>
    </row>
    <row r="26" spans="3:16" x14ac:dyDescent="0.25">
      <c r="C26" s="53">
        <v>9</v>
      </c>
      <c r="D26" s="33">
        <f t="shared" si="5"/>
        <v>5613534.9656250011</v>
      </c>
      <c r="E26" s="55">
        <f t="shared" si="3"/>
        <v>110446.875</v>
      </c>
      <c r="F26" s="56">
        <f t="shared" si="0"/>
        <v>5723981.8406250011</v>
      </c>
      <c r="G26" s="81">
        <f t="shared" si="4"/>
        <v>0.51940516921017221</v>
      </c>
      <c r="H26" s="82">
        <f t="shared" si="1"/>
        <v>2973065.7564857816</v>
      </c>
      <c r="I26" s="56">
        <f t="shared" si="2"/>
        <v>38843129.572500013</v>
      </c>
      <c r="J26" s="14"/>
      <c r="K26" s="14"/>
      <c r="L26" s="14"/>
      <c r="M26" s="14"/>
      <c r="N26" s="14"/>
      <c r="O26" s="14"/>
      <c r="P26" s="14"/>
    </row>
    <row r="27" spans="3:16" ht="15.75" thickBot="1" x14ac:dyDescent="0.3">
      <c r="C27" s="53">
        <v>10</v>
      </c>
      <c r="D27" s="33">
        <f t="shared" si="5"/>
        <v>5613534.9656250011</v>
      </c>
      <c r="E27" s="55">
        <f t="shared" si="3"/>
        <v>110446.875</v>
      </c>
      <c r="F27" s="56">
        <f t="shared" si="0"/>
        <v>5723981.8406250011</v>
      </c>
      <c r="G27" s="81">
        <f t="shared" si="4"/>
        <v>0.48294297462591562</v>
      </c>
      <c r="H27" s="55">
        <f t="shared" si="1"/>
        <v>2764356.8168161619</v>
      </c>
      <c r="I27" s="56">
        <f t="shared" si="2"/>
        <v>44567111.413125016</v>
      </c>
      <c r="J27" s="14"/>
      <c r="K27" s="14"/>
      <c r="L27" s="14"/>
      <c r="M27" s="14"/>
      <c r="N27" s="14"/>
      <c r="O27" s="14"/>
      <c r="P27" s="14"/>
    </row>
    <row r="28" spans="3:16" x14ac:dyDescent="0.25">
      <c r="C28" s="53">
        <v>11</v>
      </c>
      <c r="D28" s="33">
        <f t="shared" si="5"/>
        <v>5613534.9656250011</v>
      </c>
      <c r="E28" s="55">
        <f t="shared" si="3"/>
        <v>110446.875</v>
      </c>
      <c r="F28" s="56">
        <f t="shared" si="0"/>
        <v>5723981.8406250011</v>
      </c>
      <c r="G28" s="81">
        <f t="shared" si="4"/>
        <v>0.44904042271121869</v>
      </c>
      <c r="H28" s="82">
        <f t="shared" si="1"/>
        <v>2570299.2253055903</v>
      </c>
      <c r="I28" s="56">
        <f t="shared" si="2"/>
        <v>50291093.253750019</v>
      </c>
      <c r="J28" s="14"/>
      <c r="K28" s="14"/>
      <c r="L28" s="14"/>
      <c r="M28" s="14"/>
      <c r="N28" s="14"/>
      <c r="O28" s="14"/>
      <c r="P28" s="14"/>
    </row>
    <row r="29" spans="3:16" ht="15.75" thickBot="1" x14ac:dyDescent="0.3">
      <c r="C29" s="53">
        <v>12</v>
      </c>
      <c r="D29" s="33">
        <f t="shared" si="5"/>
        <v>5613534.9656250011</v>
      </c>
      <c r="E29" s="55">
        <f t="shared" si="3"/>
        <v>110446.875</v>
      </c>
      <c r="F29" s="56">
        <f t="shared" si="0"/>
        <v>5723981.8406250011</v>
      </c>
      <c r="G29" s="81">
        <f t="shared" si="4"/>
        <v>0.41751782678867377</v>
      </c>
      <c r="H29" s="55">
        <f t="shared" si="1"/>
        <v>2389864.4586755834</v>
      </c>
      <c r="I29" s="56">
        <f t="shared" si="2"/>
        <v>56015075.094375022</v>
      </c>
      <c r="J29" s="14"/>
      <c r="K29" s="14"/>
      <c r="L29" s="14"/>
      <c r="M29" s="14"/>
      <c r="N29" s="14"/>
      <c r="O29" s="14"/>
      <c r="P29" s="14"/>
    </row>
    <row r="30" spans="3:16" x14ac:dyDescent="0.25">
      <c r="C30" s="53">
        <v>13</v>
      </c>
      <c r="D30" s="33">
        <f t="shared" si="5"/>
        <v>5613534.9656250011</v>
      </c>
      <c r="E30" s="55">
        <f t="shared" si="3"/>
        <v>110446.875</v>
      </c>
      <c r="F30" s="56">
        <f t="shared" si="0"/>
        <v>5723981.8406250011</v>
      </c>
      <c r="G30" s="81">
        <f t="shared" si="4"/>
        <v>0.38820811416892026</v>
      </c>
      <c r="H30" s="82">
        <f t="shared" si="1"/>
        <v>2222096.1958861765</v>
      </c>
      <c r="I30" s="56">
        <f t="shared" si="2"/>
        <v>61739056.935000025</v>
      </c>
      <c r="J30" s="14"/>
      <c r="K30" s="14"/>
      <c r="L30" s="14"/>
      <c r="M30" s="14"/>
      <c r="N30" s="14"/>
      <c r="O30" s="14"/>
      <c r="P30" s="14"/>
    </row>
    <row r="31" spans="3:16" ht="15.75" thickBot="1" x14ac:dyDescent="0.3">
      <c r="C31" s="53">
        <v>14</v>
      </c>
      <c r="D31" s="33">
        <f t="shared" si="5"/>
        <v>5613534.9656250011</v>
      </c>
      <c r="E31" s="55">
        <f t="shared" si="3"/>
        <v>110446.875</v>
      </c>
      <c r="F31" s="56">
        <f t="shared" si="0"/>
        <v>5723981.8406250011</v>
      </c>
      <c r="G31" s="81">
        <f t="shared" si="4"/>
        <v>0.36095594064985614</v>
      </c>
      <c r="H31" s="55">
        <f t="shared" si="1"/>
        <v>2066105.2495454922</v>
      </c>
      <c r="I31" s="56">
        <f t="shared" si="2"/>
        <v>67463038.77562502</v>
      </c>
      <c r="J31" s="14"/>
      <c r="K31" s="14"/>
      <c r="L31" s="14"/>
      <c r="M31" s="14"/>
      <c r="N31" s="14"/>
      <c r="O31" s="14"/>
      <c r="P31" s="14"/>
    </row>
    <row r="32" spans="3:16" x14ac:dyDescent="0.25">
      <c r="C32" s="53">
        <v>15</v>
      </c>
      <c r="D32" s="33">
        <f t="shared" si="5"/>
        <v>5613534.9656250011</v>
      </c>
      <c r="E32" s="55">
        <f t="shared" si="3"/>
        <v>110446.875</v>
      </c>
      <c r="F32" s="56">
        <f t="shared" si="0"/>
        <v>5723981.8406250011</v>
      </c>
      <c r="G32" s="81">
        <f t="shared" si="4"/>
        <v>0.33561686717792305</v>
      </c>
      <c r="H32" s="82">
        <f t="shared" si="1"/>
        <v>1921064.8531338845</v>
      </c>
      <c r="I32" s="56">
        <f t="shared" si="2"/>
        <v>73187020.616250023</v>
      </c>
      <c r="J32" s="14"/>
      <c r="K32" s="14"/>
      <c r="L32" s="14"/>
      <c r="M32" s="14"/>
      <c r="N32" s="14"/>
      <c r="O32" s="14"/>
      <c r="P32" s="14"/>
    </row>
    <row r="33" spans="3:16" ht="15.75" thickBot="1" x14ac:dyDescent="0.3">
      <c r="C33" s="53">
        <v>16</v>
      </c>
      <c r="D33" s="33">
        <f t="shared" si="5"/>
        <v>5613534.9656250011</v>
      </c>
      <c r="E33" s="55">
        <f t="shared" si="3"/>
        <v>110446.875</v>
      </c>
      <c r="F33" s="56">
        <f t="shared" si="0"/>
        <v>5723981.8406250011</v>
      </c>
      <c r="G33" s="81">
        <f t="shared" si="4"/>
        <v>0.31205659430769228</v>
      </c>
      <c r="H33" s="55">
        <f t="shared" si="1"/>
        <v>1786206.2790645137</v>
      </c>
      <c r="I33" s="56">
        <f t="shared" si="2"/>
        <v>78911002.456875026</v>
      </c>
      <c r="J33" s="14"/>
      <c r="K33" s="14"/>
      <c r="L33" s="14"/>
      <c r="M33" s="14"/>
      <c r="N33" s="14"/>
      <c r="O33" s="14"/>
      <c r="P33" s="14"/>
    </row>
    <row r="34" spans="3:16" x14ac:dyDescent="0.25">
      <c r="C34" s="53">
        <v>17</v>
      </c>
      <c r="D34" s="33">
        <f t="shared" si="5"/>
        <v>5613534.9656250011</v>
      </c>
      <c r="E34" s="55">
        <f t="shared" si="3"/>
        <v>110446.875</v>
      </c>
      <c r="F34" s="56">
        <f t="shared" si="0"/>
        <v>5723981.8406250011</v>
      </c>
      <c r="G34" s="81">
        <f t="shared" si="4"/>
        <v>0.29015025040231734</v>
      </c>
      <c r="H34" s="82">
        <f t="shared" si="1"/>
        <v>1660814.7643556613</v>
      </c>
      <c r="I34" s="56">
        <f t="shared" si="2"/>
        <v>84634984.297500029</v>
      </c>
      <c r="J34" s="14"/>
      <c r="K34" s="14"/>
      <c r="L34" s="14"/>
      <c r="M34" s="14"/>
      <c r="N34" s="14"/>
      <c r="O34" s="14"/>
      <c r="P34" s="14"/>
    </row>
    <row r="35" spans="3:16" ht="15.75" thickBot="1" x14ac:dyDescent="0.3">
      <c r="C35" s="53">
        <v>18</v>
      </c>
      <c r="D35" s="33">
        <f>0.9*$Q$8</f>
        <v>5052181.4690625016</v>
      </c>
      <c r="E35" s="55">
        <f t="shared" si="3"/>
        <v>110446.875</v>
      </c>
      <c r="F35" s="56">
        <f t="shared" si="0"/>
        <v>5162628.3440625016</v>
      </c>
      <c r="G35" s="81">
        <f t="shared" si="4"/>
        <v>0.26978172980224763</v>
      </c>
      <c r="H35" s="55">
        <f t="shared" si="1"/>
        <v>1392782.8049872948</v>
      </c>
      <c r="I35" s="56">
        <f t="shared" si="2"/>
        <v>89797612.641562536</v>
      </c>
      <c r="J35" s="14"/>
      <c r="K35" s="14"/>
      <c r="L35" s="14"/>
      <c r="M35" s="14"/>
      <c r="N35" s="14"/>
      <c r="O35" s="14"/>
      <c r="P35" s="14"/>
    </row>
    <row r="36" spans="3:16" x14ac:dyDescent="0.25">
      <c r="C36" s="53">
        <v>19</v>
      </c>
      <c r="D36" s="33">
        <f>0.8*$Q$8</f>
        <v>4490827.9725000011</v>
      </c>
      <c r="E36" s="55">
        <f t="shared" si="3"/>
        <v>110446.875</v>
      </c>
      <c r="F36" s="56">
        <f t="shared" si="0"/>
        <v>4601274.8475000011</v>
      </c>
      <c r="G36" s="81">
        <f t="shared" si="4"/>
        <v>0.25084307745443762</v>
      </c>
      <c r="H36" s="82">
        <f t="shared" si="1"/>
        <v>1154197.9429605985</v>
      </c>
      <c r="I36" s="56">
        <f t="shared" si="2"/>
        <v>94398887.489062533</v>
      </c>
      <c r="J36" s="14"/>
      <c r="K36" s="14"/>
      <c r="L36" s="14"/>
      <c r="M36" s="14"/>
      <c r="N36" s="14"/>
      <c r="O36" s="14"/>
      <c r="P36" s="14"/>
    </row>
    <row r="37" spans="3:16" ht="15.75" thickBot="1" x14ac:dyDescent="0.3">
      <c r="C37" s="21">
        <v>20</v>
      </c>
      <c r="D37" s="34">
        <f>0.7*$Q$8</f>
        <v>3929474.4759375006</v>
      </c>
      <c r="E37" s="55">
        <f t="shared" si="3"/>
        <v>110446.875</v>
      </c>
      <c r="F37" s="57">
        <f t="shared" si="0"/>
        <v>4039921.3509375006</v>
      </c>
      <c r="G37" s="81">
        <f t="shared" si="4"/>
        <v>0.23323391674052779</v>
      </c>
      <c r="H37" s="55">
        <f t="shared" si="1"/>
        <v>942246.68000283756</v>
      </c>
      <c r="I37" s="57">
        <f t="shared" si="2"/>
        <v>98438808.840000033</v>
      </c>
      <c r="J37" s="14"/>
      <c r="K37" s="14"/>
      <c r="L37" s="14"/>
      <c r="M37" s="14"/>
      <c r="N37" s="14"/>
      <c r="O37" s="14"/>
      <c r="P37" s="14"/>
    </row>
    <row r="38" spans="3:16" x14ac:dyDescent="0.25">
      <c r="C38" s="14"/>
      <c r="D38" s="52"/>
      <c r="E38" s="52"/>
      <c r="F38" s="52"/>
      <c r="G38" s="52"/>
      <c r="H38" s="52"/>
      <c r="I38" s="52"/>
      <c r="J38" s="14"/>
      <c r="K38" s="14"/>
      <c r="L38" s="14"/>
      <c r="M38" s="14"/>
      <c r="N38" s="14"/>
      <c r="O38" s="14"/>
      <c r="P38" s="14"/>
    </row>
    <row r="39" spans="3:16" x14ac:dyDescent="0.25">
      <c r="C39" s="14"/>
      <c r="D39" s="52"/>
      <c r="E39" s="52"/>
      <c r="F39" s="52"/>
      <c r="G39" s="52"/>
      <c r="H39" s="52"/>
      <c r="I39" s="52"/>
      <c r="J39" s="14"/>
      <c r="K39" s="14"/>
      <c r="L39" s="14"/>
      <c r="M39" s="14"/>
      <c r="N39" s="14"/>
      <c r="O39" s="14"/>
      <c r="P39" s="14"/>
    </row>
    <row r="40" spans="3:16" x14ac:dyDescent="0.25">
      <c r="C40" s="14"/>
      <c r="D40" s="52"/>
      <c r="E40" s="52"/>
      <c r="F40" s="52"/>
      <c r="G40" s="52"/>
      <c r="H40" s="52"/>
      <c r="I40" s="52"/>
      <c r="J40" s="14"/>
      <c r="K40" s="14"/>
      <c r="L40" s="14"/>
      <c r="M40" s="14"/>
      <c r="N40" s="14"/>
      <c r="O40" s="14"/>
      <c r="P40" s="14"/>
    </row>
    <row r="41" spans="3:16" ht="25.5" x14ac:dyDescent="0.35">
      <c r="C41" s="14"/>
      <c r="D41" s="52"/>
      <c r="E41" s="52"/>
      <c r="F41" s="52"/>
      <c r="G41" s="84" t="s">
        <v>128</v>
      </c>
      <c r="H41" s="83">
        <f>SUM(H17:H37)</f>
        <v>44712116.82849741</v>
      </c>
      <c r="I41" s="52"/>
      <c r="J41" s="14"/>
      <c r="K41" s="14"/>
      <c r="L41" s="14"/>
      <c r="M41" s="14"/>
      <c r="N41" s="14"/>
      <c r="O41" s="14"/>
      <c r="P41" s="14"/>
    </row>
    <row r="42" spans="3:16" ht="25.5" x14ac:dyDescent="0.35">
      <c r="C42" s="14"/>
      <c r="D42" s="14"/>
      <c r="E42" s="14"/>
      <c r="F42" s="14"/>
      <c r="G42" s="84" t="s">
        <v>129</v>
      </c>
      <c r="H42" s="83">
        <f>SUM(H18:H37)/R10</f>
        <v>5.7307987602238262</v>
      </c>
      <c r="I42" s="14"/>
      <c r="J42" s="14"/>
      <c r="K42" s="14"/>
      <c r="L42" s="14"/>
      <c r="M42" s="14"/>
      <c r="N42" s="14"/>
      <c r="O42" s="14"/>
      <c r="P42" s="14"/>
    </row>
    <row r="43" spans="3:16" x14ac:dyDescent="0.25">
      <c r="C43" s="14"/>
      <c r="D43" s="14"/>
      <c r="E43" s="14"/>
      <c r="F43" s="14"/>
      <c r="G43" s="14"/>
      <c r="H43" s="14"/>
      <c r="I43" s="14" t="s">
        <v>130</v>
      </c>
      <c r="J43" s="14"/>
      <c r="K43" s="14"/>
      <c r="L43" s="14"/>
      <c r="M43" s="14"/>
      <c r="N43" s="14"/>
      <c r="O43" s="14"/>
      <c r="P43" s="14"/>
    </row>
    <row r="47" spans="3:16" x14ac:dyDescent="0.25">
      <c r="I47" s="97">
        <f>I37*1.35</f>
        <v>132892391.93400006</v>
      </c>
    </row>
  </sheetData>
  <mergeCells count="1">
    <mergeCell ref="C4:F4"/>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B62EF-1B82-417D-8CA8-6830ED47FFB5}">
  <dimension ref="C5:F14"/>
  <sheetViews>
    <sheetView workbookViewId="0">
      <selection activeCell="C5" sqref="C5"/>
    </sheetView>
  </sheetViews>
  <sheetFormatPr defaultRowHeight="15" x14ac:dyDescent="0.25"/>
  <cols>
    <col min="3" max="3" width="35.140625" customWidth="1"/>
    <col min="5" max="5" width="33.7109375" customWidth="1"/>
    <col min="6" max="6" width="17.42578125" customWidth="1"/>
  </cols>
  <sheetData>
    <row r="5" spans="3:6" x14ac:dyDescent="0.25">
      <c r="C5" t="s">
        <v>131</v>
      </c>
      <c r="D5" s="128" t="s">
        <v>132</v>
      </c>
      <c r="E5" s="128"/>
      <c r="F5" t="s">
        <v>133</v>
      </c>
    </row>
    <row r="6" spans="3:6" x14ac:dyDescent="0.25">
      <c r="C6" t="s">
        <v>134</v>
      </c>
      <c r="D6" s="128" t="s">
        <v>135</v>
      </c>
      <c r="E6" s="128"/>
    </row>
    <row r="7" spans="3:6" x14ac:dyDescent="0.25">
      <c r="C7" t="s">
        <v>136</v>
      </c>
      <c r="D7" s="128" t="s">
        <v>137</v>
      </c>
      <c r="E7" s="128"/>
      <c r="F7" t="s">
        <v>138</v>
      </c>
    </row>
    <row r="11" spans="3:6" x14ac:dyDescent="0.25">
      <c r="C11" t="s">
        <v>139</v>
      </c>
    </row>
    <row r="12" spans="3:6" x14ac:dyDescent="0.25">
      <c r="C12" t="s">
        <v>140</v>
      </c>
    </row>
    <row r="13" spans="3:6" x14ac:dyDescent="0.25">
      <c r="C13" t="s">
        <v>141</v>
      </c>
    </row>
    <row r="14" spans="3:6" x14ac:dyDescent="0.25">
      <c r="C14" t="s">
        <v>142</v>
      </c>
    </row>
  </sheetData>
  <mergeCells count="3">
    <mergeCell ref="D5:E5"/>
    <mergeCell ref="D6:E6"/>
    <mergeCell ref="D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02B0D-9025-4C41-8769-F194B6CBD616}">
  <dimension ref="A1"/>
  <sheetViews>
    <sheetView tabSelected="1" topLeftCell="A24" workbookViewId="0">
      <selection activeCell="AA32" sqref="AA31:AB3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FDF51-182F-4815-B3B0-B34FCF8DEAFB}">
  <dimension ref="B2:AC34"/>
  <sheetViews>
    <sheetView zoomScale="80" zoomScaleNormal="80" workbookViewId="0">
      <selection activeCell="S15" sqref="S15:Y22"/>
    </sheetView>
  </sheetViews>
  <sheetFormatPr defaultRowHeight="15" x14ac:dyDescent="0.25"/>
  <cols>
    <col min="1" max="1" width="10.7109375" customWidth="1"/>
    <col min="2" max="2" width="21.140625" customWidth="1"/>
    <col min="3" max="3" width="10.28515625" customWidth="1"/>
    <col min="5" max="5" width="14.42578125" customWidth="1"/>
    <col min="7" max="7" width="12.140625" customWidth="1"/>
    <col min="9" max="9" width="12.7109375" customWidth="1"/>
    <col min="11" max="11" width="17.28515625" customWidth="1"/>
    <col min="13" max="13" width="24.7109375" customWidth="1"/>
    <col min="14" max="14" width="12.42578125" customWidth="1"/>
    <col min="15" max="15" width="13.140625" customWidth="1"/>
    <col min="19" max="19" width="12" customWidth="1"/>
    <col min="20" max="20" width="11.5703125" customWidth="1"/>
    <col min="21" max="21" width="13.42578125" customWidth="1"/>
    <col min="27" max="27" width="11.85546875" customWidth="1"/>
  </cols>
  <sheetData>
    <row r="2" spans="2:25" ht="15.75" thickBot="1" x14ac:dyDescent="0.3"/>
    <row r="3" spans="2:25" ht="36" customHeight="1" thickBot="1" x14ac:dyDescent="0.6">
      <c r="B3" s="132" t="s">
        <v>143</v>
      </c>
      <c r="C3" s="133"/>
      <c r="D3" s="133"/>
      <c r="E3" s="133"/>
      <c r="F3" s="133"/>
      <c r="G3" s="133"/>
      <c r="H3" s="133"/>
      <c r="I3" s="134"/>
      <c r="M3" s="104" t="s">
        <v>144</v>
      </c>
      <c r="N3" s="119">
        <f>D31</f>
        <v>1.7926938909929198</v>
      </c>
      <c r="O3" s="108" t="s">
        <v>145</v>
      </c>
      <c r="S3" t="s">
        <v>209</v>
      </c>
      <c r="T3">
        <v>60</v>
      </c>
    </row>
    <row r="4" spans="2:25" ht="18.75" customHeight="1" thickBot="1" x14ac:dyDescent="0.3">
      <c r="S4" t="s">
        <v>210</v>
      </c>
      <c r="T4">
        <v>70</v>
      </c>
    </row>
    <row r="5" spans="2:25" ht="38.25" thickBot="1" x14ac:dyDescent="0.4">
      <c r="B5" s="139" t="s">
        <v>146</v>
      </c>
      <c r="C5" s="140"/>
      <c r="D5" s="102" t="s">
        <v>147</v>
      </c>
      <c r="E5" s="112">
        <v>2500</v>
      </c>
      <c r="G5" s="114" t="s">
        <v>148</v>
      </c>
      <c r="H5" s="102" t="s">
        <v>149</v>
      </c>
      <c r="I5" s="111">
        <v>40</v>
      </c>
      <c r="M5" s="103" t="s">
        <v>150</v>
      </c>
      <c r="N5" s="107"/>
      <c r="O5" s="109" t="s">
        <v>151</v>
      </c>
      <c r="S5" t="s">
        <v>211</v>
      </c>
      <c r="T5">
        <v>80</v>
      </c>
    </row>
    <row r="6" spans="2:25" ht="15.75" thickBot="1" x14ac:dyDescent="0.3"/>
    <row r="7" spans="2:25" ht="37.5" customHeight="1" thickBot="1" x14ac:dyDescent="0.4">
      <c r="B7" s="139" t="s">
        <v>152</v>
      </c>
      <c r="C7" s="140"/>
      <c r="D7" s="102" t="s">
        <v>153</v>
      </c>
      <c r="E7" s="112">
        <v>50</v>
      </c>
      <c r="G7" s="113" t="s">
        <v>154</v>
      </c>
      <c r="H7" s="102" t="s">
        <v>155</v>
      </c>
      <c r="I7" s="111">
        <v>500</v>
      </c>
      <c r="M7" s="105" t="s">
        <v>156</v>
      </c>
      <c r="N7" s="106">
        <f>T34</f>
        <v>46.71</v>
      </c>
      <c r="O7" s="110" t="s">
        <v>157</v>
      </c>
    </row>
    <row r="8" spans="2:25" ht="15.75" thickBot="1" x14ac:dyDescent="0.3">
      <c r="E8" s="74"/>
    </row>
    <row r="9" spans="2:25" ht="36.75" customHeight="1" thickBot="1" x14ac:dyDescent="0.35">
      <c r="B9" s="139" t="s">
        <v>158</v>
      </c>
      <c r="C9" s="140"/>
      <c r="D9" s="102" t="s">
        <v>153</v>
      </c>
      <c r="E9" s="60"/>
    </row>
    <row r="12" spans="2:25" ht="15.75" thickBot="1" x14ac:dyDescent="0.3"/>
    <row r="13" spans="2:25" ht="23.25" thickBot="1" x14ac:dyDescent="0.4">
      <c r="B13" s="135" t="s">
        <v>144</v>
      </c>
      <c r="C13" s="136"/>
      <c r="D13" s="136"/>
      <c r="E13" s="136"/>
      <c r="F13" s="136"/>
      <c r="G13" s="137"/>
      <c r="K13" s="135" t="s">
        <v>150</v>
      </c>
      <c r="L13" s="136"/>
      <c r="M13" s="136"/>
      <c r="N13" s="136"/>
      <c r="O13" s="136"/>
      <c r="P13" s="137"/>
      <c r="S13" s="135" t="s">
        <v>156</v>
      </c>
      <c r="T13" s="136"/>
      <c r="U13" s="136"/>
      <c r="V13" s="136"/>
      <c r="W13" s="136"/>
      <c r="X13" s="136"/>
      <c r="Y13" s="137"/>
    </row>
    <row r="15" spans="2:25" ht="15" customHeight="1" x14ac:dyDescent="0.25">
      <c r="B15" s="131" t="s">
        <v>159</v>
      </c>
      <c r="C15" s="131"/>
      <c r="D15" s="131"/>
      <c r="E15" s="131"/>
      <c r="F15" s="131"/>
      <c r="G15" s="131"/>
      <c r="H15" s="98"/>
      <c r="I15" s="98"/>
      <c r="K15" s="138"/>
      <c r="L15" s="138"/>
      <c r="M15" s="138"/>
      <c r="N15" s="138"/>
      <c r="O15" s="138"/>
      <c r="P15" s="138"/>
      <c r="S15" s="131" t="s">
        <v>160</v>
      </c>
      <c r="T15" s="131"/>
      <c r="U15" s="131"/>
      <c r="V15" s="131"/>
      <c r="W15" s="131"/>
      <c r="X15" s="131"/>
      <c r="Y15" s="131"/>
    </row>
    <row r="16" spans="2:25" x14ac:dyDescent="0.25">
      <c r="B16" s="131"/>
      <c r="C16" s="131"/>
      <c r="D16" s="131"/>
      <c r="E16" s="131"/>
      <c r="F16" s="131"/>
      <c r="G16" s="131"/>
      <c r="H16" s="98"/>
      <c r="I16" s="98"/>
      <c r="K16" s="138"/>
      <c r="L16" s="138"/>
      <c r="M16" s="138"/>
      <c r="N16" s="138"/>
      <c r="O16" s="138"/>
      <c r="P16" s="138"/>
      <c r="S16" s="131"/>
      <c r="T16" s="131"/>
      <c r="U16" s="131"/>
      <c r="V16" s="131"/>
      <c r="W16" s="131"/>
      <c r="X16" s="131"/>
      <c r="Y16" s="131"/>
    </row>
    <row r="17" spans="2:29" x14ac:dyDescent="0.25">
      <c r="B17" s="131"/>
      <c r="C17" s="131"/>
      <c r="D17" s="131"/>
      <c r="E17" s="131"/>
      <c r="F17" s="131"/>
      <c r="G17" s="131"/>
      <c r="H17" s="98"/>
      <c r="I17" s="98"/>
      <c r="K17" s="138"/>
      <c r="L17" s="138"/>
      <c r="M17" s="138"/>
      <c r="N17" s="138"/>
      <c r="O17" s="138"/>
      <c r="P17" s="138"/>
      <c r="S17" s="131"/>
      <c r="T17" s="131"/>
      <c r="U17" s="131"/>
      <c r="V17" s="131"/>
      <c r="W17" s="131"/>
      <c r="X17" s="131"/>
      <c r="Y17" s="131"/>
    </row>
    <row r="18" spans="2:29" x14ac:dyDescent="0.25">
      <c r="B18" s="131"/>
      <c r="C18" s="131"/>
      <c r="D18" s="131"/>
      <c r="E18" s="131"/>
      <c r="F18" s="131"/>
      <c r="G18" s="131"/>
      <c r="H18" s="98"/>
      <c r="I18" s="98"/>
      <c r="K18" s="138"/>
      <c r="L18" s="138"/>
      <c r="M18" s="138"/>
      <c r="N18" s="138"/>
      <c r="O18" s="138"/>
      <c r="P18" s="138"/>
      <c r="S18" s="131"/>
      <c r="T18" s="131"/>
      <c r="U18" s="131"/>
      <c r="V18" s="131"/>
      <c r="W18" s="131"/>
      <c r="X18" s="131"/>
      <c r="Y18" s="131"/>
    </row>
    <row r="19" spans="2:29" x14ac:dyDescent="0.25">
      <c r="B19" s="131"/>
      <c r="C19" s="131"/>
      <c r="D19" s="131"/>
      <c r="E19" s="131"/>
      <c r="F19" s="131"/>
      <c r="G19" s="131"/>
      <c r="H19" s="98"/>
      <c r="I19" s="98"/>
      <c r="K19" s="138"/>
      <c r="L19" s="138"/>
      <c r="M19" s="138"/>
      <c r="N19" s="138"/>
      <c r="O19" s="138"/>
      <c r="P19" s="138"/>
      <c r="S19" s="131"/>
      <c r="T19" s="131"/>
      <c r="U19" s="131"/>
      <c r="V19" s="131"/>
      <c r="W19" s="131"/>
      <c r="X19" s="131"/>
      <c r="Y19" s="131"/>
    </row>
    <row r="20" spans="2:29" x14ac:dyDescent="0.25">
      <c r="B20" s="131"/>
      <c r="C20" s="131"/>
      <c r="D20" s="131"/>
      <c r="E20" s="131"/>
      <c r="F20" s="131"/>
      <c r="G20" s="131"/>
      <c r="H20" s="98"/>
      <c r="I20" s="98"/>
      <c r="K20" s="138"/>
      <c r="L20" s="138"/>
      <c r="M20" s="138"/>
      <c r="N20" s="138"/>
      <c r="O20" s="138"/>
      <c r="P20" s="138"/>
      <c r="S20" s="131"/>
      <c r="T20" s="131"/>
      <c r="U20" s="131"/>
      <c r="V20" s="131"/>
      <c r="W20" s="131"/>
      <c r="X20" s="131"/>
      <c r="Y20" s="131"/>
    </row>
    <row r="21" spans="2:29" x14ac:dyDescent="0.25">
      <c r="B21" s="98"/>
      <c r="C21" s="98"/>
      <c r="D21" s="98"/>
      <c r="E21" s="98"/>
      <c r="F21" s="98"/>
      <c r="G21" s="98"/>
      <c r="H21" s="98"/>
      <c r="I21" s="98"/>
      <c r="K21" s="98"/>
      <c r="L21" s="98"/>
      <c r="M21" s="98"/>
      <c r="N21" s="98"/>
      <c r="O21" s="98"/>
      <c r="P21" s="98"/>
      <c r="S21" s="131"/>
      <c r="T21" s="131"/>
      <c r="U21" s="131"/>
      <c r="V21" s="131"/>
      <c r="W21" s="131"/>
      <c r="X21" s="131"/>
      <c r="Y21" s="131"/>
    </row>
    <row r="22" spans="2:29" x14ac:dyDescent="0.25">
      <c r="B22" s="98"/>
      <c r="C22" s="98"/>
      <c r="D22" s="98"/>
      <c r="E22" s="98"/>
      <c r="F22" s="98"/>
      <c r="G22" s="98"/>
      <c r="H22" s="98"/>
      <c r="I22" s="98"/>
      <c r="K22" s="98"/>
      <c r="L22" s="98"/>
      <c r="M22" s="98"/>
      <c r="N22" s="98"/>
      <c r="O22" s="98"/>
      <c r="P22" s="98"/>
      <c r="S22" s="131"/>
      <c r="T22" s="131"/>
      <c r="U22" s="131"/>
      <c r="V22" s="131"/>
      <c r="W22" s="131"/>
      <c r="X22" s="131"/>
      <c r="Y22" s="131"/>
    </row>
    <row r="23" spans="2:29" ht="15.75" thickBot="1" x14ac:dyDescent="0.3">
      <c r="K23" t="s">
        <v>161</v>
      </c>
    </row>
    <row r="24" spans="2:29" ht="16.5" thickBot="1" x14ac:dyDescent="0.3">
      <c r="B24" s="115" t="s">
        <v>162</v>
      </c>
      <c r="C24" s="115" t="s">
        <v>163</v>
      </c>
      <c r="D24" s="116" t="s">
        <v>164</v>
      </c>
    </row>
    <row r="25" spans="2:29" ht="24" customHeight="1" x14ac:dyDescent="0.25">
      <c r="B25" s="44" t="s">
        <v>165</v>
      </c>
      <c r="C25" s="44" t="s">
        <v>166</v>
      </c>
      <c r="D25" s="117">
        <v>3.6</v>
      </c>
      <c r="K25" s="101" t="s">
        <v>167</v>
      </c>
      <c r="S25" t="s">
        <v>168</v>
      </c>
      <c r="T25" t="s">
        <v>169</v>
      </c>
      <c r="U25" t="s">
        <v>170</v>
      </c>
      <c r="W25" t="s">
        <v>171</v>
      </c>
      <c r="Y25" t="s">
        <v>172</v>
      </c>
      <c r="AB25" t="s">
        <v>177</v>
      </c>
      <c r="AC25" t="s">
        <v>181</v>
      </c>
    </row>
    <row r="26" spans="2:29" ht="15.75" x14ac:dyDescent="0.25">
      <c r="B26" s="44" t="s">
        <v>173</v>
      </c>
      <c r="C26" s="44" t="s">
        <v>174</v>
      </c>
      <c r="D26" s="117">
        <v>7.6999999999999999E-2</v>
      </c>
      <c r="K26" t="s">
        <v>175</v>
      </c>
      <c r="M26" t="s">
        <v>205</v>
      </c>
      <c r="S26" t="s">
        <v>176</v>
      </c>
      <c r="T26">
        <v>32.86</v>
      </c>
      <c r="U26">
        <v>52.51</v>
      </c>
      <c r="W26" t="s">
        <v>177</v>
      </c>
      <c r="X26">
        <f>E5</f>
        <v>2500</v>
      </c>
      <c r="Y26">
        <f>(X26-AB26)/AB27</f>
        <v>-1</v>
      </c>
      <c r="AA26" t="s">
        <v>203</v>
      </c>
      <c r="AB26">
        <v>4350</v>
      </c>
      <c r="AC26">
        <v>50</v>
      </c>
    </row>
    <row r="27" spans="2:29" ht="15.75" x14ac:dyDescent="0.25">
      <c r="B27" s="44" t="s">
        <v>178</v>
      </c>
      <c r="C27" s="44" t="s">
        <v>155</v>
      </c>
      <c r="D27" s="117">
        <f>(T33*I7)/100</f>
        <v>404.86666666666662</v>
      </c>
      <c r="K27" t="s">
        <v>179</v>
      </c>
      <c r="S27" t="s">
        <v>180</v>
      </c>
      <c r="T27">
        <v>-18.440000000000001</v>
      </c>
      <c r="U27">
        <v>10.98</v>
      </c>
      <c r="W27" t="s">
        <v>181</v>
      </c>
      <c r="X27">
        <f>I5</f>
        <v>40</v>
      </c>
      <c r="Y27">
        <f>(X27-AC26)/AC27</f>
        <v>-0.66666666666666663</v>
      </c>
      <c r="AA27" t="s">
        <v>204</v>
      </c>
      <c r="AB27">
        <v>1850</v>
      </c>
      <c r="AC27">
        <v>15</v>
      </c>
    </row>
    <row r="28" spans="2:29" ht="15.75" x14ac:dyDescent="0.25">
      <c r="B28" s="44" t="s">
        <v>182</v>
      </c>
      <c r="C28" s="44" t="s">
        <v>183</v>
      </c>
      <c r="D28" s="117">
        <f>I7/E7</f>
        <v>10</v>
      </c>
      <c r="S28" t="s">
        <v>184</v>
      </c>
      <c r="T28">
        <v>7.96</v>
      </c>
      <c r="U28">
        <v>4.8099999999999996</v>
      </c>
      <c r="W28" t="s">
        <v>185</v>
      </c>
      <c r="X28">
        <f>X27^2</f>
        <v>1600</v>
      </c>
      <c r="Y28">
        <f>Y26^2</f>
        <v>1</v>
      </c>
    </row>
    <row r="29" spans="2:29" ht="15.75" x14ac:dyDescent="0.25">
      <c r="B29" s="44" t="s">
        <v>186</v>
      </c>
      <c r="C29" s="44" t="s">
        <v>187</v>
      </c>
      <c r="D29" s="117">
        <f>(2*3.142*E5*D25)/60</f>
        <v>942.6</v>
      </c>
      <c r="K29" t="s">
        <v>188</v>
      </c>
      <c r="S29" t="s">
        <v>189</v>
      </c>
      <c r="T29">
        <v>40.76</v>
      </c>
      <c r="U29" s="99" t="s">
        <v>190</v>
      </c>
      <c r="W29" t="s">
        <v>191</v>
      </c>
      <c r="X29">
        <f>X27^2</f>
        <v>1600</v>
      </c>
      <c r="Y29">
        <f>Y27^2</f>
        <v>0.44444444444444442</v>
      </c>
    </row>
    <row r="30" spans="2:29" ht="15.75" x14ac:dyDescent="0.25">
      <c r="B30" s="44" t="s">
        <v>192</v>
      </c>
      <c r="C30" s="44" t="s">
        <v>193</v>
      </c>
      <c r="D30" s="117">
        <f>D29*D28</f>
        <v>9426</v>
      </c>
      <c r="K30" s="86" t="s">
        <v>194</v>
      </c>
      <c r="S30" t="s">
        <v>195</v>
      </c>
      <c r="T30" s="99" t="s">
        <v>190</v>
      </c>
      <c r="U30">
        <v>-5.49</v>
      </c>
      <c r="W30" t="s">
        <v>196</v>
      </c>
      <c r="X30">
        <f>X26*X27</f>
        <v>100000</v>
      </c>
      <c r="Y30">
        <f>Y26*Y27</f>
        <v>0.66666666666666663</v>
      </c>
    </row>
    <row r="31" spans="2:29" ht="30.75" thickBot="1" x14ac:dyDescent="0.3">
      <c r="B31" s="45" t="s">
        <v>197</v>
      </c>
      <c r="C31" s="45" t="s">
        <v>198</v>
      </c>
      <c r="D31" s="118">
        <f>(D30*D26)/D27</f>
        <v>1.7926938909929198</v>
      </c>
      <c r="K31" s="100" t="s">
        <v>199</v>
      </c>
      <c r="S31" t="s">
        <v>200</v>
      </c>
      <c r="T31" s="99">
        <v>-8.67</v>
      </c>
      <c r="U31">
        <v>4.1100000000000003</v>
      </c>
    </row>
    <row r="32" spans="2:29" x14ac:dyDescent="0.25">
      <c r="T32" s="99"/>
    </row>
    <row r="33" spans="11:20" x14ac:dyDescent="0.25">
      <c r="K33" t="s">
        <v>201</v>
      </c>
      <c r="S33" t="s">
        <v>202</v>
      </c>
      <c r="T33">
        <f>(T26)+(T27*Y26)+(T28*Y27)+(T29*Y28)+(T31*Y30)</f>
        <v>80.973333333333329</v>
      </c>
    </row>
    <row r="34" spans="11:20" x14ac:dyDescent="0.25">
      <c r="S34" t="s">
        <v>170</v>
      </c>
      <c r="T34">
        <f>U26+(U27*Y26)-(U30*Y29)+(U31*Y30)</f>
        <v>46.71</v>
      </c>
    </row>
  </sheetData>
  <mergeCells count="10">
    <mergeCell ref="B15:G20"/>
    <mergeCell ref="B3:I3"/>
    <mergeCell ref="S13:Y13"/>
    <mergeCell ref="K13:P13"/>
    <mergeCell ref="B13:G13"/>
    <mergeCell ref="S15:Y22"/>
    <mergeCell ref="K15:P20"/>
    <mergeCell ref="B7:C7"/>
    <mergeCell ref="B5:C5"/>
    <mergeCell ref="B9:C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Investment &amp; Production Cost</vt:lpstr>
      <vt:lpstr>Profitability Analysis</vt: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Derrick Allotey</cp:lastModifiedBy>
  <cp:revision/>
  <dcterms:created xsi:type="dcterms:W3CDTF">2018-12-03T18:30:00Z</dcterms:created>
  <dcterms:modified xsi:type="dcterms:W3CDTF">2025-01-02T16:51:04Z</dcterms:modified>
  <cp:category/>
  <cp:contentStatus/>
</cp:coreProperties>
</file>