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charts/chart8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idy\Desktop\Mahima\SSI\Sem 2\Linear Models\Presentation 2\Final\"/>
    </mc:Choice>
  </mc:AlternateContent>
  <xr:revisionPtr revIDLastSave="0" documentId="13_ncr:1_{206998DC-1BBF-4A8D-B16E-2DAB026E7DE3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Data" sheetId="1" r:id="rId1"/>
    <sheet name="Quarterly" sheetId="2" r:id="rId2"/>
    <sheet name="Data analysis toolpak Quarterly" sheetId="6" r:id="rId3"/>
    <sheet name="Contrast" sheetId="17" r:id="rId4"/>
    <sheet name="Forecasting" sheetId="18" r:id="rId5"/>
  </sheets>
  <definedNames>
    <definedName name="_xlnm._FilterDatabase" localSheetId="3" hidden="1">Contrast!$A$1:$B$38</definedName>
  </definedNames>
  <calcPr calcId="191029"/>
</workbook>
</file>

<file path=xl/calcChain.xml><?xml version="1.0" encoding="utf-8"?>
<calcChain xmlns="http://schemas.openxmlformats.org/spreadsheetml/2006/main">
  <c r="AS3" i="2" l="1"/>
  <c r="AS4" i="2"/>
  <c r="AS5" i="2"/>
  <c r="AS6" i="2"/>
  <c r="AS7" i="2"/>
  <c r="AS8" i="2"/>
  <c r="AS9" i="2"/>
  <c r="AS10" i="2"/>
  <c r="AS11" i="2"/>
  <c r="AS12" i="2"/>
  <c r="AS13" i="2"/>
  <c r="AS14" i="2"/>
  <c r="AS15" i="2"/>
  <c r="AS16" i="2"/>
  <c r="AS17" i="2"/>
  <c r="AS18" i="2"/>
  <c r="AS19" i="2"/>
  <c r="AS20" i="2"/>
  <c r="AS21" i="2"/>
  <c r="AS22" i="2"/>
  <c r="AS23" i="2"/>
  <c r="AS24" i="2"/>
  <c r="AS25" i="2"/>
  <c r="AS26" i="2"/>
  <c r="AS27" i="2"/>
  <c r="AS28" i="2"/>
  <c r="AS29" i="2"/>
  <c r="AS30" i="2"/>
  <c r="AS31" i="2"/>
  <c r="AS32" i="2"/>
  <c r="AS33" i="2"/>
  <c r="AS34" i="2"/>
  <c r="AS35" i="2"/>
  <c r="AS36" i="2"/>
  <c r="AS37" i="2"/>
  <c r="AS38" i="2"/>
  <c r="AS2" i="2"/>
  <c r="AR2" i="2"/>
  <c r="AR3" i="2"/>
  <c r="AR4" i="2"/>
  <c r="AR5" i="2"/>
  <c r="AR6" i="2"/>
  <c r="AR7" i="2"/>
  <c r="AR8" i="2"/>
  <c r="AR9" i="2"/>
  <c r="AR10" i="2"/>
  <c r="AR11" i="2"/>
  <c r="AR12" i="2"/>
  <c r="AR13" i="2"/>
  <c r="AR14" i="2"/>
  <c r="AR15" i="2"/>
  <c r="AR16" i="2"/>
  <c r="AR17" i="2"/>
  <c r="AR18" i="2"/>
  <c r="AR19" i="2"/>
  <c r="AR20" i="2"/>
  <c r="AR21" i="2"/>
  <c r="AR22" i="2"/>
  <c r="AR23" i="2"/>
  <c r="AR24" i="2"/>
  <c r="AR25" i="2"/>
  <c r="AR26" i="2"/>
  <c r="AR27" i="2"/>
  <c r="AR28" i="2"/>
  <c r="AR29" i="2"/>
  <c r="AR30" i="2"/>
  <c r="AR31" i="2"/>
  <c r="AR32" i="2"/>
  <c r="AR33" i="2"/>
  <c r="AR34" i="2"/>
  <c r="AR35" i="2"/>
  <c r="AR36" i="2"/>
  <c r="AR37" i="2"/>
  <c r="AR38" i="2"/>
  <c r="AP2" i="2"/>
  <c r="AQ3" i="2"/>
  <c r="AQ4" i="2"/>
  <c r="AQ5" i="2"/>
  <c r="AQ6" i="2"/>
  <c r="AQ7" i="2"/>
  <c r="AQ8" i="2"/>
  <c r="AQ9" i="2"/>
  <c r="AQ10" i="2"/>
  <c r="AQ11" i="2"/>
  <c r="AQ12" i="2"/>
  <c r="AQ13" i="2"/>
  <c r="AQ14" i="2"/>
  <c r="AQ15" i="2"/>
  <c r="AQ16" i="2"/>
  <c r="AQ17" i="2"/>
  <c r="AQ18" i="2"/>
  <c r="AQ19" i="2"/>
  <c r="AQ20" i="2"/>
  <c r="AQ21" i="2"/>
  <c r="AQ22" i="2"/>
  <c r="AQ23" i="2"/>
  <c r="AQ24" i="2"/>
  <c r="AQ25" i="2"/>
  <c r="AQ26" i="2"/>
  <c r="AQ27" i="2"/>
  <c r="AQ28" i="2"/>
  <c r="AQ29" i="2"/>
  <c r="AQ30" i="2"/>
  <c r="AQ31" i="2"/>
  <c r="AQ32" i="2"/>
  <c r="AQ33" i="2"/>
  <c r="AQ34" i="2"/>
  <c r="AQ35" i="2"/>
  <c r="AQ36" i="2"/>
  <c r="AQ37" i="2"/>
  <c r="AQ38" i="2"/>
  <c r="AQ2" i="2"/>
  <c r="AP3" i="2"/>
  <c r="AP4" i="2"/>
  <c r="AP5" i="2"/>
  <c r="AP6" i="2"/>
  <c r="AP7" i="2"/>
  <c r="AP8" i="2"/>
  <c r="AP9" i="2"/>
  <c r="AP10" i="2"/>
  <c r="AP11" i="2"/>
  <c r="AP12" i="2"/>
  <c r="AP13" i="2"/>
  <c r="AP14" i="2"/>
  <c r="AP15" i="2"/>
  <c r="AP16" i="2"/>
  <c r="AP17" i="2"/>
  <c r="AP18" i="2"/>
  <c r="AP19" i="2"/>
  <c r="AP20" i="2"/>
  <c r="AP21" i="2"/>
  <c r="AP22" i="2"/>
  <c r="AP23" i="2"/>
  <c r="AP24" i="2"/>
  <c r="AP25" i="2"/>
  <c r="AP26" i="2"/>
  <c r="AP27" i="2"/>
  <c r="AP28" i="2"/>
  <c r="AP29" i="2"/>
  <c r="AP30" i="2"/>
  <c r="AP31" i="2"/>
  <c r="AP32" i="2"/>
  <c r="AP33" i="2"/>
  <c r="AP34" i="2"/>
  <c r="AP35" i="2"/>
  <c r="AP36" i="2"/>
  <c r="AP37" i="2"/>
  <c r="AP38" i="2"/>
  <c r="AK2" i="2"/>
  <c r="AN3" i="2"/>
  <c r="AN4" i="2"/>
  <c r="AN5" i="2"/>
  <c r="AN6" i="2"/>
  <c r="AN7" i="2"/>
  <c r="AN8" i="2"/>
  <c r="AN9" i="2"/>
  <c r="AN10" i="2"/>
  <c r="AN11" i="2"/>
  <c r="AN12" i="2"/>
  <c r="AN13" i="2"/>
  <c r="AN14" i="2"/>
  <c r="AN15" i="2"/>
  <c r="AN16" i="2"/>
  <c r="AN17" i="2"/>
  <c r="AN18" i="2"/>
  <c r="AN19" i="2"/>
  <c r="AN20" i="2"/>
  <c r="AN21" i="2"/>
  <c r="AN22" i="2"/>
  <c r="AN23" i="2"/>
  <c r="AN24" i="2"/>
  <c r="AN25" i="2"/>
  <c r="AN26" i="2"/>
  <c r="AN27" i="2"/>
  <c r="AN28" i="2"/>
  <c r="AN29" i="2"/>
  <c r="AN30" i="2"/>
  <c r="AN31" i="2"/>
  <c r="AN32" i="2"/>
  <c r="AN33" i="2"/>
  <c r="AN34" i="2"/>
  <c r="AN35" i="2"/>
  <c r="AN36" i="2"/>
  <c r="AN37" i="2"/>
  <c r="AN38" i="2"/>
  <c r="AN2" i="2"/>
  <c r="AM2" i="2"/>
  <c r="AM3" i="2"/>
  <c r="AM4" i="2"/>
  <c r="AM5" i="2"/>
  <c r="AM6" i="2"/>
  <c r="AM7" i="2"/>
  <c r="AM8" i="2"/>
  <c r="AM9" i="2"/>
  <c r="AM10" i="2"/>
  <c r="AM11" i="2"/>
  <c r="AM12" i="2"/>
  <c r="AM13" i="2"/>
  <c r="AM14" i="2"/>
  <c r="AM15" i="2"/>
  <c r="AM16" i="2"/>
  <c r="AM17" i="2"/>
  <c r="AM18" i="2"/>
  <c r="AM19" i="2"/>
  <c r="AM20" i="2"/>
  <c r="AM21" i="2"/>
  <c r="AM22" i="2"/>
  <c r="AM23" i="2"/>
  <c r="AM24" i="2"/>
  <c r="AM25" i="2"/>
  <c r="AM26" i="2"/>
  <c r="AM27" i="2"/>
  <c r="AM28" i="2"/>
  <c r="AM29" i="2"/>
  <c r="AM30" i="2"/>
  <c r="AM31" i="2"/>
  <c r="AM32" i="2"/>
  <c r="AM33" i="2"/>
  <c r="AM34" i="2"/>
  <c r="AM35" i="2"/>
  <c r="AM36" i="2"/>
  <c r="AM37" i="2"/>
  <c r="AM38" i="2"/>
  <c r="AL3" i="2"/>
  <c r="AL4" i="2"/>
  <c r="AL5" i="2"/>
  <c r="AL6" i="2"/>
  <c r="AL7" i="2"/>
  <c r="AL8" i="2"/>
  <c r="AL9" i="2"/>
  <c r="AL10" i="2"/>
  <c r="AL11" i="2"/>
  <c r="AL12" i="2"/>
  <c r="AL13" i="2"/>
  <c r="AL14" i="2"/>
  <c r="AL15" i="2"/>
  <c r="AL16" i="2"/>
  <c r="AL17" i="2"/>
  <c r="AL18" i="2"/>
  <c r="AL19" i="2"/>
  <c r="AL20" i="2"/>
  <c r="AL21" i="2"/>
  <c r="AL22" i="2"/>
  <c r="AL23" i="2"/>
  <c r="AL24" i="2"/>
  <c r="AL25" i="2"/>
  <c r="AL26" i="2"/>
  <c r="AL27" i="2"/>
  <c r="AL28" i="2"/>
  <c r="AL29" i="2"/>
  <c r="AL30" i="2"/>
  <c r="AL31" i="2"/>
  <c r="AL32" i="2"/>
  <c r="AL33" i="2"/>
  <c r="AL34" i="2"/>
  <c r="AL35" i="2"/>
  <c r="AL36" i="2"/>
  <c r="AL37" i="2"/>
  <c r="AL38" i="2"/>
  <c r="AL2" i="2"/>
  <c r="AK3" i="2"/>
  <c r="AK4" i="2"/>
  <c r="AK5" i="2"/>
  <c r="AK6" i="2"/>
  <c r="AK7" i="2"/>
  <c r="AK8" i="2"/>
  <c r="AK9" i="2"/>
  <c r="AK10" i="2"/>
  <c r="AK11" i="2"/>
  <c r="AK12" i="2"/>
  <c r="AK13" i="2"/>
  <c r="AK14" i="2"/>
  <c r="AK15" i="2"/>
  <c r="AK16" i="2"/>
  <c r="AK17" i="2"/>
  <c r="AK18" i="2"/>
  <c r="AK19" i="2"/>
  <c r="AK20" i="2"/>
  <c r="AK21" i="2"/>
  <c r="AK22" i="2"/>
  <c r="AK23" i="2"/>
  <c r="AK24" i="2"/>
  <c r="AK25" i="2"/>
  <c r="AK26" i="2"/>
  <c r="AK27" i="2"/>
  <c r="AK28" i="2"/>
  <c r="AK29" i="2"/>
  <c r="AK30" i="2"/>
  <c r="AK31" i="2"/>
  <c r="AK32" i="2"/>
  <c r="AK33" i="2"/>
  <c r="AK34" i="2"/>
  <c r="AK35" i="2"/>
  <c r="AK36" i="2"/>
  <c r="AK37" i="2"/>
  <c r="AK38" i="2"/>
  <c r="AO39" i="2"/>
  <c r="AJ39" i="2"/>
  <c r="AF2" i="2"/>
  <c r="AI3" i="2"/>
  <c r="AI4" i="2"/>
  <c r="AI5" i="2"/>
  <c r="AI6" i="2"/>
  <c r="AI7" i="2"/>
  <c r="AI8" i="2"/>
  <c r="AI9" i="2"/>
  <c r="AI10" i="2"/>
  <c r="AI11" i="2"/>
  <c r="AI12" i="2"/>
  <c r="AI13" i="2"/>
  <c r="AI14" i="2"/>
  <c r="AI15" i="2"/>
  <c r="AI16" i="2"/>
  <c r="AI17" i="2"/>
  <c r="AI18" i="2"/>
  <c r="AI19" i="2"/>
  <c r="AI20" i="2"/>
  <c r="AI21" i="2"/>
  <c r="AI22" i="2"/>
  <c r="AI23" i="2"/>
  <c r="AI24" i="2"/>
  <c r="AI25" i="2"/>
  <c r="AI26" i="2"/>
  <c r="AI27" i="2"/>
  <c r="AI28" i="2"/>
  <c r="AI29" i="2"/>
  <c r="AI30" i="2"/>
  <c r="AI31" i="2"/>
  <c r="AI32" i="2"/>
  <c r="AI33" i="2"/>
  <c r="AI34" i="2"/>
  <c r="AI35" i="2"/>
  <c r="AI36" i="2"/>
  <c r="AI37" i="2"/>
  <c r="AI38" i="2"/>
  <c r="AI2" i="2"/>
  <c r="AH2" i="2"/>
  <c r="AH3" i="2"/>
  <c r="AH4" i="2"/>
  <c r="AH5" i="2"/>
  <c r="AH6" i="2"/>
  <c r="AH7" i="2"/>
  <c r="AH8" i="2"/>
  <c r="AH9" i="2"/>
  <c r="AH10" i="2"/>
  <c r="AH11" i="2"/>
  <c r="AH12" i="2"/>
  <c r="AH13" i="2"/>
  <c r="AH14" i="2"/>
  <c r="AH15" i="2"/>
  <c r="AH16" i="2"/>
  <c r="AH17" i="2"/>
  <c r="AH18" i="2"/>
  <c r="AH19" i="2"/>
  <c r="AH20" i="2"/>
  <c r="AH21" i="2"/>
  <c r="AH22" i="2"/>
  <c r="AH23" i="2"/>
  <c r="AH24" i="2"/>
  <c r="AH25" i="2"/>
  <c r="AH26" i="2"/>
  <c r="AH27" i="2"/>
  <c r="AH28" i="2"/>
  <c r="AH29" i="2"/>
  <c r="AH30" i="2"/>
  <c r="AH31" i="2"/>
  <c r="AH32" i="2"/>
  <c r="AH33" i="2"/>
  <c r="AH34" i="2"/>
  <c r="AH35" i="2"/>
  <c r="AH36" i="2"/>
  <c r="AH37" i="2"/>
  <c r="AH38" i="2"/>
  <c r="AG3" i="2"/>
  <c r="AG4" i="2"/>
  <c r="AG5" i="2"/>
  <c r="AG6" i="2"/>
  <c r="AG7" i="2"/>
  <c r="AG8" i="2"/>
  <c r="AG9" i="2"/>
  <c r="AG10" i="2"/>
  <c r="AG11" i="2"/>
  <c r="AG12" i="2"/>
  <c r="AG13" i="2"/>
  <c r="AG14" i="2"/>
  <c r="AG15" i="2"/>
  <c r="AG16" i="2"/>
  <c r="AG17" i="2"/>
  <c r="AG18" i="2"/>
  <c r="AG19" i="2"/>
  <c r="AG20" i="2"/>
  <c r="AG21" i="2"/>
  <c r="AG22" i="2"/>
  <c r="AG23" i="2"/>
  <c r="AG24" i="2"/>
  <c r="AG25" i="2"/>
  <c r="AG26" i="2"/>
  <c r="AG27" i="2"/>
  <c r="AG28" i="2"/>
  <c r="AG29" i="2"/>
  <c r="AG30" i="2"/>
  <c r="AG31" i="2"/>
  <c r="AG32" i="2"/>
  <c r="AG33" i="2"/>
  <c r="AG34" i="2"/>
  <c r="AG35" i="2"/>
  <c r="AG36" i="2"/>
  <c r="AG37" i="2"/>
  <c r="AG38" i="2"/>
  <c r="AG2" i="2"/>
  <c r="AF3" i="2"/>
  <c r="AF4" i="2"/>
  <c r="AF5" i="2"/>
  <c r="AF6" i="2"/>
  <c r="AF7" i="2"/>
  <c r="AF8" i="2"/>
  <c r="AF9" i="2"/>
  <c r="AF10" i="2"/>
  <c r="AF11" i="2"/>
  <c r="AF12" i="2"/>
  <c r="AF13" i="2"/>
  <c r="AF14" i="2"/>
  <c r="AF15" i="2"/>
  <c r="AF16" i="2"/>
  <c r="AF17" i="2"/>
  <c r="AF18" i="2"/>
  <c r="AF19" i="2"/>
  <c r="AF20" i="2"/>
  <c r="AF21" i="2"/>
  <c r="AF22" i="2"/>
  <c r="AF23" i="2"/>
  <c r="AF24" i="2"/>
  <c r="AF25" i="2"/>
  <c r="AF26" i="2"/>
  <c r="AF27" i="2"/>
  <c r="AF28" i="2"/>
  <c r="AF29" i="2"/>
  <c r="AF30" i="2"/>
  <c r="AF31" i="2"/>
  <c r="AF32" i="2"/>
  <c r="AF33" i="2"/>
  <c r="AF34" i="2"/>
  <c r="AF35" i="2"/>
  <c r="AF36" i="2"/>
  <c r="AF37" i="2"/>
  <c r="AF38" i="2"/>
  <c r="AA2" i="2"/>
  <c r="AE39" i="2"/>
  <c r="AD3" i="2"/>
  <c r="AD4" i="2"/>
  <c r="AD5" i="2"/>
  <c r="AD6" i="2"/>
  <c r="AD7" i="2"/>
  <c r="AD8" i="2"/>
  <c r="AD9" i="2"/>
  <c r="AD10" i="2"/>
  <c r="AD11" i="2"/>
  <c r="AD12" i="2"/>
  <c r="AD13" i="2"/>
  <c r="AD14" i="2"/>
  <c r="AD15" i="2"/>
  <c r="AD16" i="2"/>
  <c r="AD17" i="2"/>
  <c r="AD18" i="2"/>
  <c r="AD19" i="2"/>
  <c r="AD20" i="2"/>
  <c r="AD21" i="2"/>
  <c r="AD22" i="2"/>
  <c r="AD23" i="2"/>
  <c r="AD24" i="2"/>
  <c r="AD25" i="2"/>
  <c r="AD26" i="2"/>
  <c r="AD27" i="2"/>
  <c r="AD28" i="2"/>
  <c r="AD29" i="2"/>
  <c r="AD30" i="2"/>
  <c r="AD31" i="2"/>
  <c r="AD32" i="2"/>
  <c r="AD33" i="2"/>
  <c r="AD34" i="2"/>
  <c r="AD35" i="2"/>
  <c r="AD36" i="2"/>
  <c r="AD37" i="2"/>
  <c r="AD38" i="2"/>
  <c r="AC3" i="2"/>
  <c r="AC4" i="2"/>
  <c r="AC5" i="2"/>
  <c r="AC6" i="2"/>
  <c r="AC7" i="2"/>
  <c r="AC8" i="2"/>
  <c r="AC9" i="2"/>
  <c r="AC10" i="2"/>
  <c r="AC11" i="2"/>
  <c r="AC12" i="2"/>
  <c r="AC13" i="2"/>
  <c r="AC14" i="2"/>
  <c r="AC15" i="2"/>
  <c r="AC16" i="2"/>
  <c r="AC17" i="2"/>
  <c r="AC18" i="2"/>
  <c r="AC19" i="2"/>
  <c r="AC20" i="2"/>
  <c r="AC21" i="2"/>
  <c r="AC22" i="2"/>
  <c r="AC23" i="2"/>
  <c r="AC24" i="2"/>
  <c r="AC25" i="2"/>
  <c r="AC26" i="2"/>
  <c r="AC27" i="2"/>
  <c r="AC28" i="2"/>
  <c r="AC29" i="2"/>
  <c r="AC30" i="2"/>
  <c r="AC31" i="2"/>
  <c r="AC32" i="2"/>
  <c r="AC33" i="2"/>
  <c r="AC34" i="2"/>
  <c r="AC35" i="2"/>
  <c r="AC36" i="2"/>
  <c r="AC37" i="2"/>
  <c r="AC38" i="2"/>
  <c r="AD2" i="2"/>
  <c r="AC2" i="2"/>
  <c r="AB3" i="2"/>
  <c r="AB4" i="2"/>
  <c r="AB5" i="2"/>
  <c r="AB6" i="2"/>
  <c r="AB7" i="2"/>
  <c r="AB8" i="2"/>
  <c r="AB9" i="2"/>
  <c r="AB10" i="2"/>
  <c r="AB11" i="2"/>
  <c r="AB12" i="2"/>
  <c r="AB13" i="2"/>
  <c r="AB14" i="2"/>
  <c r="AB15" i="2"/>
  <c r="AB16" i="2"/>
  <c r="AB17" i="2"/>
  <c r="AB18" i="2"/>
  <c r="AB19" i="2"/>
  <c r="AB20" i="2"/>
  <c r="AB21" i="2"/>
  <c r="AB22" i="2"/>
  <c r="AB23" i="2"/>
  <c r="AB24" i="2"/>
  <c r="AB25" i="2"/>
  <c r="AB26" i="2"/>
  <c r="AB27" i="2"/>
  <c r="AB28" i="2"/>
  <c r="AB29" i="2"/>
  <c r="AB30" i="2"/>
  <c r="AB31" i="2"/>
  <c r="AB32" i="2"/>
  <c r="AB33" i="2"/>
  <c r="AB34" i="2"/>
  <c r="AB35" i="2"/>
  <c r="AB36" i="2"/>
  <c r="AB37" i="2"/>
  <c r="AB38" i="2"/>
  <c r="AB2" i="2"/>
  <c r="AA3" i="2"/>
  <c r="AA4" i="2"/>
  <c r="AA5" i="2"/>
  <c r="AA6" i="2"/>
  <c r="AA7" i="2"/>
  <c r="AA8" i="2"/>
  <c r="AA9" i="2"/>
  <c r="AA10" i="2"/>
  <c r="AA11" i="2"/>
  <c r="AA12" i="2"/>
  <c r="AA13" i="2"/>
  <c r="AA14" i="2"/>
  <c r="AA15" i="2"/>
  <c r="AA16" i="2"/>
  <c r="AA17" i="2"/>
  <c r="AA18" i="2"/>
  <c r="AA19" i="2"/>
  <c r="AA20" i="2"/>
  <c r="AA21" i="2"/>
  <c r="AA22" i="2"/>
  <c r="AA23" i="2"/>
  <c r="AA24" i="2"/>
  <c r="AA25" i="2"/>
  <c r="AA26" i="2"/>
  <c r="AA27" i="2"/>
  <c r="AA28" i="2"/>
  <c r="AA29" i="2"/>
  <c r="AA30" i="2"/>
  <c r="AA31" i="2"/>
  <c r="AA32" i="2"/>
  <c r="AA33" i="2"/>
  <c r="AA34" i="2"/>
  <c r="AA35" i="2"/>
  <c r="AA36" i="2"/>
  <c r="AA37" i="2"/>
  <c r="AA38" i="2"/>
  <c r="Z39" i="2"/>
  <c r="S43" i="2"/>
  <c r="S42" i="2"/>
  <c r="X39" i="2"/>
  <c r="X3" i="2"/>
  <c r="X4" i="2"/>
  <c r="X5" i="2"/>
  <c r="X6" i="2"/>
  <c r="X7" i="2"/>
  <c r="X8" i="2"/>
  <c r="X9" i="2"/>
  <c r="X10" i="2"/>
  <c r="X11" i="2"/>
  <c r="X12" i="2"/>
  <c r="X13" i="2"/>
  <c r="X14" i="2"/>
  <c r="X15" i="2"/>
  <c r="X16" i="2"/>
  <c r="X17" i="2"/>
  <c r="X18" i="2"/>
  <c r="X19" i="2"/>
  <c r="X20" i="2"/>
  <c r="X21" i="2"/>
  <c r="X22" i="2"/>
  <c r="X23" i="2"/>
  <c r="X24" i="2"/>
  <c r="X25" i="2"/>
  <c r="X26" i="2"/>
  <c r="X27" i="2"/>
  <c r="X28" i="2"/>
  <c r="X29" i="2"/>
  <c r="X30" i="2"/>
  <c r="X31" i="2"/>
  <c r="X32" i="2"/>
  <c r="X33" i="2"/>
  <c r="X34" i="2"/>
  <c r="X35" i="2"/>
  <c r="X36" i="2"/>
  <c r="X37" i="2"/>
  <c r="X38" i="2"/>
  <c r="X2" i="2"/>
  <c r="W3" i="2"/>
  <c r="W4" i="2"/>
  <c r="W5" i="2"/>
  <c r="W6" i="2"/>
  <c r="W7" i="2"/>
  <c r="W8" i="2"/>
  <c r="W9" i="2"/>
  <c r="W10" i="2"/>
  <c r="W11" i="2"/>
  <c r="W12" i="2"/>
  <c r="W13" i="2"/>
  <c r="W14" i="2"/>
  <c r="W15" i="2"/>
  <c r="W16" i="2"/>
  <c r="W17" i="2"/>
  <c r="W18" i="2"/>
  <c r="W19" i="2"/>
  <c r="W20" i="2"/>
  <c r="W21" i="2"/>
  <c r="W22" i="2"/>
  <c r="W23" i="2"/>
  <c r="W24" i="2"/>
  <c r="W25" i="2"/>
  <c r="W26" i="2"/>
  <c r="W27" i="2"/>
  <c r="W28" i="2"/>
  <c r="W29" i="2"/>
  <c r="W30" i="2"/>
  <c r="W31" i="2"/>
  <c r="W32" i="2"/>
  <c r="W33" i="2"/>
  <c r="W34" i="2"/>
  <c r="W35" i="2"/>
  <c r="W36" i="2"/>
  <c r="W37" i="2"/>
  <c r="W38" i="2"/>
  <c r="W2" i="2"/>
  <c r="D40" i="2"/>
  <c r="Z4" i="2" s="1"/>
  <c r="C67" i="2" a="1"/>
  <c r="C67" i="2" s="1"/>
  <c r="C69" i="2" s="1"/>
  <c r="K80" i="17"/>
  <c r="K81" i="17"/>
  <c r="K79" i="17"/>
  <c r="J79" i="17"/>
  <c r="J80" i="17"/>
  <c r="J81" i="17"/>
  <c r="M74" i="17"/>
  <c r="M75" i="17"/>
  <c r="M76" i="17"/>
  <c r="L74" i="17"/>
  <c r="L75" i="17"/>
  <c r="L76" i="17"/>
  <c r="J74" i="17"/>
  <c r="K74" i="17" s="1"/>
  <c r="J75" i="17"/>
  <c r="K75" i="17" s="1"/>
  <c r="J76" i="17"/>
  <c r="K76" i="17" s="1"/>
  <c r="I73" i="17"/>
  <c r="M73" i="17" s="1"/>
  <c r="H64" i="17"/>
  <c r="H65" i="17" s="1"/>
  <c r="H43" i="17"/>
  <c r="H44" i="17" s="1"/>
  <c r="H22" i="17"/>
  <c r="H23" i="17" s="1"/>
  <c r="K2" i="17"/>
  <c r="H4" i="17" s="1"/>
  <c r="J2" i="17"/>
  <c r="I2" i="17"/>
  <c r="H2" i="17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2" i="2"/>
  <c r="D39" i="2"/>
  <c r="C39" i="2"/>
  <c r="C66" i="2" s="1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2" i="2"/>
  <c r="E3" i="2"/>
  <c r="F3" i="2"/>
  <c r="G3" i="2"/>
  <c r="E4" i="2"/>
  <c r="F4" i="2"/>
  <c r="G4" i="2"/>
  <c r="E5" i="2"/>
  <c r="F5" i="2"/>
  <c r="G5" i="2"/>
  <c r="E6" i="2"/>
  <c r="F6" i="2"/>
  <c r="G6" i="2"/>
  <c r="E7" i="2"/>
  <c r="F7" i="2"/>
  <c r="G7" i="2"/>
  <c r="E8" i="2"/>
  <c r="F8" i="2"/>
  <c r="G8" i="2"/>
  <c r="E9" i="2"/>
  <c r="F9" i="2"/>
  <c r="G9" i="2"/>
  <c r="E10" i="2"/>
  <c r="F10" i="2"/>
  <c r="G10" i="2"/>
  <c r="E11" i="2"/>
  <c r="H11" i="2" s="1"/>
  <c r="F11" i="2"/>
  <c r="G11" i="2"/>
  <c r="E12" i="2"/>
  <c r="F12" i="2"/>
  <c r="G12" i="2"/>
  <c r="J12" i="2" s="1"/>
  <c r="E13" i="2"/>
  <c r="H13" i="2" s="1"/>
  <c r="F13" i="2"/>
  <c r="G13" i="2"/>
  <c r="E14" i="2"/>
  <c r="F14" i="2"/>
  <c r="G14" i="2"/>
  <c r="J14" i="2" s="1"/>
  <c r="E15" i="2"/>
  <c r="H15" i="2" s="1"/>
  <c r="F15" i="2"/>
  <c r="G15" i="2"/>
  <c r="E16" i="2"/>
  <c r="F16" i="2"/>
  <c r="G16" i="2"/>
  <c r="J16" i="2" s="1"/>
  <c r="E17" i="2"/>
  <c r="F17" i="2"/>
  <c r="G17" i="2"/>
  <c r="E18" i="2"/>
  <c r="F18" i="2"/>
  <c r="P18" i="2" s="1"/>
  <c r="G18" i="2"/>
  <c r="J18" i="2" s="1"/>
  <c r="E19" i="2"/>
  <c r="H19" i="2" s="1"/>
  <c r="F19" i="2"/>
  <c r="G19" i="2"/>
  <c r="E20" i="2"/>
  <c r="L20" i="2" s="1"/>
  <c r="F20" i="2"/>
  <c r="P20" i="2" s="1"/>
  <c r="G20" i="2"/>
  <c r="E21" i="2"/>
  <c r="H21" i="2" s="1"/>
  <c r="F21" i="2"/>
  <c r="G21" i="2"/>
  <c r="E22" i="2"/>
  <c r="F22" i="2"/>
  <c r="P22" i="2" s="1"/>
  <c r="G22" i="2"/>
  <c r="J22" i="2" s="1"/>
  <c r="E23" i="2"/>
  <c r="H23" i="2" s="1"/>
  <c r="F23" i="2"/>
  <c r="G23" i="2"/>
  <c r="E24" i="2"/>
  <c r="F24" i="2"/>
  <c r="G24" i="2"/>
  <c r="U24" i="2" s="1"/>
  <c r="E25" i="2"/>
  <c r="S25" i="2" s="1"/>
  <c r="F25" i="2"/>
  <c r="T25" i="2" s="1"/>
  <c r="G25" i="2"/>
  <c r="U25" i="2" s="1"/>
  <c r="E26" i="2"/>
  <c r="S26" i="2" s="1"/>
  <c r="F26" i="2"/>
  <c r="T26" i="2" s="1"/>
  <c r="G26" i="2"/>
  <c r="U26" i="2" s="1"/>
  <c r="E27" i="2"/>
  <c r="S27" i="2" s="1"/>
  <c r="F27" i="2"/>
  <c r="T27" i="2" s="1"/>
  <c r="G27" i="2"/>
  <c r="U27" i="2" s="1"/>
  <c r="E28" i="2"/>
  <c r="S28" i="2" s="1"/>
  <c r="F28" i="2"/>
  <c r="T28" i="2" s="1"/>
  <c r="G28" i="2"/>
  <c r="U28" i="2" s="1"/>
  <c r="E29" i="2"/>
  <c r="S29" i="2" s="1"/>
  <c r="F29" i="2"/>
  <c r="T29" i="2" s="1"/>
  <c r="G29" i="2"/>
  <c r="U29" i="2" s="1"/>
  <c r="E30" i="2"/>
  <c r="S30" i="2" s="1"/>
  <c r="F30" i="2"/>
  <c r="T30" i="2" s="1"/>
  <c r="G30" i="2"/>
  <c r="U30" i="2" s="1"/>
  <c r="E31" i="2"/>
  <c r="S31" i="2" s="1"/>
  <c r="F31" i="2"/>
  <c r="T31" i="2" s="1"/>
  <c r="G31" i="2"/>
  <c r="U31" i="2" s="1"/>
  <c r="E32" i="2"/>
  <c r="S32" i="2" s="1"/>
  <c r="F32" i="2"/>
  <c r="T32" i="2" s="1"/>
  <c r="G32" i="2"/>
  <c r="U32" i="2" s="1"/>
  <c r="E33" i="2"/>
  <c r="S33" i="2" s="1"/>
  <c r="F33" i="2"/>
  <c r="T33" i="2" s="1"/>
  <c r="G33" i="2"/>
  <c r="U33" i="2" s="1"/>
  <c r="E34" i="2"/>
  <c r="S34" i="2" s="1"/>
  <c r="F34" i="2"/>
  <c r="T34" i="2" s="1"/>
  <c r="G34" i="2"/>
  <c r="U34" i="2" s="1"/>
  <c r="E35" i="2"/>
  <c r="S35" i="2" s="1"/>
  <c r="F35" i="2"/>
  <c r="T35" i="2" s="1"/>
  <c r="G35" i="2"/>
  <c r="U35" i="2" s="1"/>
  <c r="E36" i="2"/>
  <c r="S36" i="2" s="1"/>
  <c r="F36" i="2"/>
  <c r="T36" i="2" s="1"/>
  <c r="G36" i="2"/>
  <c r="U36" i="2" s="1"/>
  <c r="E37" i="2"/>
  <c r="S37" i="2" s="1"/>
  <c r="F37" i="2"/>
  <c r="T37" i="2" s="1"/>
  <c r="G37" i="2"/>
  <c r="U37" i="2" s="1"/>
  <c r="E38" i="2"/>
  <c r="S38" i="2" s="1"/>
  <c r="F38" i="2"/>
  <c r="T38" i="2" s="1"/>
  <c r="G38" i="2"/>
  <c r="U38" i="2" s="1"/>
  <c r="G2" i="2"/>
  <c r="J2" i="2" s="1"/>
  <c r="F2" i="2"/>
  <c r="F40" i="2" s="1"/>
  <c r="E2" i="2"/>
  <c r="C48" i="2" s="1" a="1"/>
  <c r="F13" i="1"/>
  <c r="F16" i="1"/>
  <c r="F19" i="1"/>
  <c r="F22" i="1"/>
  <c r="F25" i="1"/>
  <c r="F28" i="1"/>
  <c r="F31" i="1"/>
  <c r="F34" i="1"/>
  <c r="F37" i="1"/>
  <c r="F40" i="1"/>
  <c r="F43" i="1"/>
  <c r="F46" i="1"/>
  <c r="F49" i="1"/>
  <c r="F52" i="1"/>
  <c r="F55" i="1"/>
  <c r="F58" i="1"/>
  <c r="F61" i="1"/>
  <c r="F64" i="1"/>
  <c r="F67" i="1"/>
  <c r="F70" i="1"/>
  <c r="F73" i="1"/>
  <c r="F76" i="1"/>
  <c r="F79" i="1"/>
  <c r="F82" i="1"/>
  <c r="F85" i="1"/>
  <c r="F88" i="1"/>
  <c r="F91" i="1"/>
  <c r="F94" i="1"/>
  <c r="F97" i="1"/>
  <c r="F100" i="1"/>
  <c r="F103" i="1"/>
  <c r="F106" i="1"/>
  <c r="F109" i="1"/>
  <c r="F10" i="1"/>
  <c r="F7" i="1"/>
  <c r="F4" i="1"/>
  <c r="F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3" i="1"/>
  <c r="E4" i="1"/>
  <c r="E5" i="1"/>
  <c r="E6" i="1"/>
  <c r="E7" i="1"/>
  <c r="E8" i="1"/>
  <c r="E9" i="1"/>
  <c r="E10" i="1"/>
  <c r="E11" i="1"/>
  <c r="E12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2" i="1"/>
  <c r="C40" i="18"/>
  <c r="C41" i="18"/>
  <c r="C42" i="18"/>
  <c r="C43" i="18"/>
  <c r="C44" i="18"/>
  <c r="C45" i="18"/>
  <c r="C46" i="18"/>
  <c r="C39" i="18"/>
  <c r="AJ23" i="2" l="1"/>
  <c r="AJ15" i="2"/>
  <c r="AJ7" i="2"/>
  <c r="AO17" i="2"/>
  <c r="AJ12" i="2"/>
  <c r="AJ4" i="2"/>
  <c r="AJ17" i="2"/>
  <c r="AJ9" i="2"/>
  <c r="AO6" i="2"/>
  <c r="AJ14" i="2"/>
  <c r="AJ6" i="2"/>
  <c r="AO3" i="2"/>
  <c r="AJ11" i="2"/>
  <c r="AJ3" i="2"/>
  <c r="AJ24" i="2"/>
  <c r="AJ16" i="2"/>
  <c r="AJ8" i="2"/>
  <c r="AJ19" i="2"/>
  <c r="AJ21" i="2"/>
  <c r="AJ13" i="2"/>
  <c r="AJ5" i="2"/>
  <c r="AJ10" i="2"/>
  <c r="E40" i="2"/>
  <c r="AE4" i="2" s="1"/>
  <c r="Z35" i="2"/>
  <c r="Z27" i="2"/>
  <c r="Z19" i="2"/>
  <c r="Z11" i="2"/>
  <c r="Z3" i="2"/>
  <c r="AJ37" i="2"/>
  <c r="AJ29" i="2"/>
  <c r="P2" i="2"/>
  <c r="K34" i="2"/>
  <c r="H18" i="2"/>
  <c r="Z34" i="2"/>
  <c r="Z26" i="2"/>
  <c r="Z18" i="2"/>
  <c r="Z10" i="2"/>
  <c r="AE31" i="2"/>
  <c r="AE23" i="2"/>
  <c r="AJ36" i="2"/>
  <c r="AJ28" i="2"/>
  <c r="AJ20" i="2"/>
  <c r="Q27" i="2"/>
  <c r="Z33" i="2"/>
  <c r="Z25" i="2"/>
  <c r="Z17" i="2"/>
  <c r="Z9" i="2"/>
  <c r="AE30" i="2"/>
  <c r="AJ35" i="2"/>
  <c r="AJ27" i="2"/>
  <c r="AO32" i="2"/>
  <c r="H17" i="2"/>
  <c r="Z32" i="2"/>
  <c r="Z24" i="2"/>
  <c r="Z16" i="2"/>
  <c r="Z8" i="2"/>
  <c r="AE37" i="2"/>
  <c r="AE13" i="2"/>
  <c r="AJ34" i="2"/>
  <c r="AJ26" i="2"/>
  <c r="AJ18" i="2"/>
  <c r="AO31" i="2"/>
  <c r="Q31" i="2"/>
  <c r="J27" i="2"/>
  <c r="Z2" i="2"/>
  <c r="Z31" i="2"/>
  <c r="Z23" i="2"/>
  <c r="Z15" i="2"/>
  <c r="Z7" i="2"/>
  <c r="AE36" i="2"/>
  <c r="AE28" i="2"/>
  <c r="AE20" i="2"/>
  <c r="AJ33" i="2"/>
  <c r="AJ25" i="2"/>
  <c r="AO14" i="2"/>
  <c r="L22" i="2"/>
  <c r="Q35" i="2"/>
  <c r="Z38" i="2"/>
  <c r="Z30" i="2"/>
  <c r="Z22" i="2"/>
  <c r="Z14" i="2"/>
  <c r="Z6" i="2"/>
  <c r="AE35" i="2"/>
  <c r="AE27" i="2"/>
  <c r="AE19" i="2"/>
  <c r="AE11" i="2"/>
  <c r="AJ32" i="2"/>
  <c r="I31" i="2"/>
  <c r="K26" i="2"/>
  <c r="J20" i="2"/>
  <c r="G40" i="2"/>
  <c r="AO5" i="2" s="1"/>
  <c r="Z37" i="2"/>
  <c r="Z29" i="2"/>
  <c r="Z21" i="2"/>
  <c r="Z13" i="2"/>
  <c r="Z5" i="2"/>
  <c r="AE34" i="2"/>
  <c r="AE26" i="2"/>
  <c r="AJ2" i="2"/>
  <c r="AJ31" i="2"/>
  <c r="H2" i="2"/>
  <c r="J35" i="2"/>
  <c r="Z36" i="2"/>
  <c r="Z28" i="2"/>
  <c r="Z20" i="2"/>
  <c r="Z12" i="2"/>
  <c r="AE33" i="2"/>
  <c r="AE25" i="2"/>
  <c r="AJ38" i="2"/>
  <c r="AJ30" i="2"/>
  <c r="AJ22" i="2"/>
  <c r="AO35" i="2"/>
  <c r="AO27" i="2"/>
  <c r="C48" i="2"/>
  <c r="R48" i="2"/>
  <c r="AH48" i="2"/>
  <c r="M49" i="2"/>
  <c r="AC49" i="2"/>
  <c r="D48" i="2"/>
  <c r="T48" i="2"/>
  <c r="AJ48" i="2"/>
  <c r="O49" i="2"/>
  <c r="AE49" i="2"/>
  <c r="F48" i="2"/>
  <c r="V48" i="2"/>
  <c r="AL48" i="2"/>
  <c r="Q49" i="2"/>
  <c r="AI49" i="2"/>
  <c r="H48" i="2"/>
  <c r="X48" i="2"/>
  <c r="C49" i="2"/>
  <c r="S49" i="2"/>
  <c r="J48" i="2"/>
  <c r="Z48" i="2"/>
  <c r="E49" i="2"/>
  <c r="U49" i="2"/>
  <c r="L48" i="2"/>
  <c r="AB48" i="2"/>
  <c r="G49" i="2"/>
  <c r="W49" i="2"/>
  <c r="N48" i="2"/>
  <c r="AD48" i="2"/>
  <c r="I49" i="2"/>
  <c r="Y49" i="2"/>
  <c r="P48" i="2"/>
  <c r="AF48" i="2"/>
  <c r="K49" i="2"/>
  <c r="AA49" i="2"/>
  <c r="L24" i="2"/>
  <c r="K38" i="2"/>
  <c r="I35" i="2"/>
  <c r="K30" i="2"/>
  <c r="I27" i="2"/>
  <c r="J24" i="2"/>
  <c r="O41" i="2"/>
  <c r="K2" i="2"/>
  <c r="H38" i="2"/>
  <c r="P34" i="2"/>
  <c r="H30" i="2"/>
  <c r="P26" i="2"/>
  <c r="M2" i="2"/>
  <c r="L18" i="2"/>
  <c r="O34" i="2"/>
  <c r="M31" i="2"/>
  <c r="O26" i="2"/>
  <c r="O2" i="2"/>
  <c r="J31" i="2"/>
  <c r="H22" i="2"/>
  <c r="P38" i="2"/>
  <c r="H34" i="2"/>
  <c r="P30" i="2"/>
  <c r="H26" i="2"/>
  <c r="O38" i="2"/>
  <c r="M35" i="2"/>
  <c r="O30" i="2"/>
  <c r="M27" i="2"/>
  <c r="M24" i="2"/>
  <c r="AM51" i="2"/>
  <c r="AI51" i="2"/>
  <c r="AE51" i="2"/>
  <c r="AA51" i="2"/>
  <c r="W51" i="2"/>
  <c r="S51" i="2"/>
  <c r="O51" i="2"/>
  <c r="K51" i="2"/>
  <c r="G51" i="2"/>
  <c r="C51" i="2"/>
  <c r="AJ50" i="2"/>
  <c r="AF50" i="2"/>
  <c r="AB50" i="2"/>
  <c r="X50" i="2"/>
  <c r="T50" i="2"/>
  <c r="P50" i="2"/>
  <c r="L50" i="2"/>
  <c r="H50" i="2"/>
  <c r="D50" i="2"/>
  <c r="AK49" i="2"/>
  <c r="AG49" i="2"/>
  <c r="AL51" i="2"/>
  <c r="AH51" i="2"/>
  <c r="AD51" i="2"/>
  <c r="Z51" i="2"/>
  <c r="V51" i="2"/>
  <c r="R51" i="2"/>
  <c r="N51" i="2"/>
  <c r="J51" i="2"/>
  <c r="F51" i="2"/>
  <c r="AM50" i="2"/>
  <c r="AI50" i="2"/>
  <c r="AE50" i="2"/>
  <c r="AA50" i="2"/>
  <c r="W50" i="2"/>
  <c r="S50" i="2"/>
  <c r="O50" i="2"/>
  <c r="K50" i="2"/>
  <c r="G50" i="2"/>
  <c r="C50" i="2"/>
  <c r="AJ49" i="2"/>
  <c r="AF49" i="2"/>
  <c r="AB49" i="2"/>
  <c r="X49" i="2"/>
  <c r="T49" i="2"/>
  <c r="P49" i="2"/>
  <c r="L49" i="2"/>
  <c r="H49" i="2"/>
  <c r="D49" i="2"/>
  <c r="AK48" i="2"/>
  <c r="AG48" i="2"/>
  <c r="AC48" i="2"/>
  <c r="Y48" i="2"/>
  <c r="U48" i="2"/>
  <c r="Q48" i="2"/>
  <c r="M48" i="2"/>
  <c r="I48" i="2"/>
  <c r="E48" i="2"/>
  <c r="AK51" i="2"/>
  <c r="AG51" i="2"/>
  <c r="AC51" i="2"/>
  <c r="Y51" i="2"/>
  <c r="U51" i="2"/>
  <c r="Q51" i="2"/>
  <c r="M51" i="2"/>
  <c r="I51" i="2"/>
  <c r="E51" i="2"/>
  <c r="AL50" i="2"/>
  <c r="AH50" i="2"/>
  <c r="AD50" i="2"/>
  <c r="Z50" i="2"/>
  <c r="V50" i="2"/>
  <c r="R50" i="2"/>
  <c r="N50" i="2"/>
  <c r="J50" i="2"/>
  <c r="F50" i="2"/>
  <c r="AM49" i="2"/>
  <c r="AJ51" i="2"/>
  <c r="AF51" i="2"/>
  <c r="AB51" i="2"/>
  <c r="X51" i="2"/>
  <c r="T51" i="2"/>
  <c r="P51" i="2"/>
  <c r="L51" i="2"/>
  <c r="H51" i="2"/>
  <c r="D51" i="2"/>
  <c r="AK50" i="2"/>
  <c r="AG50" i="2"/>
  <c r="AC50" i="2"/>
  <c r="Y50" i="2"/>
  <c r="U50" i="2"/>
  <c r="Q50" i="2"/>
  <c r="M50" i="2"/>
  <c r="I50" i="2"/>
  <c r="E50" i="2"/>
  <c r="AL49" i="2"/>
  <c r="AH49" i="2"/>
  <c r="AD49" i="2"/>
  <c r="Z49" i="2"/>
  <c r="V49" i="2"/>
  <c r="R49" i="2"/>
  <c r="N49" i="2"/>
  <c r="J49" i="2"/>
  <c r="F49" i="2"/>
  <c r="AM48" i="2"/>
  <c r="AI48" i="2"/>
  <c r="AE48" i="2"/>
  <c r="AA48" i="2"/>
  <c r="W48" i="2"/>
  <c r="S48" i="2"/>
  <c r="O48" i="2"/>
  <c r="K48" i="2"/>
  <c r="G48" i="2"/>
  <c r="E39" i="2"/>
  <c r="S2" i="2"/>
  <c r="Q23" i="2"/>
  <c r="U23" i="2"/>
  <c r="T22" i="2"/>
  <c r="I22" i="2"/>
  <c r="M22" i="2"/>
  <c r="S21" i="2"/>
  <c r="K21" i="2"/>
  <c r="O21" i="2"/>
  <c r="Q19" i="2"/>
  <c r="U19" i="2"/>
  <c r="T18" i="2"/>
  <c r="I18" i="2"/>
  <c r="M18" i="2"/>
  <c r="S17" i="2"/>
  <c r="K17" i="2"/>
  <c r="O17" i="2"/>
  <c r="Q15" i="2"/>
  <c r="J15" i="2"/>
  <c r="U15" i="2"/>
  <c r="P14" i="2"/>
  <c r="T14" i="2"/>
  <c r="I14" i="2"/>
  <c r="M14" i="2"/>
  <c r="S13" i="2"/>
  <c r="K13" i="2"/>
  <c r="O13" i="2"/>
  <c r="Q11" i="2"/>
  <c r="J11" i="2"/>
  <c r="U11" i="2"/>
  <c r="P10" i="2"/>
  <c r="T10" i="2"/>
  <c r="I10" i="2"/>
  <c r="M10" i="2"/>
  <c r="S9" i="2"/>
  <c r="K9" i="2"/>
  <c r="O9" i="2"/>
  <c r="H9" i="2"/>
  <c r="L9" i="2"/>
  <c r="Q7" i="2"/>
  <c r="J7" i="2"/>
  <c r="U7" i="2"/>
  <c r="P6" i="2"/>
  <c r="T6" i="2"/>
  <c r="I6" i="2"/>
  <c r="M6" i="2"/>
  <c r="S5" i="2"/>
  <c r="K5" i="2"/>
  <c r="O5" i="2"/>
  <c r="H5" i="2"/>
  <c r="L5" i="2"/>
  <c r="Q3" i="2"/>
  <c r="J3" i="2"/>
  <c r="U3" i="2"/>
  <c r="I2" i="2"/>
  <c r="Q2" i="2"/>
  <c r="J38" i="2"/>
  <c r="P37" i="2"/>
  <c r="L37" i="2"/>
  <c r="H37" i="2"/>
  <c r="J36" i="2"/>
  <c r="P35" i="2"/>
  <c r="L35" i="2"/>
  <c r="H35" i="2"/>
  <c r="J34" i="2"/>
  <c r="P33" i="2"/>
  <c r="L33" i="2"/>
  <c r="H33" i="2"/>
  <c r="J32" i="2"/>
  <c r="P31" i="2"/>
  <c r="L31" i="2"/>
  <c r="H31" i="2"/>
  <c r="J30" i="2"/>
  <c r="P29" i="2"/>
  <c r="L29" i="2"/>
  <c r="H29" i="2"/>
  <c r="J28" i="2"/>
  <c r="P27" i="2"/>
  <c r="L27" i="2"/>
  <c r="H27" i="2"/>
  <c r="J26" i="2"/>
  <c r="P25" i="2"/>
  <c r="L25" i="2"/>
  <c r="H25" i="2"/>
  <c r="H24" i="2"/>
  <c r="J23" i="2"/>
  <c r="H20" i="2"/>
  <c r="J19" i="2"/>
  <c r="T2" i="2"/>
  <c r="F39" i="2"/>
  <c r="I23" i="2"/>
  <c r="M23" i="2"/>
  <c r="T23" i="2"/>
  <c r="K22" i="2"/>
  <c r="O22" i="2"/>
  <c r="S22" i="2"/>
  <c r="U20" i="2"/>
  <c r="Q20" i="2"/>
  <c r="I19" i="2"/>
  <c r="M19" i="2"/>
  <c r="T19" i="2"/>
  <c r="K18" i="2"/>
  <c r="O18" i="2"/>
  <c r="S18" i="2"/>
  <c r="U16" i="2"/>
  <c r="Q16" i="2"/>
  <c r="I15" i="2"/>
  <c r="M15" i="2"/>
  <c r="T15" i="2"/>
  <c r="K14" i="2"/>
  <c r="O14" i="2"/>
  <c r="S14" i="2"/>
  <c r="H14" i="2"/>
  <c r="L14" i="2"/>
  <c r="U12" i="2"/>
  <c r="Q12" i="2"/>
  <c r="I11" i="2"/>
  <c r="M11" i="2"/>
  <c r="T11" i="2"/>
  <c r="K10" i="2"/>
  <c r="O10" i="2"/>
  <c r="S10" i="2"/>
  <c r="H10" i="2"/>
  <c r="L10" i="2"/>
  <c r="U8" i="2"/>
  <c r="Q8" i="2"/>
  <c r="J8" i="2"/>
  <c r="I7" i="2"/>
  <c r="M7" i="2"/>
  <c r="T7" i="2"/>
  <c r="P7" i="2"/>
  <c r="K6" i="2"/>
  <c r="O6" i="2"/>
  <c r="S6" i="2"/>
  <c r="H6" i="2"/>
  <c r="L6" i="2"/>
  <c r="U4" i="2"/>
  <c r="Q4" i="2"/>
  <c r="J4" i="2"/>
  <c r="I3" i="2"/>
  <c r="M3" i="2"/>
  <c r="T3" i="2"/>
  <c r="P3" i="2"/>
  <c r="Q38" i="2"/>
  <c r="M38" i="2"/>
  <c r="I38" i="2"/>
  <c r="O37" i="2"/>
  <c r="K37" i="2"/>
  <c r="Q36" i="2"/>
  <c r="M36" i="2"/>
  <c r="I36" i="2"/>
  <c r="O35" i="2"/>
  <c r="K35" i="2"/>
  <c r="Q34" i="2"/>
  <c r="M34" i="2"/>
  <c r="I34" i="2"/>
  <c r="O33" i="2"/>
  <c r="K33" i="2"/>
  <c r="Q32" i="2"/>
  <c r="M32" i="2"/>
  <c r="I32" i="2"/>
  <c r="O31" i="2"/>
  <c r="K31" i="2"/>
  <c r="Q30" i="2"/>
  <c r="M30" i="2"/>
  <c r="I30" i="2"/>
  <c r="O29" i="2"/>
  <c r="K29" i="2"/>
  <c r="Q28" i="2"/>
  <c r="M28" i="2"/>
  <c r="I28" i="2"/>
  <c r="O27" i="2"/>
  <c r="K27" i="2"/>
  <c r="Q26" i="2"/>
  <c r="M26" i="2"/>
  <c r="I26" i="2"/>
  <c r="O25" i="2"/>
  <c r="K25" i="2"/>
  <c r="Q24" i="2"/>
  <c r="P23" i="2"/>
  <c r="L21" i="2"/>
  <c r="P19" i="2"/>
  <c r="L17" i="2"/>
  <c r="P15" i="2"/>
  <c r="L13" i="2"/>
  <c r="P11" i="2"/>
  <c r="U2" i="2"/>
  <c r="U39" i="2" s="1"/>
  <c r="O45" i="2" s="1"/>
  <c r="G39" i="2"/>
  <c r="T24" i="2"/>
  <c r="I24" i="2"/>
  <c r="S23" i="2"/>
  <c r="K23" i="2"/>
  <c r="O23" i="2"/>
  <c r="U21" i="2"/>
  <c r="Q21" i="2"/>
  <c r="T20" i="2"/>
  <c r="I20" i="2"/>
  <c r="M20" i="2"/>
  <c r="S19" i="2"/>
  <c r="K19" i="2"/>
  <c r="O19" i="2"/>
  <c r="U17" i="2"/>
  <c r="Q17" i="2"/>
  <c r="J17" i="2"/>
  <c r="T16" i="2"/>
  <c r="P16" i="2"/>
  <c r="I16" i="2"/>
  <c r="M16" i="2"/>
  <c r="S15" i="2"/>
  <c r="K15" i="2"/>
  <c r="O15" i="2"/>
  <c r="U13" i="2"/>
  <c r="Q13" i="2"/>
  <c r="J13" i="2"/>
  <c r="T12" i="2"/>
  <c r="P12" i="2"/>
  <c r="I12" i="2"/>
  <c r="M12" i="2"/>
  <c r="S11" i="2"/>
  <c r="K11" i="2"/>
  <c r="O11" i="2"/>
  <c r="U9" i="2"/>
  <c r="Q9" i="2"/>
  <c r="J9" i="2"/>
  <c r="T8" i="2"/>
  <c r="P8" i="2"/>
  <c r="I8" i="2"/>
  <c r="I39" i="2" s="1"/>
  <c r="D44" i="2" s="1"/>
  <c r="M8" i="2"/>
  <c r="S7" i="2"/>
  <c r="K7" i="2"/>
  <c r="O7" i="2"/>
  <c r="H7" i="2"/>
  <c r="L7" i="2"/>
  <c r="U5" i="2"/>
  <c r="Q5" i="2"/>
  <c r="J5" i="2"/>
  <c r="T4" i="2"/>
  <c r="P4" i="2"/>
  <c r="I4" i="2"/>
  <c r="M4" i="2"/>
  <c r="S3" i="2"/>
  <c r="K3" i="2"/>
  <c r="O3" i="2"/>
  <c r="H3" i="2"/>
  <c r="L3" i="2"/>
  <c r="L38" i="2"/>
  <c r="J37" i="2"/>
  <c r="P36" i="2"/>
  <c r="L36" i="2"/>
  <c r="H36" i="2"/>
  <c r="L34" i="2"/>
  <c r="J33" i="2"/>
  <c r="P32" i="2"/>
  <c r="L32" i="2"/>
  <c r="H32" i="2"/>
  <c r="L30" i="2"/>
  <c r="J29" i="2"/>
  <c r="P28" i="2"/>
  <c r="L28" i="2"/>
  <c r="H28" i="2"/>
  <c r="L26" i="2"/>
  <c r="J25" i="2"/>
  <c r="P24" i="2"/>
  <c r="J21" i="2"/>
  <c r="K24" i="2"/>
  <c r="S24" i="2"/>
  <c r="Q22" i="2"/>
  <c r="U22" i="2"/>
  <c r="I21" i="2"/>
  <c r="M21" i="2"/>
  <c r="T21" i="2"/>
  <c r="K20" i="2"/>
  <c r="O20" i="2"/>
  <c r="S20" i="2"/>
  <c r="Q18" i="2"/>
  <c r="U18" i="2"/>
  <c r="I17" i="2"/>
  <c r="M17" i="2"/>
  <c r="T17" i="2"/>
  <c r="K16" i="2"/>
  <c r="O16" i="2"/>
  <c r="H16" i="2"/>
  <c r="L16" i="2"/>
  <c r="S16" i="2"/>
  <c r="Q14" i="2"/>
  <c r="U14" i="2"/>
  <c r="I13" i="2"/>
  <c r="M13" i="2"/>
  <c r="T13" i="2"/>
  <c r="K12" i="2"/>
  <c r="O12" i="2"/>
  <c r="H12" i="2"/>
  <c r="L12" i="2"/>
  <c r="S12" i="2"/>
  <c r="Q10" i="2"/>
  <c r="U10" i="2"/>
  <c r="J10" i="2"/>
  <c r="I9" i="2"/>
  <c r="M9" i="2"/>
  <c r="T9" i="2"/>
  <c r="P9" i="2"/>
  <c r="K8" i="2"/>
  <c r="O8" i="2"/>
  <c r="H8" i="2"/>
  <c r="L8" i="2"/>
  <c r="S8" i="2"/>
  <c r="Q6" i="2"/>
  <c r="U6" i="2"/>
  <c r="J6" i="2"/>
  <c r="I5" i="2"/>
  <c r="M5" i="2"/>
  <c r="T5" i="2"/>
  <c r="P5" i="2"/>
  <c r="K4" i="2"/>
  <c r="O4" i="2"/>
  <c r="H4" i="2"/>
  <c r="L4" i="2"/>
  <c r="S4" i="2"/>
  <c r="L2" i="2"/>
  <c r="Q37" i="2"/>
  <c r="M37" i="2"/>
  <c r="I37" i="2"/>
  <c r="O36" i="2"/>
  <c r="K36" i="2"/>
  <c r="Q33" i="2"/>
  <c r="M33" i="2"/>
  <c r="I33" i="2"/>
  <c r="O32" i="2"/>
  <c r="K32" i="2"/>
  <c r="Q29" i="2"/>
  <c r="M29" i="2"/>
  <c r="I29" i="2"/>
  <c r="O28" i="2"/>
  <c r="K28" i="2"/>
  <c r="Q25" i="2"/>
  <c r="M25" i="2"/>
  <c r="I25" i="2"/>
  <c r="O24" i="2"/>
  <c r="L23" i="2"/>
  <c r="P21" i="2"/>
  <c r="L19" i="2"/>
  <c r="P17" i="2"/>
  <c r="L15" i="2"/>
  <c r="P13" i="2"/>
  <c r="L11" i="2"/>
  <c r="H6" i="17"/>
  <c r="J73" i="17"/>
  <c r="K73" i="17" s="1"/>
  <c r="H42" i="17"/>
  <c r="H47" i="17" s="1"/>
  <c r="L73" i="17"/>
  <c r="H63" i="17"/>
  <c r="I68" i="17" s="1"/>
  <c r="I47" i="17"/>
  <c r="H21" i="17"/>
  <c r="H26" i="17" s="1"/>
  <c r="H5" i="17"/>
  <c r="H7" i="17"/>
  <c r="N39" i="2"/>
  <c r="D42" i="2" s="1"/>
  <c r="R39" i="2"/>
  <c r="O42" i="2" s="1"/>
  <c r="D43" i="18"/>
  <c r="D39" i="18"/>
  <c r="E43" i="18"/>
  <c r="D46" i="18"/>
  <c r="D42" i="18"/>
  <c r="D41" i="18"/>
  <c r="E45" i="18"/>
  <c r="E46" i="18"/>
  <c r="E42" i="18"/>
  <c r="D45" i="18"/>
  <c r="E41" i="18"/>
  <c r="D44" i="18"/>
  <c r="D40" i="18"/>
  <c r="E44" i="18"/>
  <c r="E40" i="18"/>
  <c r="E39" i="18"/>
  <c r="AO22" i="2" l="1"/>
  <c r="AO2" i="2"/>
  <c r="AO15" i="2"/>
  <c r="AE16" i="2"/>
  <c r="AO13" i="2"/>
  <c r="AO4" i="2"/>
  <c r="AO12" i="2"/>
  <c r="AO29" i="2"/>
  <c r="AO30" i="2"/>
  <c r="AO25" i="2"/>
  <c r="AE2" i="2"/>
  <c r="AO18" i="2"/>
  <c r="AO23" i="2"/>
  <c r="AE9" i="2"/>
  <c r="AE12" i="2"/>
  <c r="AO28" i="2"/>
  <c r="AO37" i="2"/>
  <c r="AO38" i="2"/>
  <c r="AO33" i="2"/>
  <c r="AO26" i="2"/>
  <c r="AE6" i="2"/>
  <c r="AE24" i="2"/>
  <c r="AO21" i="2"/>
  <c r="AO11" i="2"/>
  <c r="AE10" i="2"/>
  <c r="H39" i="2"/>
  <c r="D43" i="2" s="1"/>
  <c r="J39" i="2"/>
  <c r="D45" i="2" s="1"/>
  <c r="AO36" i="2"/>
  <c r="AE38" i="2"/>
  <c r="AO34" i="2"/>
  <c r="AE14" i="2"/>
  <c r="AO8" i="2"/>
  <c r="AE17" i="2"/>
  <c r="AE7" i="2"/>
  <c r="AE18" i="2"/>
  <c r="AE21" i="2"/>
  <c r="AO16" i="2"/>
  <c r="AE5" i="2"/>
  <c r="AE8" i="2"/>
  <c r="AE3" i="2"/>
  <c r="AO19" i="2"/>
  <c r="AO9" i="2"/>
  <c r="AO20" i="2"/>
  <c r="AE29" i="2"/>
  <c r="AO24" i="2"/>
  <c r="AE15" i="2"/>
  <c r="AE32" i="2"/>
  <c r="AO7" i="2"/>
  <c r="AO10" i="2"/>
  <c r="AE22" i="2"/>
  <c r="M39" i="2"/>
  <c r="O39" i="2"/>
  <c r="K39" i="2"/>
  <c r="H45" i="17"/>
  <c r="H46" i="17" s="1"/>
  <c r="C60" i="2" a="1"/>
  <c r="C54" i="2" a="1"/>
  <c r="P39" i="2"/>
  <c r="F44" i="2" s="1"/>
  <c r="L39" i="2"/>
  <c r="T39" i="2"/>
  <c r="O44" i="2" s="1"/>
  <c r="S39" i="2"/>
  <c r="O43" i="2" s="1"/>
  <c r="Q39" i="2"/>
  <c r="G45" i="2" s="1"/>
  <c r="I41" i="2" s="1" a="1"/>
  <c r="H66" i="17"/>
  <c r="H67" i="17" s="1"/>
  <c r="H68" i="17"/>
  <c r="H24" i="17"/>
  <c r="H25" i="17" s="1"/>
  <c r="I26" i="17"/>
  <c r="C55" i="2" l="1"/>
  <c r="C58" i="2"/>
  <c r="C54" i="2"/>
  <c r="C57" i="2"/>
  <c r="C56" i="2"/>
  <c r="C60" i="2"/>
  <c r="E60" i="2"/>
  <c r="F63" i="2"/>
  <c r="E61" i="2"/>
  <c r="C63" i="2"/>
  <c r="D62" i="2"/>
  <c r="F62" i="2"/>
  <c r="D64" i="2"/>
  <c r="C62" i="2"/>
  <c r="F61" i="2"/>
  <c r="D63" i="2"/>
  <c r="C61" i="2"/>
  <c r="F60" i="2"/>
  <c r="C64" i="2"/>
  <c r="E64" i="2"/>
  <c r="D61" i="2"/>
  <c r="E63" i="2"/>
  <c r="D60" i="2"/>
  <c r="E62" i="2"/>
  <c r="F64" i="2"/>
  <c r="L45" i="2"/>
  <c r="J44" i="2"/>
  <c r="K43" i="2"/>
  <c r="J41" i="2"/>
  <c r="I43" i="2"/>
  <c r="I44" i="2"/>
  <c r="I41" i="2"/>
  <c r="Q41" i="2" s="1" a="1"/>
  <c r="Q41" i="2" s="1"/>
  <c r="L42" i="2"/>
  <c r="J45" i="2"/>
  <c r="M41" i="2"/>
  <c r="K45" i="2"/>
  <c r="J42" i="2"/>
  <c r="J43" i="2"/>
  <c r="M45" i="2"/>
  <c r="I42" i="2"/>
  <c r="K44" i="2"/>
  <c r="L44" i="2"/>
  <c r="K41" i="2"/>
  <c r="K42" i="2"/>
  <c r="L43" i="2"/>
  <c r="I45" i="2"/>
  <c r="M42" i="2"/>
  <c r="M43" i="2"/>
  <c r="M44" i="2"/>
  <c r="L41" i="2"/>
  <c r="V24" i="2" l="1"/>
  <c r="Y24" i="2" s="1"/>
  <c r="V12" i="2"/>
  <c r="Y12" i="2" s="1"/>
  <c r="V29" i="2"/>
  <c r="Y29" i="2" s="1"/>
  <c r="Q45" i="2"/>
  <c r="Q42" i="2"/>
  <c r="V7" i="2" s="1"/>
  <c r="Y7" i="2" s="1"/>
  <c r="Q43" i="2"/>
  <c r="V26" i="2" s="1"/>
  <c r="Y26" i="2" s="1"/>
  <c r="Q44" i="2"/>
  <c r="V16" i="2" l="1"/>
  <c r="Y16" i="2" s="1"/>
  <c r="V8" i="2"/>
  <c r="Y8" i="2" s="1"/>
  <c r="V4" i="2"/>
  <c r="Y4" i="2" s="1"/>
  <c r="V10" i="2"/>
  <c r="Y10" i="2" s="1"/>
  <c r="V38" i="2"/>
  <c r="Y38" i="2" s="1"/>
  <c r="V33" i="2"/>
  <c r="Y33" i="2" s="1"/>
  <c r="V31" i="2"/>
  <c r="Y31" i="2" s="1"/>
  <c r="V32" i="2"/>
  <c r="Y32" i="2" s="1"/>
  <c r="V35" i="2"/>
  <c r="Y35" i="2" s="1"/>
  <c r="V5" i="2"/>
  <c r="Y5" i="2" s="1"/>
  <c r="V22" i="2"/>
  <c r="Y22" i="2" s="1"/>
  <c r="V19" i="2"/>
  <c r="Y19" i="2" s="1"/>
  <c r="V14" i="2"/>
  <c r="Y14" i="2" s="1"/>
  <c r="V36" i="2"/>
  <c r="Y36" i="2" s="1"/>
  <c r="V11" i="2"/>
  <c r="Y11" i="2" s="1"/>
  <c r="V25" i="2"/>
  <c r="Y25" i="2" s="1"/>
  <c r="V23" i="2"/>
  <c r="Y23" i="2" s="1"/>
  <c r="V18" i="2"/>
  <c r="Y18" i="2" s="1"/>
  <c r="V27" i="2"/>
  <c r="Y27" i="2" s="1"/>
  <c r="V28" i="2"/>
  <c r="Y28" i="2" s="1"/>
  <c r="V3" i="2"/>
  <c r="Y3" i="2" s="1"/>
  <c r="V17" i="2"/>
  <c r="Y17" i="2" s="1"/>
  <c r="V15" i="2"/>
  <c r="Y15" i="2" s="1"/>
  <c r="V21" i="2"/>
  <c r="Y21" i="2" s="1"/>
  <c r="V13" i="2"/>
  <c r="Y13" i="2" s="1"/>
  <c r="V30" i="2"/>
  <c r="Y30" i="2" s="1"/>
  <c r="V2" i="2"/>
  <c r="Y2" i="2" s="1"/>
  <c r="V6" i="2"/>
  <c r="Y6" i="2" s="1"/>
  <c r="V37" i="2"/>
  <c r="Y37" i="2" s="1"/>
  <c r="V20" i="2"/>
  <c r="Y20" i="2" s="1"/>
  <c r="V34" i="2"/>
  <c r="Y34" i="2" s="1"/>
  <c r="V9" i="2"/>
  <c r="Y9" i="2" s="1"/>
  <c r="C68" i="2" a="1"/>
  <c r="C68" i="2" s="1"/>
  <c r="C70" i="2" s="1"/>
  <c r="C72" i="2" l="1"/>
  <c r="C71" i="2"/>
  <c r="C77" i="2" l="1"/>
  <c r="C76" i="2"/>
  <c r="C73" i="2"/>
  <c r="C79" i="2" s="1" a="1"/>
  <c r="D79" i="2" l="1"/>
  <c r="C83" i="2"/>
  <c r="C82" i="2"/>
  <c r="C80" i="2"/>
  <c r="E83" i="2"/>
  <c r="D82" i="2"/>
  <c r="D81" i="2"/>
  <c r="C81" i="2"/>
  <c r="D83" i="2"/>
  <c r="F82" i="2"/>
  <c r="C88" i="2" s="1"/>
  <c r="E81" i="2"/>
  <c r="C87" i="2" s="1"/>
  <c r="E80" i="2"/>
  <c r="G81" i="2"/>
  <c r="F80" i="2"/>
  <c r="F79" i="2"/>
  <c r="G79" i="2"/>
  <c r="D80" i="2"/>
  <c r="C86" i="2" s="1"/>
  <c r="C79" i="2"/>
  <c r="C85" i="2" s="1"/>
  <c r="E82" i="2"/>
  <c r="E79" i="2"/>
  <c r="F83" i="2"/>
  <c r="F81" i="2"/>
  <c r="G83" i="2"/>
  <c r="C89" i="2" s="1"/>
  <c r="G82" i="2"/>
  <c r="G80" i="2"/>
  <c r="C74" i="2"/>
  <c r="C75" i="2" s="1"/>
  <c r="F91" i="2" l="1"/>
  <c r="E91" i="2"/>
  <c r="C91" i="2"/>
  <c r="D91" i="2" s="1"/>
  <c r="C95" i="2"/>
  <c r="D95" i="2" s="1"/>
  <c r="F95" i="2"/>
  <c r="E95" i="2"/>
  <c r="E94" i="2"/>
  <c r="C94" i="2"/>
  <c r="D94" i="2" s="1"/>
  <c r="F94" i="2"/>
  <c r="C93" i="2"/>
  <c r="D93" i="2" s="1"/>
  <c r="E93" i="2"/>
  <c r="F93" i="2"/>
  <c r="F92" i="2"/>
  <c r="E92" i="2"/>
  <c r="C92" i="2"/>
  <c r="D92" i="2" s="1"/>
</calcChain>
</file>

<file path=xl/sharedStrings.xml><?xml version="1.0" encoding="utf-8"?>
<sst xmlns="http://schemas.openxmlformats.org/spreadsheetml/2006/main" count="353" uniqueCount="174">
  <si>
    <t>Region</t>
  </si>
  <si>
    <t>Month of Period End</t>
  </si>
  <si>
    <t>Homes Sold</t>
  </si>
  <si>
    <t xml:space="preserve"> National</t>
  </si>
  <si>
    <t>Month</t>
  </si>
  <si>
    <t>t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</si>
  <si>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</si>
  <si>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</si>
  <si>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</si>
  <si>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</si>
  <si>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</si>
  <si>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</si>
  <si>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</si>
  <si>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</si>
  <si>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</si>
  <si>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</si>
  <si>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</si>
  <si>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</si>
  <si>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</si>
  <si>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</si>
  <si>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</si>
  <si>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</si>
  <si>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</si>
  <si>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</si>
  <si>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</si>
  <si>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</si>
  <si>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</si>
  <si>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</si>
  <si>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</si>
  <si>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</si>
  <si>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RESIDUAL OUTPUT</t>
  </si>
  <si>
    <t>Observation</t>
  </si>
  <si>
    <t>Residuals</t>
  </si>
  <si>
    <t>Standard Residuals</t>
  </si>
  <si>
    <t>PROBABILITY OUTPUT</t>
  </si>
  <si>
    <t>Percentile</t>
  </si>
  <si>
    <t>Quarter</t>
  </si>
  <si>
    <t>Averge</t>
  </si>
  <si>
    <t>Year</t>
  </si>
  <si>
    <t>Averge House sold for each quarter</t>
  </si>
  <si>
    <t>Q2</t>
  </si>
  <si>
    <t>Q3</t>
  </si>
  <si>
    <t>Q4</t>
  </si>
  <si>
    <t>Predicted Averge House sold for each quarter</t>
  </si>
  <si>
    <t>Q1</t>
  </si>
  <si>
    <t>Mean</t>
  </si>
  <si>
    <t>p</t>
  </si>
  <si>
    <t>A1</t>
  </si>
  <si>
    <t>A2</t>
  </si>
  <si>
    <t>A3</t>
  </si>
  <si>
    <t>tQ2</t>
  </si>
  <si>
    <t>tQ3</t>
  </si>
  <si>
    <t>tQ4</t>
  </si>
  <si>
    <t>Q2Q3</t>
  </si>
  <si>
    <t>Q2Q4</t>
  </si>
  <si>
    <t>Q3Q4</t>
  </si>
  <si>
    <t>t^2</t>
  </si>
  <si>
    <t>Q2^2</t>
  </si>
  <si>
    <t>Q3^2</t>
  </si>
  <si>
    <t>Q4^2</t>
  </si>
  <si>
    <t>Yt</t>
  </si>
  <si>
    <t>YQ3</t>
  </si>
  <si>
    <t>YQ4</t>
  </si>
  <si>
    <t>YQ2</t>
  </si>
  <si>
    <t>A=</t>
  </si>
  <si>
    <t>B=</t>
  </si>
  <si>
    <t>A-1=</t>
  </si>
  <si>
    <t>coefficient=</t>
  </si>
  <si>
    <t>(-1,1,0,0)</t>
  </si>
  <si>
    <t>c=</t>
  </si>
  <si>
    <t>sp=</t>
  </si>
  <si>
    <t>SEc=</t>
  </si>
  <si>
    <t>t=</t>
  </si>
  <si>
    <t>p-value=</t>
  </si>
  <si>
    <t xml:space="preserve">95% CI </t>
  </si>
  <si>
    <t>Conclusion-</t>
  </si>
  <si>
    <t xml:space="preserve">Model 1 </t>
  </si>
  <si>
    <t>H0:</t>
  </si>
  <si>
    <t>mu2-mu1=0</t>
  </si>
  <si>
    <t>H1:</t>
  </si>
  <si>
    <t>mu2-mu1&gt;0</t>
  </si>
  <si>
    <t xml:space="preserve">Model 2 </t>
  </si>
  <si>
    <t>mu3-mu1=0</t>
  </si>
  <si>
    <t>mu4-mu1&gt;0</t>
  </si>
  <si>
    <t>(-1,0,1,0)</t>
  </si>
  <si>
    <t>this is b3</t>
  </si>
  <si>
    <t>Model 3</t>
  </si>
  <si>
    <t>mu3-mu1&gt;0</t>
  </si>
  <si>
    <t>The p-value is less than 0.05 , therefore , we have sufficient evidence to reject null hypothesis . Hence, treatment 3 is more than treatment 1</t>
  </si>
  <si>
    <t>The p-value is less than 0.05 , therefore , we have sufficient evidence to reject null hypothesis . Hence, treatment 2 is more than treatment 1</t>
  </si>
  <si>
    <t>mu4-mu1=0</t>
  </si>
  <si>
    <t>(-1,0,0,1)</t>
  </si>
  <si>
    <t>this is b4</t>
  </si>
  <si>
    <t>The p-value is less than 0.05 , therefore , we have sufficient evidence to reject null hypothesis . Hence, treatment 4 is more than treatment 1</t>
  </si>
  <si>
    <t>Unstd. Coeff</t>
  </si>
  <si>
    <t>SE</t>
  </si>
  <si>
    <t>95 % CI (lower)</t>
  </si>
  <si>
    <t>95% CI (upper)</t>
  </si>
  <si>
    <t>t(33)</t>
  </si>
  <si>
    <t>Ordered residual</t>
  </si>
  <si>
    <t>X'</t>
  </si>
  <si>
    <t>X'Y</t>
  </si>
  <si>
    <t>X'X</t>
  </si>
  <si>
    <t>Ybar</t>
  </si>
  <si>
    <t>Y'Y</t>
  </si>
  <si>
    <t>B'X'Y</t>
  </si>
  <si>
    <t>SST</t>
  </si>
  <si>
    <t>SSReg</t>
  </si>
  <si>
    <t>SSRes</t>
  </si>
  <si>
    <t>MSSReg</t>
  </si>
  <si>
    <t>MSSRes</t>
  </si>
  <si>
    <t>Fcal</t>
  </si>
  <si>
    <t>p value</t>
  </si>
  <si>
    <t>R^2</t>
  </si>
  <si>
    <t>R^2Adj</t>
  </si>
  <si>
    <t>Calculation</t>
  </si>
  <si>
    <t>σcap^2(X'X)^-1</t>
  </si>
  <si>
    <t>Std Error b0</t>
  </si>
  <si>
    <t>Std Error b1</t>
  </si>
  <si>
    <t>Std Error b2</t>
  </si>
  <si>
    <t>Std Error b3</t>
  </si>
  <si>
    <t>Std Error b4</t>
  </si>
  <si>
    <t>t0</t>
  </si>
  <si>
    <t>t1</t>
  </si>
  <si>
    <t>t2</t>
  </si>
  <si>
    <t>t3</t>
  </si>
  <si>
    <t>t4</t>
  </si>
  <si>
    <t>CI 95% L</t>
  </si>
  <si>
    <t>CI 95% U</t>
  </si>
  <si>
    <t xml:space="preserve">b0 </t>
  </si>
  <si>
    <t>b1</t>
  </si>
  <si>
    <t>b2</t>
  </si>
  <si>
    <t>b3</t>
  </si>
  <si>
    <t>b4</t>
  </si>
  <si>
    <t>Yest</t>
  </si>
  <si>
    <t>Averge House sold for each quarter (y)</t>
  </si>
  <si>
    <t>t (x1)</t>
  </si>
  <si>
    <t>Q2 (x2)</t>
  </si>
  <si>
    <t>Q3 (x3)</t>
  </si>
  <si>
    <t>Q4 (x4)</t>
  </si>
  <si>
    <t>Sum:</t>
  </si>
  <si>
    <t>Average:</t>
  </si>
  <si>
    <t>Forecast(Averge House sold for each quarter (y))</t>
  </si>
  <si>
    <t>Lower Confidence Bound(Averge House sold for each quarter (y))</t>
  </si>
  <si>
    <t>Upper Confidence Bound(Averge House sold for each quarter (y))</t>
  </si>
  <si>
    <t>(Y-Ybar)^2</t>
  </si>
  <si>
    <t>(Yest-Ybar)^2</t>
  </si>
  <si>
    <t>(X2-X2bar)^2</t>
  </si>
  <si>
    <t>(X1-X1bar)^2</t>
  </si>
  <si>
    <t>(X3-X3bar)^2</t>
  </si>
  <si>
    <t>(X4-X4bar)^2</t>
  </si>
  <si>
    <t>CI(L) X1</t>
  </si>
  <si>
    <t>CI(L) X2</t>
  </si>
  <si>
    <t>CI(L) X3</t>
  </si>
  <si>
    <t>CI(U)X3</t>
  </si>
  <si>
    <t>CI(L) X4</t>
  </si>
  <si>
    <t>CI(U) X4</t>
  </si>
  <si>
    <t>PI(L) X1</t>
  </si>
  <si>
    <t>PI(U) X1</t>
  </si>
  <si>
    <t>CI(U) X1</t>
  </si>
  <si>
    <t>CI(U) X2</t>
  </si>
  <si>
    <t>PI(L) X2</t>
  </si>
  <si>
    <t>PI(U) X2</t>
  </si>
  <si>
    <t>PI(L) X3</t>
  </si>
  <si>
    <t>PI(U) X3</t>
  </si>
  <si>
    <t>PI(L) X4</t>
  </si>
  <si>
    <t>PI(U) X4</t>
  </si>
  <si>
    <t>(Y-Yest)^2</t>
  </si>
  <si>
    <t>MSE=</t>
  </si>
  <si>
    <t>S=</t>
  </si>
  <si>
    <t>ybar 1</t>
  </si>
  <si>
    <t>ybar2 - ybar1</t>
  </si>
  <si>
    <t>ybar3 - ybar1</t>
  </si>
  <si>
    <t>ybar4 - ybar1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</si>
</sst>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17" fontId="0" fillId="0" borderId="0" xfId="0" applyNumberFormat="1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  <xf numFmtId="2" fontId="0" fillId="0" borderId="0" xfId="0" applyNumberFormat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3" xfId="0" applyFill="1" applyBorder="1"/>
    <xf numFmtId="0" fontId="2" fillId="0" borderId="0" xfId="0" applyFont="1" applyFill="1" applyBorder="1" applyAlignment="1"/>
    <xf numFmtId="0" fontId="0" fillId="0" borderId="0" xfId="0" applyAlignment="1"/>
    <xf numFmtId="0" fontId="1" fillId="0" borderId="0" xfId="0" applyFont="1" applyFill="1" applyBorder="1" applyAlignment="1">
      <alignment horizontal="center"/>
    </xf>
    <xf numFmtId="2" fontId="0" fillId="0" borderId="0" xfId="0" applyNumberFormat="1" applyFill="1" applyBorder="1" applyAlignment="1"/>
    <xf numFmtId="0" fontId="0" fillId="0" borderId="3" xfId="0" applyBorder="1"/>
    <xf numFmtId="164" fontId="0" fillId="0" borderId="3" xfId="0" applyNumberFormat="1" applyBorder="1"/>
    <xf numFmtId="0" fontId="0" fillId="0" borderId="0" xfId="0" applyFont="1" applyFill="1" applyBorder="1" applyAlignment="1"/>
    <xf numFmtId="0" fontId="0" fillId="0" borderId="1" xfId="0" applyFont="1" applyFill="1" applyBorder="1" applyAlignment="1"/>
    <xf numFmtId="2" fontId="0" fillId="0" borderId="3" xfId="0" applyNumberFormat="1" applyBorder="1"/>
    <xf numFmtId="0" fontId="0" fillId="0" borderId="0" xfId="0" applyFont="1" applyFill="1" applyBorder="1"/>
    <xf numFmtId="0" fontId="0" fillId="2" borderId="0" xfId="0" applyFill="1"/>
    <xf numFmtId="0" fontId="3" fillId="0" borderId="0" xfId="0" applyFont="1"/>
    <xf numFmtId="0" fontId="0" fillId="0" borderId="0" xfId="0"/>
    <xf numFmtId="2" fontId="0" fillId="0" borderId="0" xfId="0" applyNumberFormat="1"/>
    <xf numFmtId="0" fontId="0" fillId="2" borderId="9" xfId="0" applyFill="1" applyBorder="1"/>
    <xf numFmtId="0" fontId="3" fillId="0" borderId="3" xfId="0" applyFont="1" applyBorder="1"/>
    <xf numFmtId="2" fontId="3" fillId="0" borderId="3" xfId="0" applyNumberFormat="1" applyFont="1" applyBorder="1"/>
    <xf numFmtId="0" fontId="3" fillId="0" borderId="10" xfId="0" applyFont="1" applyFill="1" applyBorder="1"/>
    <xf numFmtId="2" fontId="0" fillId="0" borderId="10" xfId="0" applyNumberFormat="1" applyFill="1" applyBorder="1"/>
    <xf numFmtId="0" fontId="3" fillId="0" borderId="0" xfId="0" applyFont="1" applyFill="1" applyBorder="1"/>
    <xf numFmtId="0" fontId="3" fillId="2" borderId="7" xfId="0" applyFont="1" applyFill="1" applyBorder="1" applyAlignment="1">
      <alignment horizontal="center"/>
    </xf>
    <xf numFmtId="2" fontId="3" fillId="0" borderId="0" xfId="0" applyNumberFormat="1" applyFont="1"/>
  </cellXfs>
  <cellStyles count="1">
    <cellStyle name="Normal" xfId="0" builtinId="0"/>
  </cellStyles>
  <dxfs count="2">
    <dxf>
      <numFmt numFmtId="2" formatCode="0.00"/>
    </dxf>
    <dxf>
      <numFmt numFmtId="2" formatCode="0.0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Trend Line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Quarterly!$C$1</c:f>
              <c:strCache>
                <c:ptCount val="1"/>
                <c:pt idx="0">
                  <c:v>Averge House sold for each quarter (y)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Quarterly!$C$2:$C$38</c:f>
              <c:numCache>
                <c:formatCode>General</c:formatCode>
                <c:ptCount val="37"/>
                <c:pt idx="0">
                  <c:v>350919.5</c:v>
                </c:pt>
                <c:pt idx="1">
                  <c:v>454049.66666666669</c:v>
                </c:pt>
                <c:pt idx="2">
                  <c:v>444613.66666666669</c:v>
                </c:pt>
                <c:pt idx="3">
                  <c:v>405853</c:v>
                </c:pt>
                <c:pt idx="4">
                  <c:v>352590.33333333331</c:v>
                </c:pt>
                <c:pt idx="5">
                  <c:v>509317</c:v>
                </c:pt>
                <c:pt idx="6">
                  <c:v>513818</c:v>
                </c:pt>
                <c:pt idx="7">
                  <c:v>415390</c:v>
                </c:pt>
                <c:pt idx="8">
                  <c:v>337159.33333333331</c:v>
                </c:pt>
                <c:pt idx="9">
                  <c:v>500452.33333333331</c:v>
                </c:pt>
                <c:pt idx="10">
                  <c:v>508863.33333333331</c:v>
                </c:pt>
                <c:pt idx="11">
                  <c:v>436664.33333333331</c:v>
                </c:pt>
                <c:pt idx="12">
                  <c:v>369670</c:v>
                </c:pt>
                <c:pt idx="13">
                  <c:v>560437.66666666663</c:v>
                </c:pt>
                <c:pt idx="14">
                  <c:v>573397.33333333337</c:v>
                </c:pt>
                <c:pt idx="15">
                  <c:v>461585</c:v>
                </c:pt>
                <c:pt idx="16">
                  <c:v>399453.66666666669</c:v>
                </c:pt>
                <c:pt idx="17">
                  <c:v>595156</c:v>
                </c:pt>
                <c:pt idx="18">
                  <c:v>585853.33333333337</c:v>
                </c:pt>
                <c:pt idx="19">
                  <c:v>493932.66666666669</c:v>
                </c:pt>
                <c:pt idx="20">
                  <c:v>422856.33333333331</c:v>
                </c:pt>
                <c:pt idx="21">
                  <c:v>615730.33333333337</c:v>
                </c:pt>
                <c:pt idx="22">
                  <c:v>587432</c:v>
                </c:pt>
                <c:pt idx="23">
                  <c:v>509016</c:v>
                </c:pt>
                <c:pt idx="24">
                  <c:v>423010.33333333331</c:v>
                </c:pt>
                <c:pt idx="25">
                  <c:v>619039.66666666663</c:v>
                </c:pt>
                <c:pt idx="26">
                  <c:v>590217.33333333337</c:v>
                </c:pt>
                <c:pt idx="27">
                  <c:v>486777.66666666669</c:v>
                </c:pt>
                <c:pt idx="28">
                  <c:v>402236.33333333331</c:v>
                </c:pt>
                <c:pt idx="29">
                  <c:v>610384.66666666663</c:v>
                </c:pt>
                <c:pt idx="30">
                  <c:v>602428.33333333337</c:v>
                </c:pt>
                <c:pt idx="31">
                  <c:v>515037.66666666669</c:v>
                </c:pt>
                <c:pt idx="32">
                  <c:v>433739.33333333331</c:v>
                </c:pt>
                <c:pt idx="33">
                  <c:v>487255</c:v>
                </c:pt>
                <c:pt idx="34">
                  <c:v>682926.33333333337</c:v>
                </c:pt>
                <c:pt idx="35">
                  <c:v>633168.33333333337</c:v>
                </c:pt>
                <c:pt idx="36">
                  <c:v>483723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95C-4370-8462-B263641830DB}"/>
            </c:ext>
          </c:extLst>
        </c:ser>
        <c:ser>
          <c:idx val="2"/>
          <c:order val="1"/>
          <c:tx>
            <c:v>Predicted House sold 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Quarterly!$V$2:$V$38</c:f>
              <c:numCache>
                <c:formatCode>General</c:formatCode>
                <c:ptCount val="37"/>
                <c:pt idx="0">
                  <c:v>318400.62380952365</c:v>
                </c:pt>
                <c:pt idx="1">
                  <c:v>479860.0878306877</c:v>
                </c:pt>
                <c:pt idx="2">
                  <c:v>495163.12486772495</c:v>
                </c:pt>
                <c:pt idx="3">
                  <c:v>413815.90264550282</c:v>
                </c:pt>
                <c:pt idx="4">
                  <c:v>335986.22222222213</c:v>
                </c:pt>
                <c:pt idx="5">
                  <c:v>497445.68624338618</c:v>
                </c:pt>
                <c:pt idx="6">
                  <c:v>512748.72328042338</c:v>
                </c:pt>
                <c:pt idx="7">
                  <c:v>431401.50105820131</c:v>
                </c:pt>
                <c:pt idx="8">
                  <c:v>353571.82063492056</c:v>
                </c:pt>
                <c:pt idx="9">
                  <c:v>515031.28465608461</c:v>
                </c:pt>
                <c:pt idx="10">
                  <c:v>530334.32169312192</c:v>
                </c:pt>
                <c:pt idx="11">
                  <c:v>448987.09947089973</c:v>
                </c:pt>
                <c:pt idx="12">
                  <c:v>371157.41904761898</c:v>
                </c:pt>
                <c:pt idx="13">
                  <c:v>532616.88306878309</c:v>
                </c:pt>
                <c:pt idx="14">
                  <c:v>547919.92010582029</c:v>
                </c:pt>
                <c:pt idx="15">
                  <c:v>466572.69788359816</c:v>
                </c:pt>
                <c:pt idx="16">
                  <c:v>388743.01746031747</c:v>
                </c:pt>
                <c:pt idx="17">
                  <c:v>550202.48148148158</c:v>
                </c:pt>
                <c:pt idx="18">
                  <c:v>565505.51851851877</c:v>
                </c:pt>
                <c:pt idx="19">
                  <c:v>484158.29629629664</c:v>
                </c:pt>
                <c:pt idx="20">
                  <c:v>406328.61587301595</c:v>
                </c:pt>
                <c:pt idx="21">
                  <c:v>567788.07989417994</c:v>
                </c:pt>
                <c:pt idx="22">
                  <c:v>583091.11693121726</c:v>
                </c:pt>
                <c:pt idx="23">
                  <c:v>501743.89470899513</c:v>
                </c:pt>
                <c:pt idx="24">
                  <c:v>423914.21428571438</c:v>
                </c:pt>
                <c:pt idx="25">
                  <c:v>585373.67830687843</c:v>
                </c:pt>
                <c:pt idx="26">
                  <c:v>600676.71534391562</c:v>
                </c:pt>
                <c:pt idx="27">
                  <c:v>519329.49312169355</c:v>
                </c:pt>
                <c:pt idx="28">
                  <c:v>441499.8126984128</c:v>
                </c:pt>
                <c:pt idx="29">
                  <c:v>602959.27671957691</c:v>
                </c:pt>
                <c:pt idx="30">
                  <c:v>618262.31375661411</c:v>
                </c:pt>
                <c:pt idx="31">
                  <c:v>536915.09153439198</c:v>
                </c:pt>
                <c:pt idx="32">
                  <c:v>459085.41111111129</c:v>
                </c:pt>
                <c:pt idx="33">
                  <c:v>620544.8751322754</c:v>
                </c:pt>
                <c:pt idx="34">
                  <c:v>635847.91216931259</c:v>
                </c:pt>
                <c:pt idx="35">
                  <c:v>554500.68994709046</c:v>
                </c:pt>
                <c:pt idx="36">
                  <c:v>476671.00952380977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95C-4370-8462-B263641830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6328400"/>
        <c:axId val="666325488"/>
      </c:lineChart>
      <c:catAx>
        <c:axId val="6663284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Quarters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6325488"/>
        <c:crosses val="autoZero"/>
        <c:auto val="1"/>
        <c:lblAlgn val="ctr"/>
        <c:lblOffset val="100"/>
        <c:noMultiLvlLbl val="0"/>
      </c:catAx>
      <c:valAx>
        <c:axId val="666325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Average house sold for each quarter</a:t>
                </a:r>
              </a:p>
              <a:p>
                <a:pPr>
                  <a:defRPr/>
                </a:pP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63284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  Residual Plot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Quarterly!$D$2:$D$38</c:f>
              <c:numCache>
                <c:formatCode>General</c:formatCode>
                <c:ptCount val="3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</c:numCache>
            </c:numRef>
          </c:xVal>
          <c:yVal>
            <c:numRef>
              <c:f>'Data analysis toolpak Quarterly'!$C$28:$C$64</c:f>
              <c:numCache>
                <c:formatCode>General</c:formatCode>
                <c:ptCount val="37"/>
                <c:pt idx="0">
                  <c:v>32518.876190476236</c:v>
                </c:pt>
                <c:pt idx="1">
                  <c:v>-25810.421164021071</c:v>
                </c:pt>
                <c:pt idx="2">
                  <c:v>-50549.458201058151</c:v>
                </c:pt>
                <c:pt idx="3">
                  <c:v>-7962.9026455026469</c:v>
                </c:pt>
                <c:pt idx="4">
                  <c:v>16604.111111111124</c:v>
                </c:pt>
                <c:pt idx="5">
                  <c:v>11871.313756613818</c:v>
                </c:pt>
                <c:pt idx="6">
                  <c:v>1069.2767195767956</c:v>
                </c:pt>
                <c:pt idx="7">
                  <c:v>-16011.501058201015</c:v>
                </c:pt>
                <c:pt idx="8">
                  <c:v>-16412.487301587302</c:v>
                </c:pt>
                <c:pt idx="9">
                  <c:v>-14578.951322751294</c:v>
                </c:pt>
                <c:pt idx="10">
                  <c:v>-21470.988359788375</c:v>
                </c:pt>
                <c:pt idx="11">
                  <c:v>-12322.766137566126</c:v>
                </c:pt>
                <c:pt idx="12">
                  <c:v>-1487.4190476189833</c:v>
                </c:pt>
                <c:pt idx="13">
                  <c:v>27820.783597883652</c:v>
                </c:pt>
                <c:pt idx="14">
                  <c:v>25477.413227513316</c:v>
                </c:pt>
                <c:pt idx="15">
                  <c:v>-4987.6978835978662</c:v>
                </c:pt>
                <c:pt idx="16">
                  <c:v>10710.649206349277</c:v>
                </c:pt>
                <c:pt idx="17">
                  <c:v>44953.518518518656</c:v>
                </c:pt>
                <c:pt idx="18">
                  <c:v>20347.814814814832</c:v>
                </c:pt>
                <c:pt idx="19">
                  <c:v>9774.3703703703941</c:v>
                </c:pt>
                <c:pt idx="20">
                  <c:v>16527.717460317479</c:v>
                </c:pt>
                <c:pt idx="21">
                  <c:v>47942.253439153545</c:v>
                </c:pt>
                <c:pt idx="22">
                  <c:v>4340.8830687830923</c:v>
                </c:pt>
                <c:pt idx="23">
                  <c:v>7272.1052910052822</c:v>
                </c:pt>
                <c:pt idx="24">
                  <c:v>-903.88095238094684</c:v>
                </c:pt>
                <c:pt idx="25">
                  <c:v>33665.988359788316</c:v>
                </c:pt>
                <c:pt idx="26">
                  <c:v>-10459.382010581903</c:v>
                </c:pt>
                <c:pt idx="27">
                  <c:v>-32551.826455026399</c:v>
                </c:pt>
                <c:pt idx="28">
                  <c:v>-39263.479365079373</c:v>
                </c:pt>
                <c:pt idx="29">
                  <c:v>7425.3899470899487</c:v>
                </c:pt>
                <c:pt idx="30">
                  <c:v>-15833.980423280387</c:v>
                </c:pt>
                <c:pt idx="31">
                  <c:v>-21877.424867724825</c:v>
                </c:pt>
                <c:pt idx="32">
                  <c:v>-25346.07777777774</c:v>
                </c:pt>
                <c:pt idx="33">
                  <c:v>-133289.87513227505</c:v>
                </c:pt>
                <c:pt idx="34">
                  <c:v>47078.421164021245</c:v>
                </c:pt>
                <c:pt idx="35">
                  <c:v>78667.643386243493</c:v>
                </c:pt>
                <c:pt idx="36">
                  <c:v>7051.99047619052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130-425C-9F9F-E7343503E4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7071360"/>
        <c:axId val="238552192"/>
      </c:scatterChart>
      <c:valAx>
        <c:axId val="2370713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38552192"/>
        <c:crosses val="autoZero"/>
        <c:crossBetween val="midCat"/>
      </c:valAx>
      <c:valAx>
        <c:axId val="23855219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3707136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Q2  Residual Plot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Quarterly!$E$2:$E$38</c:f>
              <c:numCache>
                <c:formatCode>General</c:formatCode>
                <c:ptCount val="37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</c:numCache>
            </c:numRef>
          </c:xVal>
          <c:yVal>
            <c:numRef>
              <c:f>'Data analysis toolpak Quarterly'!$C$28:$C$64</c:f>
              <c:numCache>
                <c:formatCode>General</c:formatCode>
                <c:ptCount val="37"/>
                <c:pt idx="0">
                  <c:v>32518.876190476236</c:v>
                </c:pt>
                <c:pt idx="1">
                  <c:v>-25810.421164021071</c:v>
                </c:pt>
                <c:pt idx="2">
                  <c:v>-50549.458201058151</c:v>
                </c:pt>
                <c:pt idx="3">
                  <c:v>-7962.9026455026469</c:v>
                </c:pt>
                <c:pt idx="4">
                  <c:v>16604.111111111124</c:v>
                </c:pt>
                <c:pt idx="5">
                  <c:v>11871.313756613818</c:v>
                </c:pt>
                <c:pt idx="6">
                  <c:v>1069.2767195767956</c:v>
                </c:pt>
                <c:pt idx="7">
                  <c:v>-16011.501058201015</c:v>
                </c:pt>
                <c:pt idx="8">
                  <c:v>-16412.487301587302</c:v>
                </c:pt>
                <c:pt idx="9">
                  <c:v>-14578.951322751294</c:v>
                </c:pt>
                <c:pt idx="10">
                  <c:v>-21470.988359788375</c:v>
                </c:pt>
                <c:pt idx="11">
                  <c:v>-12322.766137566126</c:v>
                </c:pt>
                <c:pt idx="12">
                  <c:v>-1487.4190476189833</c:v>
                </c:pt>
                <c:pt idx="13">
                  <c:v>27820.783597883652</c:v>
                </c:pt>
                <c:pt idx="14">
                  <c:v>25477.413227513316</c:v>
                </c:pt>
                <c:pt idx="15">
                  <c:v>-4987.6978835978662</c:v>
                </c:pt>
                <c:pt idx="16">
                  <c:v>10710.649206349277</c:v>
                </c:pt>
                <c:pt idx="17">
                  <c:v>44953.518518518656</c:v>
                </c:pt>
                <c:pt idx="18">
                  <c:v>20347.814814814832</c:v>
                </c:pt>
                <c:pt idx="19">
                  <c:v>9774.3703703703941</c:v>
                </c:pt>
                <c:pt idx="20">
                  <c:v>16527.717460317479</c:v>
                </c:pt>
                <c:pt idx="21">
                  <c:v>47942.253439153545</c:v>
                </c:pt>
                <c:pt idx="22">
                  <c:v>4340.8830687830923</c:v>
                </c:pt>
                <c:pt idx="23">
                  <c:v>7272.1052910052822</c:v>
                </c:pt>
                <c:pt idx="24">
                  <c:v>-903.88095238094684</c:v>
                </c:pt>
                <c:pt idx="25">
                  <c:v>33665.988359788316</c:v>
                </c:pt>
                <c:pt idx="26">
                  <c:v>-10459.382010581903</c:v>
                </c:pt>
                <c:pt idx="27">
                  <c:v>-32551.826455026399</c:v>
                </c:pt>
                <c:pt idx="28">
                  <c:v>-39263.479365079373</c:v>
                </c:pt>
                <c:pt idx="29">
                  <c:v>7425.3899470899487</c:v>
                </c:pt>
                <c:pt idx="30">
                  <c:v>-15833.980423280387</c:v>
                </c:pt>
                <c:pt idx="31">
                  <c:v>-21877.424867724825</c:v>
                </c:pt>
                <c:pt idx="32">
                  <c:v>-25346.07777777774</c:v>
                </c:pt>
                <c:pt idx="33">
                  <c:v>-133289.87513227505</c:v>
                </c:pt>
                <c:pt idx="34">
                  <c:v>47078.421164021245</c:v>
                </c:pt>
                <c:pt idx="35">
                  <c:v>78667.643386243493</c:v>
                </c:pt>
                <c:pt idx="36">
                  <c:v>7051.99047619052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567-470E-BE59-E83CFCB500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8564480"/>
        <c:axId val="238566400"/>
      </c:scatterChart>
      <c:valAx>
        <c:axId val="2385644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Q2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38566400"/>
        <c:crosses val="autoZero"/>
        <c:crossBetween val="midCat"/>
      </c:valAx>
      <c:valAx>
        <c:axId val="23856640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3856448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Q3  Residual Plot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Quarterly!$F$2:$F$38</c:f>
              <c:numCache>
                <c:formatCode>General</c:formatCode>
                <c:ptCount val="37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1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</c:numCache>
            </c:numRef>
          </c:xVal>
          <c:yVal>
            <c:numRef>
              <c:f>'Data analysis toolpak Quarterly'!$C$28:$C$64</c:f>
              <c:numCache>
                <c:formatCode>General</c:formatCode>
                <c:ptCount val="37"/>
                <c:pt idx="0">
                  <c:v>32518.876190476236</c:v>
                </c:pt>
                <c:pt idx="1">
                  <c:v>-25810.421164021071</c:v>
                </c:pt>
                <c:pt idx="2">
                  <c:v>-50549.458201058151</c:v>
                </c:pt>
                <c:pt idx="3">
                  <c:v>-7962.9026455026469</c:v>
                </c:pt>
                <c:pt idx="4">
                  <c:v>16604.111111111124</c:v>
                </c:pt>
                <c:pt idx="5">
                  <c:v>11871.313756613818</c:v>
                </c:pt>
                <c:pt idx="6">
                  <c:v>1069.2767195767956</c:v>
                </c:pt>
                <c:pt idx="7">
                  <c:v>-16011.501058201015</c:v>
                </c:pt>
                <c:pt idx="8">
                  <c:v>-16412.487301587302</c:v>
                </c:pt>
                <c:pt idx="9">
                  <c:v>-14578.951322751294</c:v>
                </c:pt>
                <c:pt idx="10">
                  <c:v>-21470.988359788375</c:v>
                </c:pt>
                <c:pt idx="11">
                  <c:v>-12322.766137566126</c:v>
                </c:pt>
                <c:pt idx="12">
                  <c:v>-1487.4190476189833</c:v>
                </c:pt>
                <c:pt idx="13">
                  <c:v>27820.783597883652</c:v>
                </c:pt>
                <c:pt idx="14">
                  <c:v>25477.413227513316</c:v>
                </c:pt>
                <c:pt idx="15">
                  <c:v>-4987.6978835978662</c:v>
                </c:pt>
                <c:pt idx="16">
                  <c:v>10710.649206349277</c:v>
                </c:pt>
                <c:pt idx="17">
                  <c:v>44953.518518518656</c:v>
                </c:pt>
                <c:pt idx="18">
                  <c:v>20347.814814814832</c:v>
                </c:pt>
                <c:pt idx="19">
                  <c:v>9774.3703703703941</c:v>
                </c:pt>
                <c:pt idx="20">
                  <c:v>16527.717460317479</c:v>
                </c:pt>
                <c:pt idx="21">
                  <c:v>47942.253439153545</c:v>
                </c:pt>
                <c:pt idx="22">
                  <c:v>4340.8830687830923</c:v>
                </c:pt>
                <c:pt idx="23">
                  <c:v>7272.1052910052822</c:v>
                </c:pt>
                <c:pt idx="24">
                  <c:v>-903.88095238094684</c:v>
                </c:pt>
                <c:pt idx="25">
                  <c:v>33665.988359788316</c:v>
                </c:pt>
                <c:pt idx="26">
                  <c:v>-10459.382010581903</c:v>
                </c:pt>
                <c:pt idx="27">
                  <c:v>-32551.826455026399</c:v>
                </c:pt>
                <c:pt idx="28">
                  <c:v>-39263.479365079373</c:v>
                </c:pt>
                <c:pt idx="29">
                  <c:v>7425.3899470899487</c:v>
                </c:pt>
                <c:pt idx="30">
                  <c:v>-15833.980423280387</c:v>
                </c:pt>
                <c:pt idx="31">
                  <c:v>-21877.424867724825</c:v>
                </c:pt>
                <c:pt idx="32">
                  <c:v>-25346.07777777774</c:v>
                </c:pt>
                <c:pt idx="33">
                  <c:v>-133289.87513227505</c:v>
                </c:pt>
                <c:pt idx="34">
                  <c:v>47078.421164021245</c:v>
                </c:pt>
                <c:pt idx="35">
                  <c:v>78667.643386243493</c:v>
                </c:pt>
                <c:pt idx="36">
                  <c:v>7051.99047619052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E87-4724-8873-8BA870F8FB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8578688"/>
        <c:axId val="238584960"/>
      </c:scatterChart>
      <c:valAx>
        <c:axId val="2385786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Q3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38584960"/>
        <c:crosses val="autoZero"/>
        <c:crossBetween val="midCat"/>
      </c:valAx>
      <c:valAx>
        <c:axId val="238584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3857868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Q4  Residual Plot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Quarterly!$G$2:$G$38</c:f>
              <c:numCache>
                <c:formatCode>General</c:formatCode>
                <c:ptCount val="3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0</c:v>
                </c:pt>
              </c:numCache>
            </c:numRef>
          </c:xVal>
          <c:yVal>
            <c:numRef>
              <c:f>'Data analysis toolpak Quarterly'!$C$28:$C$64</c:f>
              <c:numCache>
                <c:formatCode>General</c:formatCode>
                <c:ptCount val="37"/>
                <c:pt idx="0">
                  <c:v>32518.876190476236</c:v>
                </c:pt>
                <c:pt idx="1">
                  <c:v>-25810.421164021071</c:v>
                </c:pt>
                <c:pt idx="2">
                  <c:v>-50549.458201058151</c:v>
                </c:pt>
                <c:pt idx="3">
                  <c:v>-7962.9026455026469</c:v>
                </c:pt>
                <c:pt idx="4">
                  <c:v>16604.111111111124</c:v>
                </c:pt>
                <c:pt idx="5">
                  <c:v>11871.313756613818</c:v>
                </c:pt>
                <c:pt idx="6">
                  <c:v>1069.2767195767956</c:v>
                </c:pt>
                <c:pt idx="7">
                  <c:v>-16011.501058201015</c:v>
                </c:pt>
                <c:pt idx="8">
                  <c:v>-16412.487301587302</c:v>
                </c:pt>
                <c:pt idx="9">
                  <c:v>-14578.951322751294</c:v>
                </c:pt>
                <c:pt idx="10">
                  <c:v>-21470.988359788375</c:v>
                </c:pt>
                <c:pt idx="11">
                  <c:v>-12322.766137566126</c:v>
                </c:pt>
                <c:pt idx="12">
                  <c:v>-1487.4190476189833</c:v>
                </c:pt>
                <c:pt idx="13">
                  <c:v>27820.783597883652</c:v>
                </c:pt>
                <c:pt idx="14">
                  <c:v>25477.413227513316</c:v>
                </c:pt>
                <c:pt idx="15">
                  <c:v>-4987.6978835978662</c:v>
                </c:pt>
                <c:pt idx="16">
                  <c:v>10710.649206349277</c:v>
                </c:pt>
                <c:pt idx="17">
                  <c:v>44953.518518518656</c:v>
                </c:pt>
                <c:pt idx="18">
                  <c:v>20347.814814814832</c:v>
                </c:pt>
                <c:pt idx="19">
                  <c:v>9774.3703703703941</c:v>
                </c:pt>
                <c:pt idx="20">
                  <c:v>16527.717460317479</c:v>
                </c:pt>
                <c:pt idx="21">
                  <c:v>47942.253439153545</c:v>
                </c:pt>
                <c:pt idx="22">
                  <c:v>4340.8830687830923</c:v>
                </c:pt>
                <c:pt idx="23">
                  <c:v>7272.1052910052822</c:v>
                </c:pt>
                <c:pt idx="24">
                  <c:v>-903.88095238094684</c:v>
                </c:pt>
                <c:pt idx="25">
                  <c:v>33665.988359788316</c:v>
                </c:pt>
                <c:pt idx="26">
                  <c:v>-10459.382010581903</c:v>
                </c:pt>
                <c:pt idx="27">
                  <c:v>-32551.826455026399</c:v>
                </c:pt>
                <c:pt idx="28">
                  <c:v>-39263.479365079373</c:v>
                </c:pt>
                <c:pt idx="29">
                  <c:v>7425.3899470899487</c:v>
                </c:pt>
                <c:pt idx="30">
                  <c:v>-15833.980423280387</c:v>
                </c:pt>
                <c:pt idx="31">
                  <c:v>-21877.424867724825</c:v>
                </c:pt>
                <c:pt idx="32">
                  <c:v>-25346.07777777774</c:v>
                </c:pt>
                <c:pt idx="33">
                  <c:v>-133289.87513227505</c:v>
                </c:pt>
                <c:pt idx="34">
                  <c:v>47078.421164021245</c:v>
                </c:pt>
                <c:pt idx="35">
                  <c:v>78667.643386243493</c:v>
                </c:pt>
                <c:pt idx="36">
                  <c:v>7051.99047619052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18A-468E-8921-5C605B7AB9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8605440"/>
        <c:axId val="238607360"/>
      </c:scatterChart>
      <c:valAx>
        <c:axId val="2386054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Q4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38607360"/>
        <c:crosses val="autoZero"/>
        <c:crossBetween val="midCat"/>
      </c:valAx>
      <c:valAx>
        <c:axId val="2386073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3860544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Normal Probability Plot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'Data analysis toolpak Quarterly'!$F$28:$F$64</c:f>
              <c:numCache>
                <c:formatCode>General</c:formatCode>
                <c:ptCount val="37"/>
                <c:pt idx="0">
                  <c:v>1.3513513513513513</c:v>
                </c:pt>
                <c:pt idx="1">
                  <c:v>4.0540540540540544</c:v>
                </c:pt>
                <c:pt idx="2">
                  <c:v>6.7567567567567561</c:v>
                </c:pt>
                <c:pt idx="3">
                  <c:v>9.4594594594594597</c:v>
                </c:pt>
                <c:pt idx="4">
                  <c:v>12.162162162162161</c:v>
                </c:pt>
                <c:pt idx="5">
                  <c:v>14.864864864864863</c:v>
                </c:pt>
                <c:pt idx="6">
                  <c:v>17.567567567567568</c:v>
                </c:pt>
                <c:pt idx="7">
                  <c:v>20.27027027027027</c:v>
                </c:pt>
                <c:pt idx="8">
                  <c:v>22.972972972972972</c:v>
                </c:pt>
                <c:pt idx="9">
                  <c:v>25.675675675675674</c:v>
                </c:pt>
                <c:pt idx="10">
                  <c:v>28.378378378378375</c:v>
                </c:pt>
                <c:pt idx="11">
                  <c:v>31.081081081081081</c:v>
                </c:pt>
                <c:pt idx="12">
                  <c:v>33.78378378378379</c:v>
                </c:pt>
                <c:pt idx="13">
                  <c:v>36.486486486486491</c:v>
                </c:pt>
                <c:pt idx="14">
                  <c:v>39.189189189189193</c:v>
                </c:pt>
                <c:pt idx="15">
                  <c:v>41.891891891891895</c:v>
                </c:pt>
                <c:pt idx="16">
                  <c:v>44.594594594594597</c:v>
                </c:pt>
                <c:pt idx="17">
                  <c:v>47.297297297297298</c:v>
                </c:pt>
                <c:pt idx="18">
                  <c:v>50</c:v>
                </c:pt>
                <c:pt idx="19">
                  <c:v>52.702702702702702</c:v>
                </c:pt>
                <c:pt idx="20">
                  <c:v>55.405405405405403</c:v>
                </c:pt>
                <c:pt idx="21">
                  <c:v>58.108108108108112</c:v>
                </c:pt>
                <c:pt idx="22">
                  <c:v>60.810810810810814</c:v>
                </c:pt>
                <c:pt idx="23">
                  <c:v>63.513513513513516</c:v>
                </c:pt>
                <c:pt idx="24">
                  <c:v>66.216216216216225</c:v>
                </c:pt>
                <c:pt idx="25">
                  <c:v>68.918918918918919</c:v>
                </c:pt>
                <c:pt idx="26">
                  <c:v>71.621621621621628</c:v>
                </c:pt>
                <c:pt idx="27">
                  <c:v>74.324324324324323</c:v>
                </c:pt>
                <c:pt idx="28">
                  <c:v>77.027027027027032</c:v>
                </c:pt>
                <c:pt idx="29">
                  <c:v>79.729729729729726</c:v>
                </c:pt>
                <c:pt idx="30">
                  <c:v>82.432432432432435</c:v>
                </c:pt>
                <c:pt idx="31">
                  <c:v>85.13513513513513</c:v>
                </c:pt>
                <c:pt idx="32">
                  <c:v>87.837837837837839</c:v>
                </c:pt>
                <c:pt idx="33">
                  <c:v>90.540540540540547</c:v>
                </c:pt>
                <c:pt idx="34">
                  <c:v>93.243243243243242</c:v>
                </c:pt>
                <c:pt idx="35">
                  <c:v>95.945945945945951</c:v>
                </c:pt>
                <c:pt idx="36">
                  <c:v>98.648648648648646</c:v>
                </c:pt>
              </c:numCache>
            </c:numRef>
          </c:xVal>
          <c:yVal>
            <c:numRef>
              <c:f>'Data analysis toolpak Quarterly'!$G$28:$G$64</c:f>
              <c:numCache>
                <c:formatCode>General</c:formatCode>
                <c:ptCount val="37"/>
                <c:pt idx="0">
                  <c:v>337159.33333333331</c:v>
                </c:pt>
                <c:pt idx="1">
                  <c:v>350919.5</c:v>
                </c:pt>
                <c:pt idx="2">
                  <c:v>352590.33333333331</c:v>
                </c:pt>
                <c:pt idx="3">
                  <c:v>369670</c:v>
                </c:pt>
                <c:pt idx="4">
                  <c:v>399453.66666666669</c:v>
                </c:pt>
                <c:pt idx="5">
                  <c:v>402236.33333333331</c:v>
                </c:pt>
                <c:pt idx="6">
                  <c:v>405853</c:v>
                </c:pt>
                <c:pt idx="7">
                  <c:v>415390</c:v>
                </c:pt>
                <c:pt idx="8">
                  <c:v>422856.33333333331</c:v>
                </c:pt>
                <c:pt idx="9">
                  <c:v>423010.33333333331</c:v>
                </c:pt>
                <c:pt idx="10">
                  <c:v>433739.33333333331</c:v>
                </c:pt>
                <c:pt idx="11">
                  <c:v>436664.33333333331</c:v>
                </c:pt>
                <c:pt idx="12">
                  <c:v>444613.66666666669</c:v>
                </c:pt>
                <c:pt idx="13">
                  <c:v>454049.66666666669</c:v>
                </c:pt>
                <c:pt idx="14">
                  <c:v>461585</c:v>
                </c:pt>
                <c:pt idx="15">
                  <c:v>483723</c:v>
                </c:pt>
                <c:pt idx="16">
                  <c:v>486777.66666666669</c:v>
                </c:pt>
                <c:pt idx="17">
                  <c:v>487255</c:v>
                </c:pt>
                <c:pt idx="18">
                  <c:v>493932.66666666669</c:v>
                </c:pt>
                <c:pt idx="19">
                  <c:v>500452.33333333331</c:v>
                </c:pt>
                <c:pt idx="20">
                  <c:v>508863.33333333331</c:v>
                </c:pt>
                <c:pt idx="21">
                  <c:v>509016</c:v>
                </c:pt>
                <c:pt idx="22">
                  <c:v>509317</c:v>
                </c:pt>
                <c:pt idx="23">
                  <c:v>513818</c:v>
                </c:pt>
                <c:pt idx="24">
                  <c:v>515037.66666666669</c:v>
                </c:pt>
                <c:pt idx="25">
                  <c:v>560437.66666666663</c:v>
                </c:pt>
                <c:pt idx="26">
                  <c:v>573397.33333333337</c:v>
                </c:pt>
                <c:pt idx="27">
                  <c:v>585853.33333333337</c:v>
                </c:pt>
                <c:pt idx="28">
                  <c:v>587432</c:v>
                </c:pt>
                <c:pt idx="29">
                  <c:v>590217.33333333337</c:v>
                </c:pt>
                <c:pt idx="30">
                  <c:v>595156</c:v>
                </c:pt>
                <c:pt idx="31">
                  <c:v>602428.33333333337</c:v>
                </c:pt>
                <c:pt idx="32">
                  <c:v>610384.66666666663</c:v>
                </c:pt>
                <c:pt idx="33">
                  <c:v>615730.33333333337</c:v>
                </c:pt>
                <c:pt idx="34">
                  <c:v>619039.66666666663</c:v>
                </c:pt>
                <c:pt idx="35">
                  <c:v>633168.33333333337</c:v>
                </c:pt>
                <c:pt idx="36">
                  <c:v>682926.33333333337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EE6-47FA-B235-A571812BB7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8619648"/>
        <c:axId val="238621824"/>
      </c:scatterChart>
      <c:valAx>
        <c:axId val="2386196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Sample Percentile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38621824"/>
        <c:crosses val="autoZero"/>
        <c:crossBetween val="midCat"/>
      </c:valAx>
      <c:valAx>
        <c:axId val="23862182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Averge House sold for each quarter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3861964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Normality</a:t>
            </a:r>
            <a:r>
              <a:rPr lang="en-US" baseline="0"/>
              <a:t> Plot</a:t>
            </a:r>
            <a:endParaRPr lang="en-US"/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8351088466882819E-2"/>
          <c:y val="0.21795166229221347"/>
          <c:w val="0.90385040773646608"/>
          <c:h val="0.65482210557013709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'Data analysis toolpak Quarterly'!$F$27</c:f>
              <c:strCache>
                <c:ptCount val="1"/>
                <c:pt idx="0">
                  <c:v>Percentile</c:v>
                </c:pt>
              </c:strCache>
            </c:strRef>
          </c:tx>
          <c:spPr>
            <a:ln w="28575">
              <a:noFill/>
            </a:ln>
          </c:spPr>
          <c:xVal>
            <c:numRef>
              <c:f>'Data analysis toolpak Quarterly'!$E$28:$E$64</c:f>
              <c:numCache>
                <c:formatCode>General</c:formatCode>
                <c:ptCount val="37"/>
                <c:pt idx="0">
                  <c:v>-133289.87513227505</c:v>
                </c:pt>
                <c:pt idx="1">
                  <c:v>-50549.458201058151</c:v>
                </c:pt>
                <c:pt idx="2">
                  <c:v>-39263.479365079373</c:v>
                </c:pt>
                <c:pt idx="3">
                  <c:v>-32551.826455026399</c:v>
                </c:pt>
                <c:pt idx="4">
                  <c:v>-25810.421164021071</c:v>
                </c:pt>
                <c:pt idx="5">
                  <c:v>-25346.07777777774</c:v>
                </c:pt>
                <c:pt idx="6">
                  <c:v>-21877.424867724825</c:v>
                </c:pt>
                <c:pt idx="7">
                  <c:v>-21470.988359788375</c:v>
                </c:pt>
                <c:pt idx="8">
                  <c:v>-16412.487301587302</c:v>
                </c:pt>
                <c:pt idx="9">
                  <c:v>-16011.501058201015</c:v>
                </c:pt>
                <c:pt idx="10">
                  <c:v>-15833.980423280387</c:v>
                </c:pt>
                <c:pt idx="11">
                  <c:v>-14578.951322751294</c:v>
                </c:pt>
                <c:pt idx="12">
                  <c:v>-12322.766137566126</c:v>
                </c:pt>
                <c:pt idx="13">
                  <c:v>-10459.382010581903</c:v>
                </c:pt>
                <c:pt idx="14">
                  <c:v>-7962.9026455026469</c:v>
                </c:pt>
                <c:pt idx="15">
                  <c:v>-4987.6978835978662</c:v>
                </c:pt>
                <c:pt idx="16">
                  <c:v>-1487.4190476189833</c:v>
                </c:pt>
                <c:pt idx="17">
                  <c:v>-903.88095238094684</c:v>
                </c:pt>
                <c:pt idx="18">
                  <c:v>1069.2767195767956</c:v>
                </c:pt>
                <c:pt idx="19">
                  <c:v>4340.8830687830923</c:v>
                </c:pt>
                <c:pt idx="20">
                  <c:v>7051.99047619052</c:v>
                </c:pt>
                <c:pt idx="21">
                  <c:v>7272.1052910052822</c:v>
                </c:pt>
                <c:pt idx="22">
                  <c:v>7425.3899470899487</c:v>
                </c:pt>
                <c:pt idx="23">
                  <c:v>9774.3703703703941</c:v>
                </c:pt>
                <c:pt idx="24">
                  <c:v>10710.649206349277</c:v>
                </c:pt>
                <c:pt idx="25">
                  <c:v>11871.313756613818</c:v>
                </c:pt>
                <c:pt idx="26">
                  <c:v>16527.717460317479</c:v>
                </c:pt>
                <c:pt idx="27">
                  <c:v>16604.111111111124</c:v>
                </c:pt>
                <c:pt idx="28">
                  <c:v>20347.814814814832</c:v>
                </c:pt>
                <c:pt idx="29">
                  <c:v>25477.413227513316</c:v>
                </c:pt>
                <c:pt idx="30">
                  <c:v>27820.783597883652</c:v>
                </c:pt>
                <c:pt idx="31">
                  <c:v>32518.876190476236</c:v>
                </c:pt>
                <c:pt idx="32">
                  <c:v>33665.988359788316</c:v>
                </c:pt>
                <c:pt idx="33">
                  <c:v>44953.518518518656</c:v>
                </c:pt>
                <c:pt idx="34">
                  <c:v>47078.421164021245</c:v>
                </c:pt>
                <c:pt idx="35">
                  <c:v>47942.253439153545</c:v>
                </c:pt>
                <c:pt idx="36">
                  <c:v>78667.643386243493</c:v>
                </c:pt>
              </c:numCache>
            </c:numRef>
          </c:xVal>
          <c:yVal>
            <c:numRef>
              <c:f>'Data analysis toolpak Quarterly'!$F$28:$F$64</c:f>
              <c:numCache>
                <c:formatCode>General</c:formatCode>
                <c:ptCount val="37"/>
                <c:pt idx="0">
                  <c:v>1.3513513513513513</c:v>
                </c:pt>
                <c:pt idx="1">
                  <c:v>4.0540540540540544</c:v>
                </c:pt>
                <c:pt idx="2">
                  <c:v>6.7567567567567561</c:v>
                </c:pt>
                <c:pt idx="3">
                  <c:v>9.4594594594594597</c:v>
                </c:pt>
                <c:pt idx="4">
                  <c:v>12.162162162162161</c:v>
                </c:pt>
                <c:pt idx="5">
                  <c:v>14.864864864864863</c:v>
                </c:pt>
                <c:pt idx="6">
                  <c:v>17.567567567567568</c:v>
                </c:pt>
                <c:pt idx="7">
                  <c:v>20.27027027027027</c:v>
                </c:pt>
                <c:pt idx="8">
                  <c:v>22.972972972972972</c:v>
                </c:pt>
                <c:pt idx="9">
                  <c:v>25.675675675675674</c:v>
                </c:pt>
                <c:pt idx="10">
                  <c:v>28.378378378378375</c:v>
                </c:pt>
                <c:pt idx="11">
                  <c:v>31.081081081081081</c:v>
                </c:pt>
                <c:pt idx="12">
                  <c:v>33.78378378378379</c:v>
                </c:pt>
                <c:pt idx="13">
                  <c:v>36.486486486486491</c:v>
                </c:pt>
                <c:pt idx="14">
                  <c:v>39.189189189189193</c:v>
                </c:pt>
                <c:pt idx="15">
                  <c:v>41.891891891891895</c:v>
                </c:pt>
                <c:pt idx="16">
                  <c:v>44.594594594594597</c:v>
                </c:pt>
                <c:pt idx="17">
                  <c:v>47.297297297297298</c:v>
                </c:pt>
                <c:pt idx="18">
                  <c:v>50</c:v>
                </c:pt>
                <c:pt idx="19">
                  <c:v>52.702702702702702</c:v>
                </c:pt>
                <c:pt idx="20">
                  <c:v>55.405405405405403</c:v>
                </c:pt>
                <c:pt idx="21">
                  <c:v>58.108108108108112</c:v>
                </c:pt>
                <c:pt idx="22">
                  <c:v>60.810810810810814</c:v>
                </c:pt>
                <c:pt idx="23">
                  <c:v>63.513513513513516</c:v>
                </c:pt>
                <c:pt idx="24">
                  <c:v>66.216216216216225</c:v>
                </c:pt>
                <c:pt idx="25">
                  <c:v>68.918918918918919</c:v>
                </c:pt>
                <c:pt idx="26">
                  <c:v>71.621621621621628</c:v>
                </c:pt>
                <c:pt idx="27">
                  <c:v>74.324324324324323</c:v>
                </c:pt>
                <c:pt idx="28">
                  <c:v>77.027027027027032</c:v>
                </c:pt>
                <c:pt idx="29">
                  <c:v>79.729729729729726</c:v>
                </c:pt>
                <c:pt idx="30">
                  <c:v>82.432432432432435</c:v>
                </c:pt>
                <c:pt idx="31">
                  <c:v>85.13513513513513</c:v>
                </c:pt>
                <c:pt idx="32">
                  <c:v>87.837837837837839</c:v>
                </c:pt>
                <c:pt idx="33">
                  <c:v>90.540540540540547</c:v>
                </c:pt>
                <c:pt idx="34">
                  <c:v>93.243243243243242</c:v>
                </c:pt>
                <c:pt idx="35">
                  <c:v>95.945945945945951</c:v>
                </c:pt>
                <c:pt idx="36">
                  <c:v>98.648648648648646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86C-4373-BFBD-A19A1FEDA4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8638208"/>
        <c:axId val="238639744"/>
      </c:scatterChart>
      <c:valAx>
        <c:axId val="2386382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38639744"/>
        <c:crosses val="autoZero"/>
        <c:crossBetween val="midCat"/>
      </c:valAx>
      <c:valAx>
        <c:axId val="2386397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386382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Forecasting!$B$1</c:f>
              <c:strCache>
                <c:ptCount val="1"/>
                <c:pt idx="0">
                  <c:v>Averge House sold for each quarter (y)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Forecasting!$B$2:$B$46</c:f>
              <c:numCache>
                <c:formatCode>General</c:formatCode>
                <c:ptCount val="45"/>
                <c:pt idx="0">
                  <c:v>350919.5</c:v>
                </c:pt>
                <c:pt idx="1">
                  <c:v>454049.66666666669</c:v>
                </c:pt>
                <c:pt idx="2">
                  <c:v>444613.66666666669</c:v>
                </c:pt>
                <c:pt idx="3">
                  <c:v>405853</c:v>
                </c:pt>
                <c:pt idx="4">
                  <c:v>352590.33333333331</c:v>
                </c:pt>
                <c:pt idx="5">
                  <c:v>509317</c:v>
                </c:pt>
                <c:pt idx="6">
                  <c:v>513818</c:v>
                </c:pt>
                <c:pt idx="7">
                  <c:v>415390</c:v>
                </c:pt>
                <c:pt idx="8">
                  <c:v>337159.33333333331</c:v>
                </c:pt>
                <c:pt idx="9">
                  <c:v>500452.33333333331</c:v>
                </c:pt>
                <c:pt idx="10">
                  <c:v>508863.33333333331</c:v>
                </c:pt>
                <c:pt idx="11">
                  <c:v>436664.33333333331</c:v>
                </c:pt>
                <c:pt idx="12">
                  <c:v>369670</c:v>
                </c:pt>
                <c:pt idx="13">
                  <c:v>560437.66666666663</c:v>
                </c:pt>
                <c:pt idx="14">
                  <c:v>573397.33333333337</c:v>
                </c:pt>
                <c:pt idx="15">
                  <c:v>461585</c:v>
                </c:pt>
                <c:pt idx="16">
                  <c:v>399453.66666666669</c:v>
                </c:pt>
                <c:pt idx="17">
                  <c:v>595156</c:v>
                </c:pt>
                <c:pt idx="18">
                  <c:v>585853.33333333337</c:v>
                </c:pt>
                <c:pt idx="19">
                  <c:v>493932.66666666669</c:v>
                </c:pt>
                <c:pt idx="20">
                  <c:v>422856.33333333331</c:v>
                </c:pt>
                <c:pt idx="21">
                  <c:v>615730.33333333337</c:v>
                </c:pt>
                <c:pt idx="22">
                  <c:v>587432</c:v>
                </c:pt>
                <c:pt idx="23">
                  <c:v>509016</c:v>
                </c:pt>
                <c:pt idx="24">
                  <c:v>423010.33333333331</c:v>
                </c:pt>
                <c:pt idx="25">
                  <c:v>619039.66666666663</c:v>
                </c:pt>
                <c:pt idx="26">
                  <c:v>590217.33333333337</c:v>
                </c:pt>
                <c:pt idx="27">
                  <c:v>486777.66666666669</c:v>
                </c:pt>
                <c:pt idx="28">
                  <c:v>402236.33333333331</c:v>
                </c:pt>
                <c:pt idx="29">
                  <c:v>610384.66666666663</c:v>
                </c:pt>
                <c:pt idx="30">
                  <c:v>602428.33333333337</c:v>
                </c:pt>
                <c:pt idx="31">
                  <c:v>515037.66666666669</c:v>
                </c:pt>
                <c:pt idx="32">
                  <c:v>433739.33333333331</c:v>
                </c:pt>
                <c:pt idx="33">
                  <c:v>487255</c:v>
                </c:pt>
                <c:pt idx="34">
                  <c:v>682926.33333333337</c:v>
                </c:pt>
                <c:pt idx="35">
                  <c:v>633168.33333333337</c:v>
                </c:pt>
                <c:pt idx="36">
                  <c:v>483723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44B-4F35-9E79-05C47E5CB745}"/>
            </c:ext>
          </c:extLst>
        </c:ser>
        <c:ser>
          <c:idx val="1"/>
          <c:order val="1"/>
          <c:tx>
            <c:strRef>
              <c:f>Forecasting!$C$1</c:f>
              <c:strCache>
                <c:ptCount val="1"/>
                <c:pt idx="0">
                  <c:v>Forecast(Averge House sold for each quarter (y))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Forecasting!$A$2:$A$46</c:f>
              <c:numCache>
                <c:formatCode>General</c:formatCode>
                <c:ptCount val="4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</c:numCache>
            </c:numRef>
          </c:cat>
          <c:val>
            <c:numRef>
              <c:f>Forecasting!$C$2:$C$46</c:f>
              <c:numCache>
                <c:formatCode>General</c:formatCode>
                <c:ptCount val="45"/>
                <c:pt idx="36">
                  <c:v>483723</c:v>
                </c:pt>
                <c:pt idx="37">
                  <c:v>657842.92117560992</c:v>
                </c:pt>
                <c:pt idx="38">
                  <c:v>660757.42001811974</c:v>
                </c:pt>
                <c:pt idx="39">
                  <c:v>587186.11156302877</c:v>
                </c:pt>
                <c:pt idx="40">
                  <c:v>516979.90492395265</c:v>
                </c:pt>
                <c:pt idx="41">
                  <c:v>675420.54992411693</c:v>
                </c:pt>
                <c:pt idx="42">
                  <c:v>678335.04876662651</c:v>
                </c:pt>
                <c:pt idx="43">
                  <c:v>604763.74031153577</c:v>
                </c:pt>
                <c:pt idx="44">
                  <c:v>534557.53367245966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44B-4F35-9E79-05C47E5CB745}"/>
            </c:ext>
          </c:extLst>
        </c:ser>
        <c:ser>
          <c:idx val="2"/>
          <c:order val="2"/>
          <c:tx>
            <c:strRef>
              <c:f>Forecasting!$D$1</c:f>
              <c:strCache>
                <c:ptCount val="1"/>
                <c:pt idx="0">
                  <c:v>Lower Confidence Bound(Averge House sold for each quarter (y))</c:v>
                </c:pt>
              </c:strCache>
            </c:strRef>
          </c:tx>
          <c:spPr>
            <a:ln w="12700" cap="rnd">
              <a:solidFill>
                <a:srgbClr val="C0504D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Forecasting!$A$2:$A$46</c:f>
              <c:numCache>
                <c:formatCode>General</c:formatCode>
                <c:ptCount val="4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</c:numCache>
            </c:numRef>
          </c:cat>
          <c:val>
            <c:numRef>
              <c:f>Forecasting!$D$2:$D$46</c:f>
              <c:numCache>
                <c:formatCode>General</c:formatCode>
                <c:ptCount val="45"/>
                <c:pt idx="36" formatCode="0.00">
                  <c:v>483723</c:v>
                </c:pt>
                <c:pt idx="37" formatCode="0.00">
                  <c:v>575127.10758472548</c:v>
                </c:pt>
                <c:pt idx="38" formatCode="0.00">
                  <c:v>557263.30943348154</c:v>
                </c:pt>
                <c:pt idx="39" formatCode="0.00">
                  <c:v>466395.1636337043</c:v>
                </c:pt>
                <c:pt idx="40" formatCode="0.00">
                  <c:v>381038.05695324135</c:v>
                </c:pt>
                <c:pt idx="41" formatCode="0.00">
                  <c:v>525785.72271704744</c:v>
                </c:pt>
                <c:pt idx="42" formatCode="0.00">
                  <c:v>516159.2891818874</c:v>
                </c:pt>
                <c:pt idx="43" formatCode="0.00">
                  <c:v>430919.77497483714</c:v>
                </c:pt>
                <c:pt idx="44" formatCode="0.00">
                  <c:v>349752.67156542052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44B-4F35-9E79-05C47E5CB745}"/>
            </c:ext>
          </c:extLst>
        </c:ser>
        <c:ser>
          <c:idx val="3"/>
          <c:order val="3"/>
          <c:tx>
            <c:strRef>
              <c:f>Forecasting!$E$1</c:f>
              <c:strCache>
                <c:ptCount val="1"/>
                <c:pt idx="0">
                  <c:v>Upper Confidence Bound(Averge House sold for each quarter (y))</c:v>
                </c:pt>
              </c:strCache>
            </c:strRef>
          </c:tx>
          <c:spPr>
            <a:ln w="12700" cap="rnd">
              <a:solidFill>
                <a:srgbClr val="C0504D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Forecasting!$A$2:$A$46</c:f>
              <c:numCache>
                <c:formatCode>General</c:formatCode>
                <c:ptCount val="4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</c:numCache>
            </c:numRef>
          </c:cat>
          <c:val>
            <c:numRef>
              <c:f>Forecasting!$E$2:$E$46</c:f>
              <c:numCache>
                <c:formatCode>General</c:formatCode>
                <c:ptCount val="45"/>
                <c:pt idx="36" formatCode="0.00">
                  <c:v>483723</c:v>
                </c:pt>
                <c:pt idx="37" formatCode="0.00">
                  <c:v>740558.73476649437</c:v>
                </c:pt>
                <c:pt idx="38" formatCode="0.00">
                  <c:v>764251.53060275794</c:v>
                </c:pt>
                <c:pt idx="39" formatCode="0.00">
                  <c:v>707977.05949235323</c:v>
                </c:pt>
                <c:pt idx="40" formatCode="0.00">
                  <c:v>652921.75289466395</c:v>
                </c:pt>
                <c:pt idx="41" formatCode="0.00">
                  <c:v>825055.37713118643</c:v>
                </c:pt>
                <c:pt idx="42" formatCode="0.00">
                  <c:v>840510.80835136562</c:v>
                </c:pt>
                <c:pt idx="43" formatCode="0.00">
                  <c:v>778607.70564823435</c:v>
                </c:pt>
                <c:pt idx="44" formatCode="0.00">
                  <c:v>719362.39577949885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44B-4F35-9E79-05C47E5CB7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00293136"/>
        <c:axId val="2091190752"/>
      </c:lineChart>
      <c:catAx>
        <c:axId val="1900293136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1190752"/>
        <c:crosses val="autoZero"/>
        <c:auto val="1"/>
        <c:lblAlgn val="ctr"/>
        <c:lblOffset val="100"/>
        <c:noMultiLvlLbl val="0"/>
      </c:catAx>
      <c:valAx>
        <c:axId val="2091190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0293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6" Type="http://schemas.openxmlformats.org/officeDocument/2006/relationships/chart" Target="../charts/chart7.xml"/><Relationship Id="rId5" Type="http://schemas.openxmlformats.org/officeDocument/2006/relationships/chart" Target="../charts/chart6.xml"/><Relationship Id="rId4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142874</xdr:colOff>
      <xdr:row>53</xdr:row>
      <xdr:rowOff>161926</xdr:rowOff>
    </xdr:from>
    <xdr:to>
      <xdr:col>20</xdr:col>
      <xdr:colOff>523874</xdr:colOff>
      <xdr:row>74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0344BB9-126C-4D0F-B125-9033C4D437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22860</xdr:colOff>
      <xdr:row>0</xdr:row>
      <xdr:rowOff>0</xdr:rowOff>
    </xdr:from>
    <xdr:to>
      <xdr:col>17</xdr:col>
      <xdr:colOff>22860</xdr:colOff>
      <xdr:row>10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</xdr:colOff>
      <xdr:row>0</xdr:row>
      <xdr:rowOff>1</xdr:rowOff>
    </xdr:from>
    <xdr:to>
      <xdr:col>0</xdr:col>
      <xdr:colOff>1588</xdr:colOff>
      <xdr:row>0</xdr:row>
      <xdr:rowOff>1588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</xdr:colOff>
      <xdr:row>0</xdr:row>
      <xdr:rowOff>1</xdr:rowOff>
    </xdr:from>
    <xdr:to>
      <xdr:col>0</xdr:col>
      <xdr:colOff>1588</xdr:colOff>
      <xdr:row>0</xdr:row>
      <xdr:rowOff>1588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</xdr:colOff>
      <xdr:row>0</xdr:row>
      <xdr:rowOff>1</xdr:rowOff>
    </xdr:from>
    <xdr:to>
      <xdr:col>0</xdr:col>
      <xdr:colOff>1588</xdr:colOff>
      <xdr:row>0</xdr:row>
      <xdr:rowOff>1588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22860</xdr:colOff>
      <xdr:row>10</xdr:row>
      <xdr:rowOff>175261</xdr:rowOff>
    </xdr:from>
    <xdr:to>
      <xdr:col>17</xdr:col>
      <xdr:colOff>22860</xdr:colOff>
      <xdr:row>20</xdr:row>
      <xdr:rowOff>182881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</xdr:col>
      <xdr:colOff>24764</xdr:colOff>
      <xdr:row>22</xdr:row>
      <xdr:rowOff>152400</xdr:rowOff>
    </xdr:from>
    <xdr:to>
      <xdr:col>19</xdr:col>
      <xdr:colOff>129540</xdr:colOff>
      <xdr:row>37</xdr:row>
      <xdr:rowOff>28575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1775460</xdr:colOff>
      <xdr:row>5</xdr:row>
      <xdr:rowOff>15240</xdr:rowOff>
    </xdr:from>
    <xdr:to>
      <xdr:col>4</xdr:col>
      <xdr:colOff>2430780</xdr:colOff>
      <xdr:row>23</xdr:row>
      <xdr:rowOff>137160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D65A879-9199-4745-982E-32C95FE3E7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5366DD-DB2F-44E2-B7BF-87145D97A6BD}" name="Table1" displayName="Table1" ref="A1:E46" totalsRowShown="0">
  <autoFilter ref="A1:E46" xr:uid="{5B9C442B-2E02-4F84-A8C1-8C02D6AF2EDE}"/>
  <tableColumns count="5">
    <tableColumn id="1" xr3:uid="{A6F9E31C-3ABE-4427-82BA-0E8A43E2ED7C}" name="t (x1)"/>
    <tableColumn id="2" xr3:uid="{06AEE147-EB98-43FD-8007-90DA417B346F}" name="Averge House sold for each quarter (y)"/>
    <tableColumn id="3" xr3:uid="{7250D0BE-233A-4754-92F6-3885606BEC80}" name="Forecast(Averge House sold for each quarter (y))">
      <calculatedColumnFormula>_xlfn.FORECAST.ETS(A2,$B$2:$B$38,$A$2:$A$38,1,1)</calculatedColumnFormula>
    </tableColumn>
    <tableColumn id="4" xr3:uid="{0F3C6CF0-3940-4054-A1CF-CB0846F9B095}" name="Lower Confidence Bound(Averge House sold for each quarter (y))" dataDxfId="1">
      <calculatedColumnFormula>C2-_xlfn.FORECAST.ETS.CONFINT(A2,$B$2:$B$38,$A$2:$A$38,0.95,1,1)</calculatedColumnFormula>
    </tableColumn>
    <tableColumn id="5" xr3:uid="{8CF2B219-B47B-4A68-B19C-4830D19FE234}" name="Upper Confidence Bound(Averge House sold for each quarter (y))" dataDxfId="0">
      <calculatedColumnFormula>C2+_xlfn.FORECAST.ETS.CONFINT(A2,$B$2:$B$38,$A$2:$A$38,0.95,1,1)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1"/>
  <sheetViews>
    <sheetView workbookViewId="0">
      <selection activeCell="J13" sqref="J13"/>
    </sheetView>
  </sheetViews>
  <sheetFormatPr defaultRowHeight="14.4" x14ac:dyDescent="0.3"/>
  <cols>
    <col min="3" max="3" width="14.8867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4</v>
      </c>
      <c r="E1" t="s">
        <v>36</v>
      </c>
      <c r="F1" t="s">
        <v>37</v>
      </c>
    </row>
    <row r="2" spans="1:6" x14ac:dyDescent="0.3">
      <c r="A2" t="s">
        <v>3</v>
      </c>
      <c r="B2" s="1">
        <v>40940</v>
      </c>
      <c r="C2">
        <v>306059</v>
      </c>
      <c r="D2" t="str">
        <f t="shared" ref="D2:D33" si="0">TEXT(B2,"mmmm")</f>
        <v>February</v>
      </c>
      <c r="E2">
        <f t="shared" ref="E2:E33" si="1">ROUNDUP(MONTH(B2)/3,0)</f>
        <v>1</v>
      </c>
      <c r="F2">
        <f>AVERAGE(C2,C3)</f>
        <v>350919.5</v>
      </c>
    </row>
    <row r="3" spans="1:6" x14ac:dyDescent="0.3">
      <c r="A3" t="s">
        <v>3</v>
      </c>
      <c r="B3" s="1">
        <v>40969</v>
      </c>
      <c r="C3">
        <v>395780</v>
      </c>
      <c r="D3" t="str">
        <f t="shared" si="0"/>
        <v>March</v>
      </c>
      <c r="E3">
        <f t="shared" si="1"/>
        <v>1</v>
      </c>
    </row>
    <row r="4" spans="1:6" x14ac:dyDescent="0.3">
      <c r="A4" t="s">
        <v>3</v>
      </c>
      <c r="B4" s="1">
        <v>41000</v>
      </c>
      <c r="C4">
        <v>406603</v>
      </c>
      <c r="D4" t="str">
        <f t="shared" si="0"/>
        <v>April</v>
      </c>
      <c r="E4">
        <f t="shared" si="1"/>
        <v>2</v>
      </c>
      <c r="F4">
        <f>AVERAGE(C4,C5,C6)</f>
        <v>454049.66666666669</v>
      </c>
    </row>
    <row r="5" spans="1:6" x14ac:dyDescent="0.3">
      <c r="A5" t="s">
        <v>3</v>
      </c>
      <c r="B5" s="1">
        <v>41030</v>
      </c>
      <c r="C5">
        <v>465926</v>
      </c>
      <c r="D5" t="str">
        <f t="shared" si="0"/>
        <v>May</v>
      </c>
      <c r="E5">
        <f t="shared" si="1"/>
        <v>2</v>
      </c>
    </row>
    <row r="6" spans="1:6" x14ac:dyDescent="0.3">
      <c r="A6" t="s">
        <v>3</v>
      </c>
      <c r="B6" s="1">
        <v>41061</v>
      </c>
      <c r="C6">
        <v>489620</v>
      </c>
      <c r="D6" t="str">
        <f t="shared" si="0"/>
        <v>June</v>
      </c>
      <c r="E6">
        <f t="shared" si="1"/>
        <v>2</v>
      </c>
    </row>
    <row r="7" spans="1:6" x14ac:dyDescent="0.3">
      <c r="A7" t="s">
        <v>3</v>
      </c>
      <c r="B7" s="1">
        <v>41091</v>
      </c>
      <c r="C7">
        <v>452781</v>
      </c>
      <c r="D7" t="str">
        <f t="shared" si="0"/>
        <v>July</v>
      </c>
      <c r="E7">
        <f t="shared" si="1"/>
        <v>3</v>
      </c>
      <c r="F7">
        <f>AVERAGE(C7,C8,C9)</f>
        <v>444613.66666666669</v>
      </c>
    </row>
    <row r="8" spans="1:6" x14ac:dyDescent="0.3">
      <c r="A8" t="s">
        <v>3</v>
      </c>
      <c r="B8" s="1">
        <v>41122</v>
      </c>
      <c r="C8">
        <v>487259</v>
      </c>
      <c r="D8" t="str">
        <f t="shared" si="0"/>
        <v>August</v>
      </c>
      <c r="E8">
        <f t="shared" si="1"/>
        <v>3</v>
      </c>
    </row>
    <row r="9" spans="1:6" x14ac:dyDescent="0.3">
      <c r="A9" t="s">
        <v>3</v>
      </c>
      <c r="B9" s="1">
        <v>41153</v>
      </c>
      <c r="C9">
        <v>393801</v>
      </c>
      <c r="D9" t="str">
        <f t="shared" si="0"/>
        <v>September</v>
      </c>
      <c r="E9">
        <f t="shared" si="1"/>
        <v>3</v>
      </c>
    </row>
    <row r="10" spans="1:6" x14ac:dyDescent="0.3">
      <c r="A10" t="s">
        <v>3</v>
      </c>
      <c r="B10" s="1">
        <v>41183</v>
      </c>
      <c r="C10">
        <v>424766</v>
      </c>
      <c r="D10" t="str">
        <f t="shared" si="0"/>
        <v>October</v>
      </c>
      <c r="E10">
        <f t="shared" si="1"/>
        <v>4</v>
      </c>
      <c r="F10">
        <f>AVERAGE(C10,C11,C12)</f>
        <v>405853</v>
      </c>
    </row>
    <row r="11" spans="1:6" x14ac:dyDescent="0.3">
      <c r="A11" t="s">
        <v>3</v>
      </c>
      <c r="B11" s="1">
        <v>41214</v>
      </c>
      <c r="C11">
        <v>400096</v>
      </c>
      <c r="D11" t="str">
        <f t="shared" si="0"/>
        <v>November</v>
      </c>
      <c r="E11">
        <f t="shared" si="1"/>
        <v>4</v>
      </c>
    </row>
    <row r="12" spans="1:6" x14ac:dyDescent="0.3">
      <c r="A12" t="s">
        <v>3</v>
      </c>
      <c r="B12" s="1">
        <v>41244</v>
      </c>
      <c r="C12">
        <v>392697</v>
      </c>
      <c r="D12" t="str">
        <f t="shared" si="0"/>
        <v>December</v>
      </c>
      <c r="E12">
        <f t="shared" si="1"/>
        <v>4</v>
      </c>
    </row>
    <row r="13" spans="1:6" x14ac:dyDescent="0.3">
      <c r="A13" t="s">
        <v>3</v>
      </c>
      <c r="B13" s="1">
        <v>41275</v>
      </c>
      <c r="C13">
        <v>312816</v>
      </c>
      <c r="D13" t="str">
        <f t="shared" si="0"/>
        <v>January</v>
      </c>
      <c r="E13">
        <f t="shared" si="1"/>
        <v>1</v>
      </c>
      <c r="F13">
        <f>AVERAGE(C13,C14,C15)</f>
        <v>352590.33333333331</v>
      </c>
    </row>
    <row r="14" spans="1:6" x14ac:dyDescent="0.3">
      <c r="A14" t="s">
        <v>3</v>
      </c>
      <c r="B14" s="1">
        <v>41306</v>
      </c>
      <c r="C14">
        <v>323301</v>
      </c>
      <c r="D14" t="str">
        <f t="shared" si="0"/>
        <v>February</v>
      </c>
      <c r="E14">
        <f t="shared" si="1"/>
        <v>1</v>
      </c>
    </row>
    <row r="15" spans="1:6" x14ac:dyDescent="0.3">
      <c r="A15" t="s">
        <v>3</v>
      </c>
      <c r="B15" s="1">
        <v>41334</v>
      </c>
      <c r="C15">
        <v>421654</v>
      </c>
      <c r="D15" t="str">
        <f t="shared" si="0"/>
        <v>March</v>
      </c>
      <c r="E15">
        <f t="shared" si="1"/>
        <v>1</v>
      </c>
    </row>
    <row r="16" spans="1:6" x14ac:dyDescent="0.3">
      <c r="A16" t="s">
        <v>3</v>
      </c>
      <c r="B16" s="1">
        <v>41365</v>
      </c>
      <c r="C16">
        <v>462105</v>
      </c>
      <c r="D16" t="str">
        <f t="shared" si="0"/>
        <v>April</v>
      </c>
      <c r="E16">
        <f t="shared" si="1"/>
        <v>2</v>
      </c>
      <c r="F16">
        <f>AVERAGE(C16,C17,C18)</f>
        <v>509317</v>
      </c>
    </row>
    <row r="17" spans="1:6" x14ac:dyDescent="0.3">
      <c r="A17" t="s">
        <v>3</v>
      </c>
      <c r="B17" s="1">
        <v>41395</v>
      </c>
      <c r="C17">
        <v>537166</v>
      </c>
      <c r="D17" t="str">
        <f t="shared" si="0"/>
        <v>May</v>
      </c>
      <c r="E17">
        <f t="shared" si="1"/>
        <v>2</v>
      </c>
    </row>
    <row r="18" spans="1:6" x14ac:dyDescent="0.3">
      <c r="A18" t="s">
        <v>3</v>
      </c>
      <c r="B18" s="1">
        <v>41426</v>
      </c>
      <c r="C18">
        <v>528680</v>
      </c>
      <c r="D18" t="str">
        <f t="shared" si="0"/>
        <v>June</v>
      </c>
      <c r="E18">
        <f t="shared" si="1"/>
        <v>2</v>
      </c>
    </row>
    <row r="19" spans="1:6" x14ac:dyDescent="0.3">
      <c r="A19" t="s">
        <v>3</v>
      </c>
      <c r="B19" s="1">
        <v>41456</v>
      </c>
      <c r="C19">
        <v>550716</v>
      </c>
      <c r="D19" t="str">
        <f t="shared" si="0"/>
        <v>July</v>
      </c>
      <c r="E19">
        <f t="shared" si="1"/>
        <v>3</v>
      </c>
      <c r="F19">
        <f>AVERAGE(C19,C20,C21)</f>
        <v>513818</v>
      </c>
    </row>
    <row r="20" spans="1:6" x14ac:dyDescent="0.3">
      <c r="A20" t="s">
        <v>3</v>
      </c>
      <c r="B20" s="1">
        <v>41487</v>
      </c>
      <c r="C20">
        <v>540358</v>
      </c>
      <c r="D20" t="str">
        <f t="shared" si="0"/>
        <v>August</v>
      </c>
      <c r="E20">
        <f t="shared" si="1"/>
        <v>3</v>
      </c>
    </row>
    <row r="21" spans="1:6" x14ac:dyDescent="0.3">
      <c r="A21" t="s">
        <v>3</v>
      </c>
      <c r="B21" s="1">
        <v>41518</v>
      </c>
      <c r="C21">
        <v>450380</v>
      </c>
      <c r="D21" t="str">
        <f t="shared" si="0"/>
        <v>September</v>
      </c>
      <c r="E21">
        <f t="shared" si="1"/>
        <v>3</v>
      </c>
    </row>
    <row r="22" spans="1:6" x14ac:dyDescent="0.3">
      <c r="A22" t="s">
        <v>3</v>
      </c>
      <c r="B22" s="1">
        <v>41548</v>
      </c>
      <c r="C22">
        <v>449802</v>
      </c>
      <c r="D22" t="str">
        <f t="shared" si="0"/>
        <v>October</v>
      </c>
      <c r="E22">
        <f t="shared" si="1"/>
        <v>4</v>
      </c>
      <c r="F22">
        <f>AVERAGE(C22,C23,C24)</f>
        <v>415390</v>
      </c>
    </row>
    <row r="23" spans="1:6" x14ac:dyDescent="0.3">
      <c r="A23" t="s">
        <v>3</v>
      </c>
      <c r="B23" s="1">
        <v>41579</v>
      </c>
      <c r="C23">
        <v>385861</v>
      </c>
      <c r="D23" t="str">
        <f t="shared" si="0"/>
        <v>November</v>
      </c>
      <c r="E23">
        <f t="shared" si="1"/>
        <v>4</v>
      </c>
    </row>
    <row r="24" spans="1:6" x14ac:dyDescent="0.3">
      <c r="A24" t="s">
        <v>3</v>
      </c>
      <c r="B24" s="1">
        <v>41609</v>
      </c>
      <c r="C24">
        <v>410507</v>
      </c>
      <c r="D24" t="str">
        <f t="shared" si="0"/>
        <v>December</v>
      </c>
      <c r="E24">
        <f t="shared" si="1"/>
        <v>4</v>
      </c>
    </row>
    <row r="25" spans="1:6" x14ac:dyDescent="0.3">
      <c r="A25" t="s">
        <v>3</v>
      </c>
      <c r="B25" s="1">
        <v>41640</v>
      </c>
      <c r="C25">
        <v>304799</v>
      </c>
      <c r="D25" t="str">
        <f t="shared" si="0"/>
        <v>January</v>
      </c>
      <c r="E25">
        <f t="shared" si="1"/>
        <v>1</v>
      </c>
      <c r="F25">
        <f>AVERAGE(C25,C26,C27)</f>
        <v>337159.33333333331</v>
      </c>
    </row>
    <row r="26" spans="1:6" x14ac:dyDescent="0.3">
      <c r="A26" t="s">
        <v>3</v>
      </c>
      <c r="B26" s="1">
        <v>41671</v>
      </c>
      <c r="C26">
        <v>312516</v>
      </c>
      <c r="D26" t="str">
        <f t="shared" si="0"/>
        <v>February</v>
      </c>
      <c r="E26">
        <f t="shared" si="1"/>
        <v>1</v>
      </c>
    </row>
    <row r="27" spans="1:6" x14ac:dyDescent="0.3">
      <c r="A27" t="s">
        <v>3</v>
      </c>
      <c r="B27" s="1">
        <v>41699</v>
      </c>
      <c r="C27">
        <v>394163</v>
      </c>
      <c r="D27" t="str">
        <f t="shared" si="0"/>
        <v>March</v>
      </c>
      <c r="E27">
        <f t="shared" si="1"/>
        <v>1</v>
      </c>
    </row>
    <row r="28" spans="1:6" x14ac:dyDescent="0.3">
      <c r="A28" t="s">
        <v>3</v>
      </c>
      <c r="B28" s="1">
        <v>41730</v>
      </c>
      <c r="C28">
        <v>446186</v>
      </c>
      <c r="D28" t="str">
        <f t="shared" si="0"/>
        <v>April</v>
      </c>
      <c r="E28">
        <f t="shared" si="1"/>
        <v>2</v>
      </c>
      <c r="F28">
        <f>AVERAGE(C28,C29,C30)</f>
        <v>500452.33333333331</v>
      </c>
    </row>
    <row r="29" spans="1:6" x14ac:dyDescent="0.3">
      <c r="A29" t="s">
        <v>3</v>
      </c>
      <c r="B29" s="1">
        <v>41760</v>
      </c>
      <c r="C29">
        <v>509779</v>
      </c>
      <c r="D29" t="str">
        <f t="shared" si="0"/>
        <v>May</v>
      </c>
      <c r="E29">
        <f t="shared" si="1"/>
        <v>2</v>
      </c>
    </row>
    <row r="30" spans="1:6" x14ac:dyDescent="0.3">
      <c r="A30" t="s">
        <v>3</v>
      </c>
      <c r="B30" s="1">
        <v>41791</v>
      </c>
      <c r="C30">
        <v>545392</v>
      </c>
      <c r="D30" t="str">
        <f t="shared" si="0"/>
        <v>June</v>
      </c>
      <c r="E30">
        <f t="shared" si="1"/>
        <v>2</v>
      </c>
    </row>
    <row r="31" spans="1:6" x14ac:dyDescent="0.3">
      <c r="A31" t="s">
        <v>3</v>
      </c>
      <c r="B31" s="1">
        <v>41821</v>
      </c>
      <c r="C31">
        <v>537033</v>
      </c>
      <c r="D31" t="str">
        <f t="shared" si="0"/>
        <v>July</v>
      </c>
      <c r="E31">
        <f t="shared" si="1"/>
        <v>3</v>
      </c>
      <c r="F31">
        <f>AVERAGE(C31,C32,C33)</f>
        <v>508863.33333333331</v>
      </c>
    </row>
    <row r="32" spans="1:6" x14ac:dyDescent="0.3">
      <c r="A32" t="s">
        <v>3</v>
      </c>
      <c r="B32" s="1">
        <v>41852</v>
      </c>
      <c r="C32">
        <v>517239</v>
      </c>
      <c r="D32" t="str">
        <f t="shared" si="0"/>
        <v>August</v>
      </c>
      <c r="E32">
        <f t="shared" si="1"/>
        <v>3</v>
      </c>
    </row>
    <row r="33" spans="1:6" x14ac:dyDescent="0.3">
      <c r="A33" t="s">
        <v>3</v>
      </c>
      <c r="B33" s="1">
        <v>41883</v>
      </c>
      <c r="C33">
        <v>472318</v>
      </c>
      <c r="D33" t="str">
        <f t="shared" si="0"/>
        <v>September</v>
      </c>
      <c r="E33">
        <f t="shared" si="1"/>
        <v>3</v>
      </c>
    </row>
    <row r="34" spans="1:6" x14ac:dyDescent="0.3">
      <c r="A34" t="s">
        <v>3</v>
      </c>
      <c r="B34" s="1">
        <v>41913</v>
      </c>
      <c r="C34">
        <v>482627</v>
      </c>
      <c r="D34" t="str">
        <f t="shared" ref="D34:D65" si="2">TEXT(B34,"mmmm")</f>
        <v>October</v>
      </c>
      <c r="E34">
        <f t="shared" ref="E34:E65" si="3">ROUNDUP(MONTH(B34)/3,0)</f>
        <v>4</v>
      </c>
      <c r="F34">
        <f>AVERAGE(C34,C35,C36)</f>
        <v>436664.33333333331</v>
      </c>
    </row>
    <row r="35" spans="1:6" x14ac:dyDescent="0.3">
      <c r="A35" t="s">
        <v>3</v>
      </c>
      <c r="B35" s="1">
        <v>41944</v>
      </c>
      <c r="C35">
        <v>379983</v>
      </c>
      <c r="D35" t="str">
        <f t="shared" si="2"/>
        <v>November</v>
      </c>
      <c r="E35">
        <f t="shared" si="3"/>
        <v>4</v>
      </c>
    </row>
    <row r="36" spans="1:6" x14ac:dyDescent="0.3">
      <c r="A36" t="s">
        <v>3</v>
      </c>
      <c r="B36" s="1">
        <v>41974</v>
      </c>
      <c r="C36">
        <v>447383</v>
      </c>
      <c r="D36" t="str">
        <f t="shared" si="2"/>
        <v>December</v>
      </c>
      <c r="E36">
        <f t="shared" si="3"/>
        <v>4</v>
      </c>
    </row>
    <row r="37" spans="1:6" x14ac:dyDescent="0.3">
      <c r="A37" t="s">
        <v>3</v>
      </c>
      <c r="B37" s="1">
        <v>42005</v>
      </c>
      <c r="C37">
        <v>311043</v>
      </c>
      <c r="D37" t="str">
        <f t="shared" si="2"/>
        <v>January</v>
      </c>
      <c r="E37">
        <f t="shared" si="3"/>
        <v>1</v>
      </c>
      <c r="F37">
        <f>AVERAGE(C37,C38,C39)</f>
        <v>369670</v>
      </c>
    </row>
    <row r="38" spans="1:6" x14ac:dyDescent="0.3">
      <c r="A38" t="s">
        <v>3</v>
      </c>
      <c r="B38" s="1">
        <v>42036</v>
      </c>
      <c r="C38">
        <v>337225</v>
      </c>
      <c r="D38" t="str">
        <f t="shared" si="2"/>
        <v>February</v>
      </c>
      <c r="E38">
        <f t="shared" si="3"/>
        <v>1</v>
      </c>
    </row>
    <row r="39" spans="1:6" x14ac:dyDescent="0.3">
      <c r="A39" t="s">
        <v>3</v>
      </c>
      <c r="B39" s="1">
        <v>42064</v>
      </c>
      <c r="C39">
        <v>460742</v>
      </c>
      <c r="D39" t="str">
        <f t="shared" si="2"/>
        <v>March</v>
      </c>
      <c r="E39">
        <f t="shared" si="3"/>
        <v>1</v>
      </c>
    </row>
    <row r="40" spans="1:6" x14ac:dyDescent="0.3">
      <c r="A40" t="s">
        <v>3</v>
      </c>
      <c r="B40" s="1">
        <v>42095</v>
      </c>
      <c r="C40">
        <v>498514</v>
      </c>
      <c r="D40" t="str">
        <f t="shared" si="2"/>
        <v>April</v>
      </c>
      <c r="E40">
        <f t="shared" si="3"/>
        <v>2</v>
      </c>
      <c r="F40">
        <f>AVERAGE(C40,C41,C42)</f>
        <v>560437.66666666663</v>
      </c>
    </row>
    <row r="41" spans="1:6" x14ac:dyDescent="0.3">
      <c r="A41" t="s">
        <v>3</v>
      </c>
      <c r="B41" s="1">
        <v>42125</v>
      </c>
      <c r="C41">
        <v>547315</v>
      </c>
      <c r="D41" t="str">
        <f t="shared" si="2"/>
        <v>May</v>
      </c>
      <c r="E41">
        <f t="shared" si="3"/>
        <v>2</v>
      </c>
    </row>
    <row r="42" spans="1:6" x14ac:dyDescent="0.3">
      <c r="A42" t="s">
        <v>3</v>
      </c>
      <c r="B42" s="1">
        <v>42156</v>
      </c>
      <c r="C42">
        <v>635484</v>
      </c>
      <c r="D42" t="str">
        <f t="shared" si="2"/>
        <v>June</v>
      </c>
      <c r="E42">
        <f t="shared" si="3"/>
        <v>2</v>
      </c>
    </row>
    <row r="43" spans="1:6" x14ac:dyDescent="0.3">
      <c r="A43" t="s">
        <v>3</v>
      </c>
      <c r="B43" s="1">
        <v>42186</v>
      </c>
      <c r="C43">
        <v>626449</v>
      </c>
      <c r="D43" t="str">
        <f t="shared" si="2"/>
        <v>July</v>
      </c>
      <c r="E43">
        <f t="shared" si="3"/>
        <v>3</v>
      </c>
      <c r="F43">
        <f>AVERAGE(C43,C44,C45)</f>
        <v>573397.33333333337</v>
      </c>
    </row>
    <row r="44" spans="1:6" x14ac:dyDescent="0.3">
      <c r="A44" t="s">
        <v>3</v>
      </c>
      <c r="B44" s="1">
        <v>42217</v>
      </c>
      <c r="C44">
        <v>565922</v>
      </c>
      <c r="D44" t="str">
        <f t="shared" si="2"/>
        <v>August</v>
      </c>
      <c r="E44">
        <f t="shared" si="3"/>
        <v>3</v>
      </c>
    </row>
    <row r="45" spans="1:6" x14ac:dyDescent="0.3">
      <c r="A45" t="s">
        <v>3</v>
      </c>
      <c r="B45" s="1">
        <v>42248</v>
      </c>
      <c r="C45">
        <v>527821</v>
      </c>
      <c r="D45" t="str">
        <f t="shared" si="2"/>
        <v>September</v>
      </c>
      <c r="E45">
        <f t="shared" si="3"/>
        <v>3</v>
      </c>
    </row>
    <row r="46" spans="1:6" x14ac:dyDescent="0.3">
      <c r="A46" t="s">
        <v>3</v>
      </c>
      <c r="B46" s="1">
        <v>42278</v>
      </c>
      <c r="C46">
        <v>498606</v>
      </c>
      <c r="D46" t="str">
        <f t="shared" si="2"/>
        <v>October</v>
      </c>
      <c r="E46">
        <f t="shared" si="3"/>
        <v>4</v>
      </c>
      <c r="F46">
        <f>AVERAGE(C46,C47,C48)</f>
        <v>461585</v>
      </c>
    </row>
    <row r="47" spans="1:6" x14ac:dyDescent="0.3">
      <c r="A47" t="s">
        <v>3</v>
      </c>
      <c r="B47" s="1">
        <v>42309</v>
      </c>
      <c r="C47">
        <v>395421</v>
      </c>
      <c r="D47" t="str">
        <f t="shared" si="2"/>
        <v>November</v>
      </c>
      <c r="E47">
        <f t="shared" si="3"/>
        <v>4</v>
      </c>
    </row>
    <row r="48" spans="1:6" x14ac:dyDescent="0.3">
      <c r="A48" t="s">
        <v>3</v>
      </c>
      <c r="B48" s="1">
        <v>42339</v>
      </c>
      <c r="C48">
        <v>490728</v>
      </c>
      <c r="D48" t="str">
        <f t="shared" si="2"/>
        <v>December</v>
      </c>
      <c r="E48">
        <f t="shared" si="3"/>
        <v>4</v>
      </c>
    </row>
    <row r="49" spans="1:6" x14ac:dyDescent="0.3">
      <c r="A49" t="s">
        <v>3</v>
      </c>
      <c r="B49" s="1">
        <v>42370</v>
      </c>
      <c r="C49">
        <v>343090</v>
      </c>
      <c r="D49" t="str">
        <f t="shared" si="2"/>
        <v>January</v>
      </c>
      <c r="E49">
        <f t="shared" si="3"/>
        <v>1</v>
      </c>
      <c r="F49">
        <f>AVERAGE(C49,C50,C51)</f>
        <v>399453.66666666669</v>
      </c>
    </row>
    <row r="50" spans="1:6" x14ac:dyDescent="0.3">
      <c r="A50" t="s">
        <v>3</v>
      </c>
      <c r="B50" s="1">
        <v>42401</v>
      </c>
      <c r="C50">
        <v>366948</v>
      </c>
      <c r="D50" t="str">
        <f t="shared" si="2"/>
        <v>February</v>
      </c>
      <c r="E50">
        <f t="shared" si="3"/>
        <v>1</v>
      </c>
    </row>
    <row r="51" spans="1:6" x14ac:dyDescent="0.3">
      <c r="A51" t="s">
        <v>3</v>
      </c>
      <c r="B51" s="1">
        <v>42430</v>
      </c>
      <c r="C51">
        <v>488323</v>
      </c>
      <c r="D51" t="str">
        <f t="shared" si="2"/>
        <v>March</v>
      </c>
      <c r="E51">
        <f t="shared" si="3"/>
        <v>1</v>
      </c>
    </row>
    <row r="52" spans="1:6" x14ac:dyDescent="0.3">
      <c r="A52" t="s">
        <v>3</v>
      </c>
      <c r="B52" s="1">
        <v>42461</v>
      </c>
      <c r="C52">
        <v>528544</v>
      </c>
      <c r="D52" t="str">
        <f t="shared" si="2"/>
        <v>April</v>
      </c>
      <c r="E52">
        <f t="shared" si="3"/>
        <v>2</v>
      </c>
      <c r="F52">
        <f>AVERAGE(C52,C53,C54)</f>
        <v>595156</v>
      </c>
    </row>
    <row r="53" spans="1:6" x14ac:dyDescent="0.3">
      <c r="A53" t="s">
        <v>3</v>
      </c>
      <c r="B53" s="1">
        <v>42491</v>
      </c>
      <c r="C53">
        <v>593584</v>
      </c>
      <c r="D53" t="str">
        <f t="shared" si="2"/>
        <v>May</v>
      </c>
      <c r="E53">
        <f t="shared" si="3"/>
        <v>2</v>
      </c>
    </row>
    <row r="54" spans="1:6" x14ac:dyDescent="0.3">
      <c r="A54" t="s">
        <v>3</v>
      </c>
      <c r="B54" s="1">
        <v>42522</v>
      </c>
      <c r="C54">
        <v>663340</v>
      </c>
      <c r="D54" t="str">
        <f t="shared" si="2"/>
        <v>June</v>
      </c>
      <c r="E54">
        <f t="shared" si="3"/>
        <v>2</v>
      </c>
    </row>
    <row r="55" spans="1:6" x14ac:dyDescent="0.3">
      <c r="A55" t="s">
        <v>3</v>
      </c>
      <c r="B55" s="1">
        <v>42552</v>
      </c>
      <c r="C55">
        <v>587185</v>
      </c>
      <c r="D55" t="str">
        <f t="shared" si="2"/>
        <v>July</v>
      </c>
      <c r="E55">
        <f t="shared" si="3"/>
        <v>3</v>
      </c>
      <c r="F55">
        <f>AVERAGE(C55,C56,C57)</f>
        <v>585853.33333333337</v>
      </c>
    </row>
    <row r="56" spans="1:6" x14ac:dyDescent="0.3">
      <c r="A56" t="s">
        <v>3</v>
      </c>
      <c r="B56" s="1">
        <v>42583</v>
      </c>
      <c r="C56">
        <v>616365</v>
      </c>
      <c r="D56" t="str">
        <f t="shared" si="2"/>
        <v>August</v>
      </c>
      <c r="E56">
        <f t="shared" si="3"/>
        <v>3</v>
      </c>
    </row>
    <row r="57" spans="1:6" x14ac:dyDescent="0.3">
      <c r="A57" t="s">
        <v>3</v>
      </c>
      <c r="B57" s="1">
        <v>42614</v>
      </c>
      <c r="C57">
        <v>554010</v>
      </c>
      <c r="D57" t="str">
        <f t="shared" si="2"/>
        <v>September</v>
      </c>
      <c r="E57">
        <f t="shared" si="3"/>
        <v>3</v>
      </c>
    </row>
    <row r="58" spans="1:6" x14ac:dyDescent="0.3">
      <c r="A58" t="s">
        <v>3</v>
      </c>
      <c r="B58" s="1">
        <v>42644</v>
      </c>
      <c r="C58">
        <v>504421</v>
      </c>
      <c r="D58" t="str">
        <f t="shared" si="2"/>
        <v>October</v>
      </c>
      <c r="E58">
        <f t="shared" si="3"/>
        <v>4</v>
      </c>
      <c r="F58">
        <f>AVERAGE(C58,C59,C60)</f>
        <v>493932.66666666669</v>
      </c>
    </row>
    <row r="59" spans="1:6" x14ac:dyDescent="0.3">
      <c r="A59" t="s">
        <v>3</v>
      </c>
      <c r="B59" s="1">
        <v>42675</v>
      </c>
      <c r="C59">
        <v>477836</v>
      </c>
      <c r="D59" t="str">
        <f t="shared" si="2"/>
        <v>November</v>
      </c>
      <c r="E59">
        <f t="shared" si="3"/>
        <v>4</v>
      </c>
    </row>
    <row r="60" spans="1:6" x14ac:dyDescent="0.3">
      <c r="A60" t="s">
        <v>3</v>
      </c>
      <c r="B60" s="1">
        <v>42705</v>
      </c>
      <c r="C60">
        <v>499541</v>
      </c>
      <c r="D60" t="str">
        <f t="shared" si="2"/>
        <v>December</v>
      </c>
      <c r="E60">
        <f t="shared" si="3"/>
        <v>4</v>
      </c>
    </row>
    <row r="61" spans="1:6" x14ac:dyDescent="0.3">
      <c r="A61" t="s">
        <v>3</v>
      </c>
      <c r="B61" s="1">
        <v>42736</v>
      </c>
      <c r="C61">
        <v>362300</v>
      </c>
      <c r="D61" t="str">
        <f t="shared" si="2"/>
        <v>January</v>
      </c>
      <c r="E61">
        <f t="shared" si="3"/>
        <v>1</v>
      </c>
      <c r="F61">
        <f>AVERAGE(C61,C62,C63)</f>
        <v>422856.33333333331</v>
      </c>
    </row>
    <row r="62" spans="1:6" x14ac:dyDescent="0.3">
      <c r="A62" t="s">
        <v>3</v>
      </c>
      <c r="B62" s="1">
        <v>42767</v>
      </c>
      <c r="C62">
        <v>370531</v>
      </c>
      <c r="D62" t="str">
        <f t="shared" si="2"/>
        <v>February</v>
      </c>
      <c r="E62">
        <f t="shared" si="3"/>
        <v>1</v>
      </c>
    </row>
    <row r="63" spans="1:6" x14ac:dyDescent="0.3">
      <c r="A63" t="s">
        <v>3</v>
      </c>
      <c r="B63" s="1">
        <v>42795</v>
      </c>
      <c r="C63">
        <v>535738</v>
      </c>
      <c r="D63" t="str">
        <f t="shared" si="2"/>
        <v>March</v>
      </c>
      <c r="E63">
        <f t="shared" si="3"/>
        <v>1</v>
      </c>
    </row>
    <row r="64" spans="1:6" x14ac:dyDescent="0.3">
      <c r="A64" t="s">
        <v>3</v>
      </c>
      <c r="B64" s="1">
        <v>42826</v>
      </c>
      <c r="C64">
        <v>518516</v>
      </c>
      <c r="D64" t="str">
        <f t="shared" si="2"/>
        <v>April</v>
      </c>
      <c r="E64">
        <f t="shared" si="3"/>
        <v>2</v>
      </c>
      <c r="F64">
        <f>AVERAGE(C64,C65,C66)</f>
        <v>615730.33333333337</v>
      </c>
    </row>
    <row r="65" spans="1:6" x14ac:dyDescent="0.3">
      <c r="A65" t="s">
        <v>3</v>
      </c>
      <c r="B65" s="1">
        <v>42856</v>
      </c>
      <c r="C65">
        <v>633312</v>
      </c>
      <c r="D65" t="str">
        <f t="shared" si="2"/>
        <v>May</v>
      </c>
      <c r="E65">
        <f t="shared" si="3"/>
        <v>2</v>
      </c>
    </row>
    <row r="66" spans="1:6" x14ac:dyDescent="0.3">
      <c r="A66" t="s">
        <v>3</v>
      </c>
      <c r="B66" s="1">
        <v>42887</v>
      </c>
      <c r="C66">
        <v>695363</v>
      </c>
      <c r="D66" t="str">
        <f t="shared" ref="D66:D97" si="4">TEXT(B66,"mmmm")</f>
        <v>June</v>
      </c>
      <c r="E66">
        <f t="shared" ref="E66:E97" si="5">ROUNDUP(MONTH(B66)/3,0)</f>
        <v>2</v>
      </c>
    </row>
    <row r="67" spans="1:6" x14ac:dyDescent="0.3">
      <c r="A67" t="s">
        <v>3</v>
      </c>
      <c r="B67" s="1">
        <v>42917</v>
      </c>
      <c r="C67">
        <v>593982</v>
      </c>
      <c r="D67" t="str">
        <f t="shared" si="4"/>
        <v>July</v>
      </c>
      <c r="E67">
        <f t="shared" si="5"/>
        <v>3</v>
      </c>
      <c r="F67">
        <f>AVERAGE(C67,C68,C69)</f>
        <v>587432</v>
      </c>
    </row>
    <row r="68" spans="1:6" x14ac:dyDescent="0.3">
      <c r="A68" t="s">
        <v>3</v>
      </c>
      <c r="B68" s="1">
        <v>42948</v>
      </c>
      <c r="C68">
        <v>631154</v>
      </c>
      <c r="D68" t="str">
        <f t="shared" si="4"/>
        <v>August</v>
      </c>
      <c r="E68">
        <f t="shared" si="5"/>
        <v>3</v>
      </c>
    </row>
    <row r="69" spans="1:6" x14ac:dyDescent="0.3">
      <c r="A69" t="s">
        <v>3</v>
      </c>
      <c r="B69" s="1">
        <v>42979</v>
      </c>
      <c r="C69">
        <v>537160</v>
      </c>
      <c r="D69" t="str">
        <f t="shared" si="4"/>
        <v>September</v>
      </c>
      <c r="E69">
        <f t="shared" si="5"/>
        <v>3</v>
      </c>
    </row>
    <row r="70" spans="1:6" x14ac:dyDescent="0.3">
      <c r="A70" t="s">
        <v>3</v>
      </c>
      <c r="B70" s="1">
        <v>43009</v>
      </c>
      <c r="C70">
        <v>528701</v>
      </c>
      <c r="D70" t="str">
        <f t="shared" si="4"/>
        <v>October</v>
      </c>
      <c r="E70">
        <f t="shared" si="5"/>
        <v>4</v>
      </c>
      <c r="F70">
        <f>AVERAGE(C70,C71,C72)</f>
        <v>509016</v>
      </c>
    </row>
    <row r="71" spans="1:6" x14ac:dyDescent="0.3">
      <c r="A71" t="s">
        <v>3</v>
      </c>
      <c r="B71" s="1">
        <v>43040</v>
      </c>
      <c r="C71">
        <v>497081</v>
      </c>
      <c r="D71" t="str">
        <f t="shared" si="4"/>
        <v>November</v>
      </c>
      <c r="E71">
        <f t="shared" si="5"/>
        <v>4</v>
      </c>
    </row>
    <row r="72" spans="1:6" x14ac:dyDescent="0.3">
      <c r="A72" t="s">
        <v>3</v>
      </c>
      <c r="B72" s="1">
        <v>43070</v>
      </c>
      <c r="C72">
        <v>501266</v>
      </c>
      <c r="D72" t="str">
        <f t="shared" si="4"/>
        <v>December</v>
      </c>
      <c r="E72">
        <f t="shared" si="5"/>
        <v>4</v>
      </c>
    </row>
    <row r="73" spans="1:6" x14ac:dyDescent="0.3">
      <c r="A73" t="s">
        <v>3</v>
      </c>
      <c r="B73" s="1">
        <v>43101</v>
      </c>
      <c r="C73">
        <v>367597</v>
      </c>
      <c r="D73" t="str">
        <f t="shared" si="4"/>
        <v>January</v>
      </c>
      <c r="E73">
        <f t="shared" si="5"/>
        <v>1</v>
      </c>
      <c r="F73">
        <f>AVERAGE(C73,C74,C75)</f>
        <v>423010.33333333331</v>
      </c>
    </row>
    <row r="74" spans="1:6" x14ac:dyDescent="0.3">
      <c r="A74" t="s">
        <v>3</v>
      </c>
      <c r="B74" s="1">
        <v>43132</v>
      </c>
      <c r="C74">
        <v>379160</v>
      </c>
      <c r="D74" t="str">
        <f t="shared" si="4"/>
        <v>February</v>
      </c>
      <c r="E74">
        <f t="shared" si="5"/>
        <v>1</v>
      </c>
    </row>
    <row r="75" spans="1:6" x14ac:dyDescent="0.3">
      <c r="A75" t="s">
        <v>3</v>
      </c>
      <c r="B75" s="1">
        <v>43160</v>
      </c>
      <c r="C75">
        <v>522274</v>
      </c>
      <c r="D75" t="str">
        <f t="shared" si="4"/>
        <v>March</v>
      </c>
      <c r="E75">
        <f t="shared" si="5"/>
        <v>1</v>
      </c>
    </row>
    <row r="76" spans="1:6" x14ac:dyDescent="0.3">
      <c r="A76" t="s">
        <v>3</v>
      </c>
      <c r="B76" s="1">
        <v>43191</v>
      </c>
      <c r="C76">
        <v>547226</v>
      </c>
      <c r="D76" t="str">
        <f t="shared" si="4"/>
        <v>April</v>
      </c>
      <c r="E76">
        <f t="shared" si="5"/>
        <v>2</v>
      </c>
      <c r="F76">
        <f>AVERAGE(C76,C77,C78)</f>
        <v>619039.66666666663</v>
      </c>
    </row>
    <row r="77" spans="1:6" x14ac:dyDescent="0.3">
      <c r="A77" t="s">
        <v>3</v>
      </c>
      <c r="B77" s="1">
        <v>43221</v>
      </c>
      <c r="C77">
        <v>636517</v>
      </c>
      <c r="D77" t="str">
        <f t="shared" si="4"/>
        <v>May</v>
      </c>
      <c r="E77">
        <f t="shared" si="5"/>
        <v>2</v>
      </c>
    </row>
    <row r="78" spans="1:6" x14ac:dyDescent="0.3">
      <c r="A78" t="s">
        <v>3</v>
      </c>
      <c r="B78" s="1">
        <v>43252</v>
      </c>
      <c r="C78">
        <v>673376</v>
      </c>
      <c r="D78" t="str">
        <f t="shared" si="4"/>
        <v>June</v>
      </c>
      <c r="E78">
        <f t="shared" si="5"/>
        <v>2</v>
      </c>
    </row>
    <row r="79" spans="1:6" x14ac:dyDescent="0.3">
      <c r="A79" t="s">
        <v>3</v>
      </c>
      <c r="B79" s="1">
        <v>43282</v>
      </c>
      <c r="C79">
        <v>626260</v>
      </c>
      <c r="D79" t="str">
        <f t="shared" si="4"/>
        <v>July</v>
      </c>
      <c r="E79">
        <f t="shared" si="5"/>
        <v>3</v>
      </c>
      <c r="F79">
        <f>AVERAGE(C79,C80,C81)</f>
        <v>590217.33333333337</v>
      </c>
    </row>
    <row r="80" spans="1:6" x14ac:dyDescent="0.3">
      <c r="A80" t="s">
        <v>3</v>
      </c>
      <c r="B80" s="1">
        <v>43313</v>
      </c>
      <c r="C80">
        <v>642935</v>
      </c>
      <c r="D80" t="str">
        <f t="shared" si="4"/>
        <v>August</v>
      </c>
      <c r="E80">
        <f t="shared" si="5"/>
        <v>3</v>
      </c>
    </row>
    <row r="81" spans="1:6" x14ac:dyDescent="0.3">
      <c r="A81" t="s">
        <v>3</v>
      </c>
      <c r="B81" s="1">
        <v>43344</v>
      </c>
      <c r="C81">
        <v>501457</v>
      </c>
      <c r="D81" t="str">
        <f t="shared" si="4"/>
        <v>September</v>
      </c>
      <c r="E81">
        <f t="shared" si="5"/>
        <v>3</v>
      </c>
    </row>
    <row r="82" spans="1:6" x14ac:dyDescent="0.3">
      <c r="A82" t="s">
        <v>3</v>
      </c>
      <c r="B82" s="1">
        <v>43374</v>
      </c>
      <c r="C82">
        <v>531669</v>
      </c>
      <c r="D82" t="str">
        <f t="shared" si="4"/>
        <v>October</v>
      </c>
      <c r="E82">
        <f t="shared" si="5"/>
        <v>4</v>
      </c>
      <c r="F82">
        <f>AVERAGE(C82,C83,C84)</f>
        <v>486777.66666666669</v>
      </c>
    </row>
    <row r="83" spans="1:6" x14ac:dyDescent="0.3">
      <c r="A83" t="s">
        <v>3</v>
      </c>
      <c r="B83" s="1">
        <v>43405</v>
      </c>
      <c r="C83">
        <v>481764</v>
      </c>
      <c r="D83" t="str">
        <f t="shared" si="4"/>
        <v>November</v>
      </c>
      <c r="E83">
        <f t="shared" si="5"/>
        <v>4</v>
      </c>
    </row>
    <row r="84" spans="1:6" x14ac:dyDescent="0.3">
      <c r="A84" t="s">
        <v>3</v>
      </c>
      <c r="B84" s="1">
        <v>43435</v>
      </c>
      <c r="C84">
        <v>446900</v>
      </c>
      <c r="D84" t="str">
        <f t="shared" si="4"/>
        <v>December</v>
      </c>
      <c r="E84">
        <f t="shared" si="5"/>
        <v>4</v>
      </c>
    </row>
    <row r="85" spans="1:6" x14ac:dyDescent="0.3">
      <c r="A85" t="s">
        <v>3</v>
      </c>
      <c r="B85" s="1">
        <v>43466</v>
      </c>
      <c r="C85">
        <v>337605</v>
      </c>
      <c r="D85" t="str">
        <f t="shared" si="4"/>
        <v>January</v>
      </c>
      <c r="E85">
        <f t="shared" si="5"/>
        <v>1</v>
      </c>
      <c r="F85">
        <f>AVERAGE(C85,C86,C87)</f>
        <v>402236.33333333331</v>
      </c>
    </row>
    <row r="86" spans="1:6" x14ac:dyDescent="0.3">
      <c r="A86" t="s">
        <v>3</v>
      </c>
      <c r="B86" s="1">
        <v>43497</v>
      </c>
      <c r="C86">
        <v>376292</v>
      </c>
      <c r="D86" t="str">
        <f t="shared" si="4"/>
        <v>February</v>
      </c>
      <c r="E86">
        <f t="shared" si="5"/>
        <v>1</v>
      </c>
    </row>
    <row r="87" spans="1:6" x14ac:dyDescent="0.3">
      <c r="A87" t="s">
        <v>3</v>
      </c>
      <c r="B87" s="1">
        <v>43525</v>
      </c>
      <c r="C87">
        <v>492812</v>
      </c>
      <c r="D87" t="str">
        <f t="shared" si="4"/>
        <v>March</v>
      </c>
      <c r="E87">
        <f t="shared" si="5"/>
        <v>1</v>
      </c>
    </row>
    <row r="88" spans="1:6" x14ac:dyDescent="0.3">
      <c r="A88" t="s">
        <v>3</v>
      </c>
      <c r="B88" s="1">
        <v>43556</v>
      </c>
      <c r="C88">
        <v>553325</v>
      </c>
      <c r="D88" t="str">
        <f t="shared" si="4"/>
        <v>April</v>
      </c>
      <c r="E88">
        <f t="shared" si="5"/>
        <v>2</v>
      </c>
      <c r="F88">
        <f>AVERAGE(C88,C89,C90)</f>
        <v>610384.66666666663</v>
      </c>
    </row>
    <row r="89" spans="1:6" x14ac:dyDescent="0.3">
      <c r="A89" t="s">
        <v>3</v>
      </c>
      <c r="B89" s="1">
        <v>43586</v>
      </c>
      <c r="C89">
        <v>650178</v>
      </c>
      <c r="D89" t="str">
        <f t="shared" si="4"/>
        <v>May</v>
      </c>
      <c r="E89">
        <f t="shared" si="5"/>
        <v>2</v>
      </c>
    </row>
    <row r="90" spans="1:6" x14ac:dyDescent="0.3">
      <c r="A90" t="s">
        <v>3</v>
      </c>
      <c r="B90" s="1">
        <v>43617</v>
      </c>
      <c r="C90">
        <v>627651</v>
      </c>
      <c r="D90" t="str">
        <f t="shared" si="4"/>
        <v>June</v>
      </c>
      <c r="E90">
        <f t="shared" si="5"/>
        <v>2</v>
      </c>
    </row>
    <row r="91" spans="1:6" x14ac:dyDescent="0.3">
      <c r="A91" t="s">
        <v>3</v>
      </c>
      <c r="B91" s="1">
        <v>43647</v>
      </c>
      <c r="C91">
        <v>640113</v>
      </c>
      <c r="D91" t="str">
        <f t="shared" si="4"/>
        <v>July</v>
      </c>
      <c r="E91">
        <f t="shared" si="5"/>
        <v>3</v>
      </c>
      <c r="F91">
        <f>AVERAGE(C91,C92,C93)</f>
        <v>602428.33333333337</v>
      </c>
    </row>
    <row r="92" spans="1:6" x14ac:dyDescent="0.3">
      <c r="A92" t="s">
        <v>3</v>
      </c>
      <c r="B92" s="1">
        <v>43678</v>
      </c>
      <c r="C92">
        <v>631517</v>
      </c>
      <c r="D92" t="str">
        <f t="shared" si="4"/>
        <v>August</v>
      </c>
      <c r="E92">
        <f t="shared" si="5"/>
        <v>3</v>
      </c>
    </row>
    <row r="93" spans="1:6" x14ac:dyDescent="0.3">
      <c r="A93" t="s">
        <v>3</v>
      </c>
      <c r="B93" s="1">
        <v>43709</v>
      </c>
      <c r="C93">
        <v>535655</v>
      </c>
      <c r="D93" t="str">
        <f t="shared" si="4"/>
        <v>September</v>
      </c>
      <c r="E93">
        <f t="shared" si="5"/>
        <v>3</v>
      </c>
    </row>
    <row r="94" spans="1:6" x14ac:dyDescent="0.3">
      <c r="A94" t="s">
        <v>3</v>
      </c>
      <c r="B94" s="1">
        <v>43739</v>
      </c>
      <c r="C94">
        <v>546733</v>
      </c>
      <c r="D94" t="str">
        <f t="shared" si="4"/>
        <v>October</v>
      </c>
      <c r="E94">
        <f t="shared" si="5"/>
        <v>4</v>
      </c>
      <c r="F94">
        <f>AVERAGE(C94,C95,C96)</f>
        <v>515037.66666666669</v>
      </c>
    </row>
    <row r="95" spans="1:6" x14ac:dyDescent="0.3">
      <c r="A95" t="s">
        <v>3</v>
      </c>
      <c r="B95" s="1">
        <v>43770</v>
      </c>
      <c r="C95">
        <v>483438</v>
      </c>
      <c r="D95" t="str">
        <f t="shared" si="4"/>
        <v>November</v>
      </c>
      <c r="E95">
        <f t="shared" si="5"/>
        <v>4</v>
      </c>
    </row>
    <row r="96" spans="1:6" x14ac:dyDescent="0.3">
      <c r="A96" t="s">
        <v>3</v>
      </c>
      <c r="B96" s="1">
        <v>43800</v>
      </c>
      <c r="C96">
        <v>514942</v>
      </c>
      <c r="D96" t="str">
        <f t="shared" si="4"/>
        <v>December</v>
      </c>
      <c r="E96">
        <f t="shared" si="5"/>
        <v>4</v>
      </c>
    </row>
    <row r="97" spans="1:6" x14ac:dyDescent="0.3">
      <c r="A97" t="s">
        <v>3</v>
      </c>
      <c r="B97" s="1">
        <v>43831</v>
      </c>
      <c r="C97">
        <v>380550</v>
      </c>
      <c r="D97" t="str">
        <f t="shared" si="4"/>
        <v>January</v>
      </c>
      <c r="E97">
        <f t="shared" si="5"/>
        <v>1</v>
      </c>
      <c r="F97">
        <f>AVERAGE(C97,C98,C99)</f>
        <v>433739.33333333331</v>
      </c>
    </row>
    <row r="98" spans="1:6" x14ac:dyDescent="0.3">
      <c r="A98" t="s">
        <v>3</v>
      </c>
      <c r="B98" s="1">
        <v>43862</v>
      </c>
      <c r="C98">
        <v>409000</v>
      </c>
      <c r="D98" t="str">
        <f t="shared" ref="D98:D111" si="6">TEXT(B98,"mmmm")</f>
        <v>February</v>
      </c>
      <c r="E98">
        <f t="shared" ref="E98:E111" si="7">ROUNDUP(MONTH(B98)/3,0)</f>
        <v>1</v>
      </c>
    </row>
    <row r="99" spans="1:6" x14ac:dyDescent="0.3">
      <c r="A99" t="s">
        <v>3</v>
      </c>
      <c r="B99" s="1">
        <v>43891</v>
      </c>
      <c r="C99">
        <v>511668</v>
      </c>
      <c r="D99" t="str">
        <f t="shared" si="6"/>
        <v>March</v>
      </c>
      <c r="E99">
        <f t="shared" si="7"/>
        <v>1</v>
      </c>
    </row>
    <row r="100" spans="1:6" x14ac:dyDescent="0.3">
      <c r="A100" t="s">
        <v>3</v>
      </c>
      <c r="B100" s="1">
        <v>43922</v>
      </c>
      <c r="C100">
        <v>441132</v>
      </c>
      <c r="D100" t="str">
        <f t="shared" si="6"/>
        <v>April</v>
      </c>
      <c r="E100">
        <f t="shared" si="7"/>
        <v>2</v>
      </c>
      <c r="F100">
        <f>AVERAGE(C100,C101,C102)</f>
        <v>487255</v>
      </c>
    </row>
    <row r="101" spans="1:6" x14ac:dyDescent="0.3">
      <c r="A101" t="s">
        <v>3</v>
      </c>
      <c r="B101" s="1">
        <v>43952</v>
      </c>
      <c r="C101">
        <v>426594</v>
      </c>
      <c r="D101" t="str">
        <f t="shared" si="6"/>
        <v>May</v>
      </c>
      <c r="E101">
        <f t="shared" si="7"/>
        <v>2</v>
      </c>
    </row>
    <row r="102" spans="1:6" x14ac:dyDescent="0.3">
      <c r="A102" t="s">
        <v>3</v>
      </c>
      <c r="B102" s="1">
        <v>43983</v>
      </c>
      <c r="C102">
        <v>594039</v>
      </c>
      <c r="D102" t="str">
        <f t="shared" si="6"/>
        <v>June</v>
      </c>
      <c r="E102">
        <f t="shared" si="7"/>
        <v>2</v>
      </c>
    </row>
    <row r="103" spans="1:6" x14ac:dyDescent="0.3">
      <c r="A103" t="s">
        <v>3</v>
      </c>
      <c r="B103" s="1">
        <v>44013</v>
      </c>
      <c r="C103">
        <v>710148</v>
      </c>
      <c r="D103" t="str">
        <f t="shared" si="6"/>
        <v>July</v>
      </c>
      <c r="E103">
        <f t="shared" si="7"/>
        <v>3</v>
      </c>
      <c r="F103">
        <f>AVERAGE(C103,C104,C105)</f>
        <v>682926.33333333337</v>
      </c>
    </row>
    <row r="104" spans="1:6" x14ac:dyDescent="0.3">
      <c r="A104" t="s">
        <v>3</v>
      </c>
      <c r="B104" s="1">
        <v>44044</v>
      </c>
      <c r="C104">
        <v>671029</v>
      </c>
      <c r="D104" t="str">
        <f t="shared" si="6"/>
        <v>August</v>
      </c>
      <c r="E104">
        <f t="shared" si="7"/>
        <v>3</v>
      </c>
    </row>
    <row r="105" spans="1:6" x14ac:dyDescent="0.3">
      <c r="A105" t="s">
        <v>3</v>
      </c>
      <c r="B105" s="1">
        <v>44075</v>
      </c>
      <c r="C105">
        <v>667602</v>
      </c>
      <c r="D105" t="str">
        <f t="shared" si="6"/>
        <v>September</v>
      </c>
      <c r="E105">
        <f t="shared" si="7"/>
        <v>3</v>
      </c>
    </row>
    <row r="106" spans="1:6" x14ac:dyDescent="0.3">
      <c r="A106" t="s">
        <v>3</v>
      </c>
      <c r="B106" s="1">
        <v>44105</v>
      </c>
      <c r="C106">
        <v>678380</v>
      </c>
      <c r="D106" t="str">
        <f t="shared" si="6"/>
        <v>October</v>
      </c>
      <c r="E106">
        <f t="shared" si="7"/>
        <v>4</v>
      </c>
      <c r="F106">
        <f>AVERAGE(C106,C107,C108)</f>
        <v>633168.33333333337</v>
      </c>
    </row>
    <row r="107" spans="1:6" x14ac:dyDescent="0.3">
      <c r="A107" t="s">
        <v>3</v>
      </c>
      <c r="B107" s="1">
        <v>44136</v>
      </c>
      <c r="C107">
        <v>588232</v>
      </c>
      <c r="D107" t="str">
        <f t="shared" si="6"/>
        <v>November</v>
      </c>
      <c r="E107">
        <f t="shared" si="7"/>
        <v>4</v>
      </c>
    </row>
    <row r="108" spans="1:6" x14ac:dyDescent="0.3">
      <c r="A108" t="s">
        <v>3</v>
      </c>
      <c r="B108" s="1">
        <v>44166</v>
      </c>
      <c r="C108">
        <v>632893</v>
      </c>
      <c r="D108" t="str">
        <f t="shared" si="6"/>
        <v>December</v>
      </c>
      <c r="E108">
        <f t="shared" si="7"/>
        <v>4</v>
      </c>
    </row>
    <row r="109" spans="1:6" x14ac:dyDescent="0.3">
      <c r="A109" t="s">
        <v>3</v>
      </c>
      <c r="B109" s="1">
        <v>44197</v>
      </c>
      <c r="C109">
        <v>433787</v>
      </c>
      <c r="D109" t="str">
        <f t="shared" si="6"/>
        <v>January</v>
      </c>
      <c r="E109">
        <f t="shared" si="7"/>
        <v>1</v>
      </c>
      <c r="F109">
        <f>AVERAGE(C109,C110,C111)</f>
        <v>483723</v>
      </c>
    </row>
    <row r="110" spans="1:6" x14ac:dyDescent="0.3">
      <c r="A110" t="s">
        <v>3</v>
      </c>
      <c r="B110" s="1">
        <v>44228</v>
      </c>
      <c r="C110">
        <v>437371</v>
      </c>
      <c r="D110" t="str">
        <f t="shared" si="6"/>
        <v>February</v>
      </c>
      <c r="E110">
        <f t="shared" si="7"/>
        <v>1</v>
      </c>
    </row>
    <row r="111" spans="1:6" x14ac:dyDescent="0.3">
      <c r="A111" t="s">
        <v>3</v>
      </c>
      <c r="B111" s="1">
        <v>44256</v>
      </c>
      <c r="C111">
        <v>580011</v>
      </c>
      <c r="D111" t="str">
        <f t="shared" si="6"/>
        <v>March</v>
      </c>
      <c r="E111">
        <f t="shared" si="7"/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95"/>
  <sheetViews>
    <sheetView tabSelected="1" topLeftCell="A40" zoomScale="80" zoomScaleNormal="80" workbookViewId="0">
      <selection activeCell="AW14" sqref="AW14"/>
    </sheetView>
  </sheetViews>
  <sheetFormatPr defaultRowHeight="14.4" x14ac:dyDescent="0.3"/>
  <cols>
    <col min="2" max="2" width="14.109375" bestFit="1" customWidth="1"/>
    <col min="3" max="3" width="47.77734375" customWidth="1"/>
    <col min="4" max="4" width="14.88671875" customWidth="1"/>
    <col min="5" max="7" width="10.6640625" bestFit="1" customWidth="1"/>
    <col min="15" max="15" width="10" bestFit="1" customWidth="1"/>
    <col min="18" max="18" width="22.44140625" customWidth="1"/>
    <col min="19" max="19" width="13.6640625" bestFit="1" customWidth="1"/>
    <col min="20" max="21" width="14" bestFit="1" customWidth="1"/>
    <col min="22" max="22" width="15.5546875" customWidth="1"/>
    <col min="23" max="23" width="19.77734375" customWidth="1"/>
    <col min="24" max="24" width="16.88671875" customWidth="1"/>
    <col min="25" max="25" width="17.6640625" customWidth="1"/>
    <col min="26" max="26" width="16.33203125" customWidth="1"/>
    <col min="27" max="27" width="15.21875" customWidth="1"/>
    <col min="28" max="28" width="11.88671875" customWidth="1"/>
    <col min="30" max="30" width="10" customWidth="1"/>
    <col min="31" max="31" width="11.6640625" customWidth="1"/>
    <col min="34" max="34" width="12.6640625" customWidth="1"/>
  </cols>
  <sheetData>
    <row r="1" spans="1:45" x14ac:dyDescent="0.3">
      <c r="A1" s="29" t="s">
        <v>38</v>
      </c>
      <c r="B1" s="29" t="s">
        <v>36</v>
      </c>
      <c r="C1" s="29" t="s">
        <v>135</v>
      </c>
      <c r="D1" s="29" t="s">
        <v>136</v>
      </c>
      <c r="E1" s="29" t="s">
        <v>137</v>
      </c>
      <c r="F1" s="29" t="s">
        <v>138</v>
      </c>
      <c r="G1" s="29" t="s">
        <v>139</v>
      </c>
      <c r="H1" s="29" t="s">
        <v>50</v>
      </c>
      <c r="I1" s="29" t="s">
        <v>51</v>
      </c>
      <c r="J1" s="29" t="s">
        <v>52</v>
      </c>
      <c r="K1" s="29" t="s">
        <v>53</v>
      </c>
      <c r="L1" s="29" t="s">
        <v>54</v>
      </c>
      <c r="M1" s="29" t="s">
        <v>55</v>
      </c>
      <c r="N1" s="29" t="s">
        <v>56</v>
      </c>
      <c r="O1" s="29" t="s">
        <v>57</v>
      </c>
      <c r="P1" s="29" t="s">
        <v>58</v>
      </c>
      <c r="Q1" s="29" t="s">
        <v>59</v>
      </c>
      <c r="R1" s="29" t="s">
        <v>60</v>
      </c>
      <c r="S1" s="29" t="s">
        <v>63</v>
      </c>
      <c r="T1" s="29" t="s">
        <v>61</v>
      </c>
      <c r="U1" s="29" t="s">
        <v>62</v>
      </c>
      <c r="V1" s="29" t="s">
        <v>134</v>
      </c>
      <c r="W1" s="31" t="s">
        <v>145</v>
      </c>
      <c r="X1" s="31" t="s">
        <v>167</v>
      </c>
      <c r="Y1" s="25" t="s">
        <v>146</v>
      </c>
      <c r="Z1" s="25" t="s">
        <v>148</v>
      </c>
      <c r="AA1" s="33" t="s">
        <v>151</v>
      </c>
      <c r="AB1" s="33" t="s">
        <v>159</v>
      </c>
      <c r="AC1" s="33" t="s">
        <v>157</v>
      </c>
      <c r="AD1" s="33" t="s">
        <v>158</v>
      </c>
      <c r="AE1" s="25" t="s">
        <v>147</v>
      </c>
      <c r="AF1" s="33" t="s">
        <v>152</v>
      </c>
      <c r="AG1" s="33" t="s">
        <v>160</v>
      </c>
      <c r="AH1" s="33" t="s">
        <v>161</v>
      </c>
      <c r="AI1" s="33" t="s">
        <v>162</v>
      </c>
      <c r="AJ1" s="25" t="s">
        <v>149</v>
      </c>
      <c r="AK1" s="25" t="s">
        <v>153</v>
      </c>
      <c r="AL1" s="25" t="s">
        <v>154</v>
      </c>
      <c r="AM1" s="25" t="s">
        <v>163</v>
      </c>
      <c r="AN1" s="25" t="s">
        <v>164</v>
      </c>
      <c r="AO1" s="25" t="s">
        <v>150</v>
      </c>
      <c r="AP1" s="25" t="s">
        <v>155</v>
      </c>
      <c r="AQ1" s="25" t="s">
        <v>156</v>
      </c>
      <c r="AR1" s="25" t="s">
        <v>165</v>
      </c>
      <c r="AS1" s="25" t="s">
        <v>166</v>
      </c>
    </row>
    <row r="2" spans="1:45" x14ac:dyDescent="0.3">
      <c r="A2" s="18">
        <v>2012</v>
      </c>
      <c r="B2" s="18">
        <v>1</v>
      </c>
      <c r="C2" s="18">
        <v>350919.5</v>
      </c>
      <c r="D2" s="18">
        <v>0</v>
      </c>
      <c r="E2" s="18">
        <f>IF(B2=2,1,0)</f>
        <v>0</v>
      </c>
      <c r="F2" s="18">
        <f>IF(B2=3,1,0)</f>
        <v>0</v>
      </c>
      <c r="G2" s="18">
        <f>IF(B2=4,1,0)</f>
        <v>0</v>
      </c>
      <c r="H2" s="18">
        <f>D2*E2</f>
        <v>0</v>
      </c>
      <c r="I2" s="18">
        <f>D2*F2</f>
        <v>0</v>
      </c>
      <c r="J2" s="18">
        <f>D2*G2</f>
        <v>0</v>
      </c>
      <c r="K2" s="18">
        <f>E2*F2</f>
        <v>0</v>
      </c>
      <c r="L2" s="18">
        <f>E2*G2</f>
        <v>0</v>
      </c>
      <c r="M2" s="18">
        <f>F2*G2</f>
        <v>0</v>
      </c>
      <c r="N2" s="18">
        <f>D2^2</f>
        <v>0</v>
      </c>
      <c r="O2" s="18">
        <f>E2^2</f>
        <v>0</v>
      </c>
      <c r="P2" s="18">
        <f>F2^2</f>
        <v>0</v>
      </c>
      <c r="Q2" s="18">
        <f>G2^2</f>
        <v>0</v>
      </c>
      <c r="R2" s="18">
        <f>$C2*D2</f>
        <v>0</v>
      </c>
      <c r="S2" s="18">
        <f>$C2*E2</f>
        <v>0</v>
      </c>
      <c r="T2" s="18">
        <f>$C2*F2</f>
        <v>0</v>
      </c>
      <c r="U2" s="18">
        <f>$C2*G2</f>
        <v>0</v>
      </c>
      <c r="V2" s="18">
        <f t="shared" ref="V2:V38" si="0">($Q$41+($Q$42*D2)+($Q$43*E2)+($Q$44*F2)+($Q$45*G2))</f>
        <v>318400.62380952365</v>
      </c>
      <c r="W2" s="32">
        <f>(C2-$C$40)^2</f>
        <v>123144495480.25</v>
      </c>
      <c r="X2">
        <f>(C2-V2)^2</f>
        <v>1057477308.6915298</v>
      </c>
      <c r="Y2" s="6">
        <f>(V2-$C$40)^2</f>
        <v>101378957242.29379</v>
      </c>
      <c r="Z2" s="6">
        <f>(D2-$D$40)^2</f>
        <v>324</v>
      </c>
      <c r="AA2">
        <f>V2-(TINV(0.025,35)*$S$43*SQRT((Z2/$Z$39)+(1/37)))</f>
        <v>290307.49435833236</v>
      </c>
      <c r="AB2">
        <f>V2+(TINV(0.025,35)*$S$43*SQRT((Z2/$Z$39)+(1/37)))</f>
        <v>346493.75326071493</v>
      </c>
      <c r="AC2">
        <f>V2-(TINV(0.025,35)*$S$43*SQRT((Z2/$Z$39)+(1/37)+1))</f>
        <v>226806.09118029044</v>
      </c>
      <c r="AD2" s="26">
        <f>V2+(TINV(0.025,35)*$S$43*SQRT((Z2/$Z$39)+(1/37)+1))</f>
        <v>409995.15643875685</v>
      </c>
      <c r="AE2">
        <f>(E2-$E$40)^2</f>
        <v>5.9167275383491605E-2</v>
      </c>
      <c r="AF2" s="26">
        <f>V2-(TINV(0.025,35)*$S$43*SQRT((AE2/$AE$39)+(1/37)))</f>
        <v>301925.17184823303</v>
      </c>
      <c r="AG2">
        <f>V2+(TINV(0.025,35)*$S$43*SQRT((AE2/$AE$39)+(1/37)))</f>
        <v>334876.07577081426</v>
      </c>
      <c r="AH2" s="26">
        <f>V2-(TINV(0.025,35)*$S$43*SQRT((AE2/$AE$39)+(1/37)+1))</f>
        <v>229677.59972594614</v>
      </c>
      <c r="AI2" s="26">
        <f>V2+(TINV(0.025,35)*$S$43*SQRT((AE2/$AE$39)+(1/37)+1))</f>
        <v>407123.64789310115</v>
      </c>
      <c r="AJ2">
        <f>(F2-$F$40)^2</f>
        <v>5.9167275383491605E-2</v>
      </c>
      <c r="AK2" s="26">
        <f>V2-(TINV(0.025,35)*$S$43*SQRT((AJ2/$AJ$39)+(1/37)))</f>
        <v>301925.17184823303</v>
      </c>
      <c r="AL2" s="26">
        <f>V2+(TINV(0.025,35)*$S$43*SQRT((AJ2/$AJ$39)+(1/37)))</f>
        <v>334876.07577081426</v>
      </c>
      <c r="AM2" s="26">
        <f>V2-(TINV(0.025,35)*$S$43*SQRT((AJ2/$AJ$39)+(1/37)+1))</f>
        <v>229677.59972594614</v>
      </c>
      <c r="AN2" s="26">
        <f>V2+(TINV(0.025,35)*$S$43*SQRT((AJ2/$AJ$39)+(1/37)+1))</f>
        <v>407123.64789310115</v>
      </c>
      <c r="AO2">
        <f>(G2-$G$40)^2</f>
        <v>5.9167275383491605E-2</v>
      </c>
      <c r="AP2" s="26">
        <f>V2-(TINV(0.025,35)*$S$43*SQRT((AO2/$AO$39)+(1/37)))</f>
        <v>301925.17184823303</v>
      </c>
      <c r="AQ2" s="26">
        <f>V2+(TINV(0.025,35)*$S$43*SQRT((AO2/$AO$39)+(1/37)))</f>
        <v>334876.07577081426</v>
      </c>
      <c r="AR2" s="26">
        <f>V2-(TINV(0.025,35)*$S$43*SQRT((AO2/$AO$39)+(1/37)+1))</f>
        <v>229677.59972594614</v>
      </c>
      <c r="AS2" s="26">
        <f>V2+(TINV(0.025,35)*$S$43*SQRT((AO2/$AO$39)+(1/37)+1))</f>
        <v>407123.64789310115</v>
      </c>
    </row>
    <row r="3" spans="1:45" x14ac:dyDescent="0.3">
      <c r="A3" s="18"/>
      <c r="B3" s="18">
        <v>2</v>
      </c>
      <c r="C3" s="18">
        <v>454049.66666666669</v>
      </c>
      <c r="D3" s="18">
        <v>1</v>
      </c>
      <c r="E3" s="18">
        <f t="shared" ref="E3:E38" si="1">IF(B3=2,1,0)</f>
        <v>1</v>
      </c>
      <c r="F3" s="18">
        <f t="shared" ref="F3:F38" si="2">IF(B3=3,1,0)</f>
        <v>0</v>
      </c>
      <c r="G3" s="18">
        <f t="shared" ref="G3:G38" si="3">IF(B3=4,1,0)</f>
        <v>0</v>
      </c>
      <c r="H3" s="18">
        <f t="shared" ref="H3:H38" si="4">D3*E3</f>
        <v>1</v>
      </c>
      <c r="I3" s="18">
        <f t="shared" ref="I3:I38" si="5">D3*F3</f>
        <v>0</v>
      </c>
      <c r="J3" s="18">
        <f t="shared" ref="J3:J38" si="6">D3*G3</f>
        <v>0</v>
      </c>
      <c r="K3" s="18">
        <f t="shared" ref="K3:K38" si="7">E3*F3</f>
        <v>0</v>
      </c>
      <c r="L3" s="18">
        <f t="shared" ref="L3:L38" si="8">E3*G3</f>
        <v>0</v>
      </c>
      <c r="M3" s="18">
        <f t="shared" ref="M3:M38" si="9">F3*G3</f>
        <v>0</v>
      </c>
      <c r="N3" s="18">
        <f t="shared" ref="N3:N38" si="10">D3^2</f>
        <v>1</v>
      </c>
      <c r="O3" s="18">
        <f t="shared" ref="O3:O38" si="11">E3^2</f>
        <v>1</v>
      </c>
      <c r="P3" s="18">
        <f t="shared" ref="P3:P38" si="12">F3^2</f>
        <v>0</v>
      </c>
      <c r="Q3" s="18">
        <f t="shared" ref="Q3:Q38" si="13">G3^2</f>
        <v>0</v>
      </c>
      <c r="R3" s="18">
        <f t="shared" ref="R3:R38" si="14">$C3*D3</f>
        <v>454049.66666666669</v>
      </c>
      <c r="S3" s="18">
        <f t="shared" ref="S3:S38" si="15">$C3*E3</f>
        <v>454049.66666666669</v>
      </c>
      <c r="T3" s="18">
        <f t="shared" ref="T3:T38" si="16">$C3*F3</f>
        <v>0</v>
      </c>
      <c r="U3" s="18">
        <f t="shared" ref="U3:U38" si="17">$C3*G3</f>
        <v>0</v>
      </c>
      <c r="V3" s="18">
        <f t="shared" si="0"/>
        <v>479860.0878306877</v>
      </c>
      <c r="W3" s="32">
        <f t="shared" ref="W3:W38" si="18">(C3-$C$40)^2</f>
        <v>206161099800.11111</v>
      </c>
      <c r="X3" s="26">
        <f t="shared" ref="X3:X38" si="19">(C3-V3)^2</f>
        <v>666177840.6641438</v>
      </c>
      <c r="Y3" s="27">
        <f>(V3-$C$40)^2</f>
        <v>230265703892.87531</v>
      </c>
      <c r="Z3" s="27">
        <f>(D3-$D$40)^2</f>
        <v>289</v>
      </c>
      <c r="AA3" s="26">
        <f t="shared" ref="AA3:AA38" si="20">V3-(TINV(0.025,35)*$S$43*SQRT((Z3/$Z$39)+(1/37)))</f>
        <v>452912.76729938941</v>
      </c>
      <c r="AB3" s="26">
        <f t="shared" ref="AB3:AB38" si="21">V3+(TINV(0.025,35)*$S$43*SQRT((Z3/$Z$39)+(1/37)))</f>
        <v>506807.40836198599</v>
      </c>
      <c r="AC3" s="26">
        <f t="shared" ref="AC3:AC38" si="22">V3-(TINV(0.025,35)*$S$43*SQRT((Z3/$Z$39)+(1/37)+1))</f>
        <v>388610.47101492895</v>
      </c>
      <c r="AD3" s="26">
        <f t="shared" ref="AD3:AD38" si="23">V3+(TINV(0.025,35)*$S$43*SQRT((Z3/$Z$39)+(1/37)+1))</f>
        <v>571109.70464644651</v>
      </c>
      <c r="AE3" s="26">
        <f>(E3-$E$40)^2</f>
        <v>0.57268078889700513</v>
      </c>
      <c r="AF3" s="26">
        <f t="shared" ref="AF3:AF38" si="24">V3-(TINV(0.025,35)*$S$43*SQRT((AE3/$AE$39)+(1/37)))</f>
        <v>450800.12207937677</v>
      </c>
      <c r="AG3" s="26">
        <f t="shared" ref="AG3:AG38" si="25">V3+(TINV(0.025,35)*$S$43*SQRT((AE3/$AE$39)+(1/37)))</f>
        <v>508920.05358199863</v>
      </c>
      <c r="AH3" s="26">
        <f t="shared" ref="AH3:AH38" si="26">V3-(TINV(0.025,35)*$S$43*SQRT((AE3/$AE$39)+(1/37)+1))</f>
        <v>387964.40733005898</v>
      </c>
      <c r="AI3" s="26">
        <f t="shared" ref="AI3:AI38" si="27">V3+(TINV(0.025,35)*$S$43*SQRT((AE3/$AE$39)+(1/37)+1))</f>
        <v>571755.76833131642</v>
      </c>
      <c r="AJ3" s="26">
        <f>(F3-$F$40)^2</f>
        <v>5.9167275383491605E-2</v>
      </c>
      <c r="AK3" s="26">
        <f t="shared" ref="AK3:AK38" si="28">V3-(TINV(0.025,35)*$S$43*SQRT((AJ3/$AJ$39)+(1/37)))</f>
        <v>463384.63586939708</v>
      </c>
      <c r="AL3" s="26">
        <f t="shared" ref="AL3:AL38" si="29">V3+(TINV(0.025,35)*$S$43*SQRT((AJ3/$AJ$39)+(1/37)))</f>
        <v>496335.53979197831</v>
      </c>
      <c r="AM3" s="26">
        <f t="shared" ref="AM3:AM38" si="30">V3-(TINV(0.025,35)*$S$43*SQRT((AJ3/$AJ$39)+(1/37)+1))</f>
        <v>391137.06374711019</v>
      </c>
      <c r="AN3" s="26">
        <f t="shared" ref="AN3:AN38" si="31">V3+(TINV(0.025,35)*$S$43*SQRT((AJ3/$AJ$39)+(1/37)+1))</f>
        <v>568583.1119142652</v>
      </c>
      <c r="AO3" s="26">
        <f>(G3-$G$40)^2</f>
        <v>5.9167275383491605E-2</v>
      </c>
      <c r="AP3" s="26">
        <f t="shared" ref="AP3:AP38" si="32">V3-(TINV(0.025,35)*$S$43*SQRT((AO3/$AO$39)+(1/37)))</f>
        <v>463384.63586939708</v>
      </c>
      <c r="AQ3" s="26">
        <f t="shared" ref="AQ3:AQ38" si="33">V3+(TINV(0.025,35)*$S$43*SQRT((AO3/$AO$39)+(1/37)))</f>
        <v>496335.53979197831</v>
      </c>
      <c r="AR3" s="26">
        <f t="shared" ref="AR3:AR38" si="34">V3-(TINV(0.025,35)*$S$43*SQRT((AO3/$AO$39)+(1/37)+1))</f>
        <v>391137.06374711019</v>
      </c>
      <c r="AS3" s="26">
        <f t="shared" ref="AS3:AS38" si="35">V3+(TINV(0.025,35)*$S$43*SQRT((AO3/$AO$39)+(1/37)+1))</f>
        <v>568583.1119142652</v>
      </c>
    </row>
    <row r="4" spans="1:45" x14ac:dyDescent="0.3">
      <c r="A4" s="18"/>
      <c r="B4" s="18">
        <v>3</v>
      </c>
      <c r="C4" s="18">
        <v>444613.66666666669</v>
      </c>
      <c r="D4" s="18">
        <v>2</v>
      </c>
      <c r="E4" s="18">
        <f t="shared" si="1"/>
        <v>0</v>
      </c>
      <c r="F4" s="18">
        <f t="shared" si="2"/>
        <v>1</v>
      </c>
      <c r="G4" s="18">
        <f t="shared" si="3"/>
        <v>0</v>
      </c>
      <c r="H4" s="18">
        <f t="shared" si="4"/>
        <v>0</v>
      </c>
      <c r="I4" s="18">
        <f t="shared" si="5"/>
        <v>2</v>
      </c>
      <c r="J4" s="18">
        <f t="shared" si="6"/>
        <v>0</v>
      </c>
      <c r="K4" s="18">
        <f t="shared" si="7"/>
        <v>0</v>
      </c>
      <c r="L4" s="18">
        <f t="shared" si="8"/>
        <v>0</v>
      </c>
      <c r="M4" s="18">
        <f t="shared" si="9"/>
        <v>0</v>
      </c>
      <c r="N4" s="18">
        <f t="shared" si="10"/>
        <v>4</v>
      </c>
      <c r="O4" s="18">
        <f t="shared" si="11"/>
        <v>0</v>
      </c>
      <c r="P4" s="18">
        <f t="shared" si="12"/>
        <v>1</v>
      </c>
      <c r="Q4" s="18">
        <f t="shared" si="13"/>
        <v>0</v>
      </c>
      <c r="R4" s="18">
        <f t="shared" si="14"/>
        <v>889227.33333333337</v>
      </c>
      <c r="S4" s="18">
        <f t="shared" si="15"/>
        <v>0</v>
      </c>
      <c r="T4" s="18">
        <f t="shared" si="16"/>
        <v>444613.66666666669</v>
      </c>
      <c r="U4" s="18">
        <f t="shared" si="17"/>
        <v>0</v>
      </c>
      <c r="V4" s="18">
        <f t="shared" si="0"/>
        <v>495163.12486772495</v>
      </c>
      <c r="W4" s="32">
        <f t="shared" si="18"/>
        <v>197681312586.7778</v>
      </c>
      <c r="X4" s="26">
        <f t="shared" si="19"/>
        <v>2555247724.420537</v>
      </c>
      <c r="Y4" s="27">
        <f>(V4-$C$40)^2</f>
        <v>245186520228.77017</v>
      </c>
      <c r="Z4" s="27">
        <f>(D4-$D$40)^2</f>
        <v>256</v>
      </c>
      <c r="AA4" s="26">
        <f t="shared" si="20"/>
        <v>469342.6677169649</v>
      </c>
      <c r="AB4" s="26">
        <f t="shared" si="21"/>
        <v>520983.582018485</v>
      </c>
      <c r="AC4" s="26">
        <f t="shared" si="22"/>
        <v>404239.91280017584</v>
      </c>
      <c r="AD4" s="26">
        <f t="shared" si="23"/>
        <v>586086.33693527407</v>
      </c>
      <c r="AE4" s="26">
        <f>(E4-$E$40)^2</f>
        <v>5.9167275383491605E-2</v>
      </c>
      <c r="AF4" s="26">
        <f t="shared" si="24"/>
        <v>478687.67290643434</v>
      </c>
      <c r="AG4" s="26">
        <f t="shared" si="25"/>
        <v>511638.57682901557</v>
      </c>
      <c r="AH4" s="26">
        <f t="shared" si="26"/>
        <v>406440.10078414745</v>
      </c>
      <c r="AI4" s="26">
        <f t="shared" si="27"/>
        <v>583886.1489513024</v>
      </c>
      <c r="AJ4" s="26">
        <f>(F4-$F$40)^2</f>
        <v>0.57268078889700513</v>
      </c>
      <c r="AK4" s="26">
        <f t="shared" si="28"/>
        <v>466103.15911641403</v>
      </c>
      <c r="AL4" s="26">
        <f t="shared" si="29"/>
        <v>524223.09061903588</v>
      </c>
      <c r="AM4" s="26">
        <f t="shared" si="30"/>
        <v>403267.44436709618</v>
      </c>
      <c r="AN4" s="26">
        <f t="shared" si="31"/>
        <v>587058.80536835373</v>
      </c>
      <c r="AO4" s="26">
        <f>(G4-$G$40)^2</f>
        <v>5.9167275383491605E-2</v>
      </c>
      <c r="AP4" s="26">
        <f t="shared" si="32"/>
        <v>478687.67290643434</v>
      </c>
      <c r="AQ4" s="26">
        <f t="shared" si="33"/>
        <v>511638.57682901557</v>
      </c>
      <c r="AR4" s="26">
        <f t="shared" si="34"/>
        <v>406440.10078414745</v>
      </c>
      <c r="AS4" s="26">
        <f t="shared" si="35"/>
        <v>583886.1489513024</v>
      </c>
    </row>
    <row r="5" spans="1:45" x14ac:dyDescent="0.3">
      <c r="A5" s="18"/>
      <c r="B5" s="18">
        <v>4</v>
      </c>
      <c r="C5" s="18">
        <v>405853</v>
      </c>
      <c r="D5" s="18">
        <v>3</v>
      </c>
      <c r="E5" s="18">
        <f t="shared" si="1"/>
        <v>0</v>
      </c>
      <c r="F5" s="18">
        <f t="shared" si="2"/>
        <v>0</v>
      </c>
      <c r="G5" s="18">
        <f t="shared" si="3"/>
        <v>1</v>
      </c>
      <c r="H5" s="18">
        <f t="shared" si="4"/>
        <v>0</v>
      </c>
      <c r="I5" s="18">
        <f t="shared" si="5"/>
        <v>0</v>
      </c>
      <c r="J5" s="18">
        <f t="shared" si="6"/>
        <v>3</v>
      </c>
      <c r="K5" s="18">
        <f t="shared" si="7"/>
        <v>0</v>
      </c>
      <c r="L5" s="18">
        <f t="shared" si="8"/>
        <v>0</v>
      </c>
      <c r="M5" s="18">
        <f t="shared" si="9"/>
        <v>0</v>
      </c>
      <c r="N5" s="18">
        <f t="shared" si="10"/>
        <v>9</v>
      </c>
      <c r="O5" s="18">
        <f t="shared" si="11"/>
        <v>0</v>
      </c>
      <c r="P5" s="18">
        <f t="shared" si="12"/>
        <v>0</v>
      </c>
      <c r="Q5" s="18">
        <f t="shared" si="13"/>
        <v>1</v>
      </c>
      <c r="R5" s="18">
        <f t="shared" si="14"/>
        <v>1217559</v>
      </c>
      <c r="S5" s="18">
        <f t="shared" si="15"/>
        <v>0</v>
      </c>
      <c r="T5" s="18">
        <f t="shared" si="16"/>
        <v>0</v>
      </c>
      <c r="U5" s="18">
        <f t="shared" si="17"/>
        <v>405853</v>
      </c>
      <c r="V5" s="18">
        <f t="shared" si="0"/>
        <v>413815.90264550282</v>
      </c>
      <c r="W5" s="32">
        <f t="shared" si="18"/>
        <v>164716657609</v>
      </c>
      <c r="X5" s="26">
        <f t="shared" si="19"/>
        <v>63407818.541755833</v>
      </c>
      <c r="Y5" s="27">
        <f>(V5-$C$40)^2</f>
        <v>171243601282.31226</v>
      </c>
      <c r="Z5" s="27">
        <f>(D5-$D$40)^2</f>
        <v>225</v>
      </c>
      <c r="AA5" s="26">
        <f t="shared" si="20"/>
        <v>389100.77178737259</v>
      </c>
      <c r="AB5" s="26">
        <f t="shared" si="21"/>
        <v>438531.03350363305</v>
      </c>
      <c r="AC5" s="26">
        <f t="shared" si="22"/>
        <v>323200.38422541774</v>
      </c>
      <c r="AD5" s="26">
        <f t="shared" si="23"/>
        <v>504431.4210655879</v>
      </c>
      <c r="AE5" s="26">
        <f>(E5-$E$40)^2</f>
        <v>5.9167275383491605E-2</v>
      </c>
      <c r="AF5" s="26">
        <f t="shared" si="24"/>
        <v>397340.45068421221</v>
      </c>
      <c r="AG5" s="26">
        <f t="shared" si="25"/>
        <v>430291.35460679344</v>
      </c>
      <c r="AH5" s="26">
        <f t="shared" si="26"/>
        <v>325092.87856192532</v>
      </c>
      <c r="AI5" s="26">
        <f t="shared" si="27"/>
        <v>502538.92672908033</v>
      </c>
      <c r="AJ5" s="26">
        <f>(F5-$F$40)^2</f>
        <v>5.9167275383491605E-2</v>
      </c>
      <c r="AK5" s="26">
        <f t="shared" si="28"/>
        <v>397340.45068421221</v>
      </c>
      <c r="AL5" s="26">
        <f t="shared" si="29"/>
        <v>430291.35460679344</v>
      </c>
      <c r="AM5" s="26">
        <f t="shared" si="30"/>
        <v>325092.87856192532</v>
      </c>
      <c r="AN5" s="26">
        <f t="shared" si="31"/>
        <v>502538.92672908033</v>
      </c>
      <c r="AO5" s="26">
        <f>(G5-$G$40)^2</f>
        <v>0.57268078889700513</v>
      </c>
      <c r="AP5" s="26">
        <f t="shared" si="32"/>
        <v>384755.93689419189</v>
      </c>
      <c r="AQ5" s="26">
        <f t="shared" si="33"/>
        <v>442875.86839681375</v>
      </c>
      <c r="AR5" s="26">
        <f t="shared" si="34"/>
        <v>321920.22214487405</v>
      </c>
      <c r="AS5" s="26">
        <f t="shared" si="35"/>
        <v>505711.5831461316</v>
      </c>
    </row>
    <row r="6" spans="1:45" x14ac:dyDescent="0.3">
      <c r="A6" s="18">
        <v>2013</v>
      </c>
      <c r="B6" s="18">
        <v>1</v>
      </c>
      <c r="C6" s="18">
        <v>352590.33333333331</v>
      </c>
      <c r="D6" s="18">
        <v>4</v>
      </c>
      <c r="E6" s="18">
        <f t="shared" si="1"/>
        <v>0</v>
      </c>
      <c r="F6" s="18">
        <f t="shared" si="2"/>
        <v>0</v>
      </c>
      <c r="G6" s="18">
        <f t="shared" si="3"/>
        <v>0</v>
      </c>
      <c r="H6" s="18">
        <f t="shared" si="4"/>
        <v>0</v>
      </c>
      <c r="I6" s="18">
        <f t="shared" si="5"/>
        <v>0</v>
      </c>
      <c r="J6" s="18">
        <f t="shared" si="6"/>
        <v>0</v>
      </c>
      <c r="K6" s="18">
        <f t="shared" si="7"/>
        <v>0</v>
      </c>
      <c r="L6" s="18">
        <f t="shared" si="8"/>
        <v>0</v>
      </c>
      <c r="M6" s="18">
        <f t="shared" si="9"/>
        <v>0</v>
      </c>
      <c r="N6" s="18">
        <f t="shared" si="10"/>
        <v>16</v>
      </c>
      <c r="O6" s="18">
        <f t="shared" si="11"/>
        <v>0</v>
      </c>
      <c r="P6" s="18">
        <f t="shared" si="12"/>
        <v>0</v>
      </c>
      <c r="Q6" s="18">
        <f t="shared" si="13"/>
        <v>0</v>
      </c>
      <c r="R6" s="18">
        <f t="shared" si="14"/>
        <v>1410361.3333333333</v>
      </c>
      <c r="S6" s="18">
        <f t="shared" si="15"/>
        <v>0</v>
      </c>
      <c r="T6" s="18">
        <f t="shared" si="16"/>
        <v>0</v>
      </c>
      <c r="U6" s="18">
        <f t="shared" si="17"/>
        <v>0</v>
      </c>
      <c r="V6" s="18">
        <f t="shared" si="0"/>
        <v>335986.22222222213</v>
      </c>
      <c r="W6" s="32">
        <f t="shared" si="18"/>
        <v>124319943160.1111</v>
      </c>
      <c r="X6" s="26">
        <f t="shared" si="19"/>
        <v>275696505.79012585</v>
      </c>
      <c r="Y6" s="27">
        <f>(V6-$C$40)^2</f>
        <v>112886741523.16043</v>
      </c>
      <c r="Z6" s="27">
        <f>(D6-$D$40)^2</f>
        <v>196</v>
      </c>
      <c r="AA6" s="26">
        <f t="shared" si="20"/>
        <v>312351.85865140997</v>
      </c>
      <c r="AB6" s="26">
        <f t="shared" si="21"/>
        <v>359620.58579303429</v>
      </c>
      <c r="AC6" s="26">
        <f t="shared" si="22"/>
        <v>245659.49513326134</v>
      </c>
      <c r="AD6" s="26">
        <f t="shared" si="23"/>
        <v>426312.94931118295</v>
      </c>
      <c r="AE6" s="26">
        <f>(E6-$E$40)^2</f>
        <v>5.9167275383491605E-2</v>
      </c>
      <c r="AF6" s="26">
        <f t="shared" si="24"/>
        <v>319510.77026093152</v>
      </c>
      <c r="AG6" s="26">
        <f t="shared" si="25"/>
        <v>352461.67418351275</v>
      </c>
      <c r="AH6" s="26">
        <f t="shared" si="26"/>
        <v>247263.19813864463</v>
      </c>
      <c r="AI6" s="26">
        <f t="shared" si="27"/>
        <v>424709.24630579964</v>
      </c>
      <c r="AJ6" s="26">
        <f>(F6-$F$40)^2</f>
        <v>5.9167275383491605E-2</v>
      </c>
      <c r="AK6" s="26">
        <f t="shared" si="28"/>
        <v>319510.77026093152</v>
      </c>
      <c r="AL6" s="26">
        <f t="shared" si="29"/>
        <v>352461.67418351275</v>
      </c>
      <c r="AM6" s="26">
        <f t="shared" si="30"/>
        <v>247263.19813864463</v>
      </c>
      <c r="AN6" s="26">
        <f t="shared" si="31"/>
        <v>424709.24630579964</v>
      </c>
      <c r="AO6" s="26">
        <f>(G6-$G$40)^2</f>
        <v>5.9167275383491605E-2</v>
      </c>
      <c r="AP6" s="26">
        <f t="shared" si="32"/>
        <v>319510.77026093152</v>
      </c>
      <c r="AQ6" s="26">
        <f t="shared" si="33"/>
        <v>352461.67418351275</v>
      </c>
      <c r="AR6" s="26">
        <f t="shared" si="34"/>
        <v>247263.19813864463</v>
      </c>
      <c r="AS6" s="26">
        <f t="shared" si="35"/>
        <v>424709.24630579964</v>
      </c>
    </row>
    <row r="7" spans="1:45" x14ac:dyDescent="0.3">
      <c r="A7" s="18"/>
      <c r="B7" s="18">
        <v>2</v>
      </c>
      <c r="C7" s="18">
        <v>509317</v>
      </c>
      <c r="D7" s="18">
        <v>5</v>
      </c>
      <c r="E7" s="18">
        <f t="shared" si="1"/>
        <v>1</v>
      </c>
      <c r="F7" s="18">
        <f t="shared" si="2"/>
        <v>0</v>
      </c>
      <c r="G7" s="18">
        <f t="shared" si="3"/>
        <v>0</v>
      </c>
      <c r="H7" s="18">
        <f t="shared" si="4"/>
        <v>5</v>
      </c>
      <c r="I7" s="18">
        <f t="shared" si="5"/>
        <v>0</v>
      </c>
      <c r="J7" s="18">
        <f t="shared" si="6"/>
        <v>0</v>
      </c>
      <c r="K7" s="18">
        <f t="shared" si="7"/>
        <v>0</v>
      </c>
      <c r="L7" s="18">
        <f t="shared" si="8"/>
        <v>0</v>
      </c>
      <c r="M7" s="18">
        <f t="shared" si="9"/>
        <v>0</v>
      </c>
      <c r="N7" s="18">
        <f t="shared" si="10"/>
        <v>25</v>
      </c>
      <c r="O7" s="18">
        <f t="shared" si="11"/>
        <v>1</v>
      </c>
      <c r="P7" s="18">
        <f t="shared" si="12"/>
        <v>0</v>
      </c>
      <c r="Q7" s="18">
        <f t="shared" si="13"/>
        <v>0</v>
      </c>
      <c r="R7" s="18">
        <f t="shared" si="14"/>
        <v>2546585</v>
      </c>
      <c r="S7" s="18">
        <f t="shared" si="15"/>
        <v>509317</v>
      </c>
      <c r="T7" s="18">
        <f t="shared" si="16"/>
        <v>0</v>
      </c>
      <c r="U7" s="18">
        <f t="shared" si="17"/>
        <v>0</v>
      </c>
      <c r="V7" s="18">
        <f t="shared" si="0"/>
        <v>497445.68624338618</v>
      </c>
      <c r="W7" s="32">
        <f t="shared" si="18"/>
        <v>259403806489</v>
      </c>
      <c r="X7" s="26">
        <f t="shared" si="19"/>
        <v>140928090.30796847</v>
      </c>
      <c r="Y7" s="27">
        <f>(V7-$C$40)^2</f>
        <v>247452210762.15341</v>
      </c>
      <c r="Z7" s="27">
        <f>(D7-$D$40)^2</f>
        <v>169</v>
      </c>
      <c r="AA7" s="26">
        <f t="shared" si="20"/>
        <v>474864.00447114598</v>
      </c>
      <c r="AB7" s="26">
        <f t="shared" si="21"/>
        <v>520027.36801562639</v>
      </c>
      <c r="AC7" s="26">
        <f t="shared" si="22"/>
        <v>407388.66632339882</v>
      </c>
      <c r="AD7" s="26">
        <f t="shared" si="23"/>
        <v>587502.70616337354</v>
      </c>
      <c r="AE7" s="26">
        <f>(E7-$E$40)^2</f>
        <v>0.57268078889700513</v>
      </c>
      <c r="AF7" s="26">
        <f t="shared" si="24"/>
        <v>468385.72049207526</v>
      </c>
      <c r="AG7" s="26">
        <f t="shared" si="25"/>
        <v>526505.65199469705</v>
      </c>
      <c r="AH7" s="26">
        <f t="shared" si="26"/>
        <v>405550.00574275746</v>
      </c>
      <c r="AI7" s="26">
        <f t="shared" si="27"/>
        <v>589341.3667440149</v>
      </c>
      <c r="AJ7" s="26">
        <f>(F7-$F$40)^2</f>
        <v>5.9167275383491605E-2</v>
      </c>
      <c r="AK7" s="26">
        <f t="shared" si="28"/>
        <v>480970.23428209557</v>
      </c>
      <c r="AL7" s="26">
        <f t="shared" si="29"/>
        <v>513921.1382046768</v>
      </c>
      <c r="AM7" s="26">
        <f t="shared" si="30"/>
        <v>408722.66215980868</v>
      </c>
      <c r="AN7" s="26">
        <f t="shared" si="31"/>
        <v>586168.71032696369</v>
      </c>
      <c r="AO7" s="26">
        <f>(G7-$G$40)^2</f>
        <v>5.9167275383491605E-2</v>
      </c>
      <c r="AP7" s="26">
        <f t="shared" si="32"/>
        <v>480970.23428209557</v>
      </c>
      <c r="AQ7" s="26">
        <f t="shared" si="33"/>
        <v>513921.1382046768</v>
      </c>
      <c r="AR7" s="26">
        <f t="shared" si="34"/>
        <v>408722.66215980868</v>
      </c>
      <c r="AS7" s="26">
        <f t="shared" si="35"/>
        <v>586168.71032696369</v>
      </c>
    </row>
    <row r="8" spans="1:45" x14ac:dyDescent="0.3">
      <c r="A8" s="18"/>
      <c r="B8" s="18">
        <v>3</v>
      </c>
      <c r="C8" s="18">
        <v>513818</v>
      </c>
      <c r="D8" s="18">
        <v>6</v>
      </c>
      <c r="E8" s="18">
        <f t="shared" si="1"/>
        <v>0</v>
      </c>
      <c r="F8" s="18">
        <f t="shared" si="2"/>
        <v>1</v>
      </c>
      <c r="G8" s="18">
        <f t="shared" si="3"/>
        <v>0</v>
      </c>
      <c r="H8" s="18">
        <f t="shared" si="4"/>
        <v>0</v>
      </c>
      <c r="I8" s="18">
        <f t="shared" si="5"/>
        <v>6</v>
      </c>
      <c r="J8" s="18">
        <f t="shared" si="6"/>
        <v>0</v>
      </c>
      <c r="K8" s="18">
        <f t="shared" si="7"/>
        <v>0</v>
      </c>
      <c r="L8" s="18">
        <f t="shared" si="8"/>
        <v>0</v>
      </c>
      <c r="M8" s="18">
        <f t="shared" si="9"/>
        <v>0</v>
      </c>
      <c r="N8" s="18">
        <f t="shared" si="10"/>
        <v>36</v>
      </c>
      <c r="O8" s="18">
        <f t="shared" si="11"/>
        <v>0</v>
      </c>
      <c r="P8" s="18">
        <f t="shared" si="12"/>
        <v>1</v>
      </c>
      <c r="Q8" s="18">
        <f t="shared" si="13"/>
        <v>0</v>
      </c>
      <c r="R8" s="18">
        <f t="shared" si="14"/>
        <v>3082908</v>
      </c>
      <c r="S8" s="18">
        <f t="shared" si="15"/>
        <v>0</v>
      </c>
      <c r="T8" s="18">
        <f t="shared" si="16"/>
        <v>513818</v>
      </c>
      <c r="U8" s="18">
        <f t="shared" si="17"/>
        <v>0</v>
      </c>
      <c r="V8" s="18">
        <f t="shared" si="0"/>
        <v>512748.72328042338</v>
      </c>
      <c r="W8" s="32">
        <f t="shared" si="18"/>
        <v>264008937124</v>
      </c>
      <c r="X8" s="26">
        <f t="shared" si="19"/>
        <v>1143352.7030285397</v>
      </c>
      <c r="Y8" s="27">
        <f>(V8-$C$40)^2</f>
        <v>262911253225.70419</v>
      </c>
      <c r="Z8" s="27">
        <f>(D8-$D$40)^2</f>
        <v>144</v>
      </c>
      <c r="AA8" s="26">
        <f t="shared" si="20"/>
        <v>491187.52377458225</v>
      </c>
      <c r="AB8" s="26">
        <f t="shared" si="21"/>
        <v>534309.92278626445</v>
      </c>
      <c r="AC8" s="26">
        <f t="shared" si="22"/>
        <v>422942.15442637482</v>
      </c>
      <c r="AD8" s="26">
        <f t="shared" si="23"/>
        <v>602555.29213447194</v>
      </c>
      <c r="AE8" s="26">
        <f>(E8-$E$40)^2</f>
        <v>5.9167275383491605E-2</v>
      </c>
      <c r="AF8" s="26">
        <f t="shared" si="24"/>
        <v>496273.27131913276</v>
      </c>
      <c r="AG8" s="26">
        <f t="shared" si="25"/>
        <v>529224.17524171399</v>
      </c>
      <c r="AH8" s="26">
        <f t="shared" si="26"/>
        <v>424025.69919684588</v>
      </c>
      <c r="AI8" s="26">
        <f t="shared" si="27"/>
        <v>601471.74736400088</v>
      </c>
      <c r="AJ8" s="26">
        <f>(F8-$F$40)^2</f>
        <v>0.57268078889700513</v>
      </c>
      <c r="AK8" s="26">
        <f t="shared" si="28"/>
        <v>483688.75752911245</v>
      </c>
      <c r="AL8" s="26">
        <f t="shared" si="29"/>
        <v>541808.68903173436</v>
      </c>
      <c r="AM8" s="26">
        <f t="shared" si="30"/>
        <v>420853.04277979466</v>
      </c>
      <c r="AN8" s="26">
        <f t="shared" si="31"/>
        <v>604644.4037810521</v>
      </c>
      <c r="AO8" s="26">
        <f>(G8-$G$40)^2</f>
        <v>5.9167275383491605E-2</v>
      </c>
      <c r="AP8" s="26">
        <f t="shared" si="32"/>
        <v>496273.27131913276</v>
      </c>
      <c r="AQ8" s="26">
        <f t="shared" si="33"/>
        <v>529224.17524171399</v>
      </c>
      <c r="AR8" s="26">
        <f t="shared" si="34"/>
        <v>424025.69919684588</v>
      </c>
      <c r="AS8" s="26">
        <f t="shared" si="35"/>
        <v>601471.74736400088</v>
      </c>
    </row>
    <row r="9" spans="1:45" x14ac:dyDescent="0.3">
      <c r="A9" s="18"/>
      <c r="B9" s="18">
        <v>4</v>
      </c>
      <c r="C9" s="18">
        <v>415390</v>
      </c>
      <c r="D9" s="18">
        <v>7</v>
      </c>
      <c r="E9" s="18">
        <f t="shared" si="1"/>
        <v>0</v>
      </c>
      <c r="F9" s="18">
        <f t="shared" si="2"/>
        <v>0</v>
      </c>
      <c r="G9" s="18">
        <f t="shared" si="3"/>
        <v>1</v>
      </c>
      <c r="H9" s="18">
        <f t="shared" si="4"/>
        <v>0</v>
      </c>
      <c r="I9" s="18">
        <f t="shared" si="5"/>
        <v>0</v>
      </c>
      <c r="J9" s="18">
        <f t="shared" si="6"/>
        <v>7</v>
      </c>
      <c r="K9" s="18">
        <f t="shared" si="7"/>
        <v>0</v>
      </c>
      <c r="L9" s="18">
        <f t="shared" si="8"/>
        <v>0</v>
      </c>
      <c r="M9" s="18">
        <f t="shared" si="9"/>
        <v>0</v>
      </c>
      <c r="N9" s="18">
        <f t="shared" si="10"/>
        <v>49</v>
      </c>
      <c r="O9" s="18">
        <f t="shared" si="11"/>
        <v>0</v>
      </c>
      <c r="P9" s="18">
        <f t="shared" si="12"/>
        <v>0</v>
      </c>
      <c r="Q9" s="18">
        <f t="shared" si="13"/>
        <v>1</v>
      </c>
      <c r="R9" s="18">
        <f t="shared" si="14"/>
        <v>2907730</v>
      </c>
      <c r="S9" s="18">
        <f t="shared" si="15"/>
        <v>0</v>
      </c>
      <c r="T9" s="18">
        <f t="shared" si="16"/>
        <v>0</v>
      </c>
      <c r="U9" s="18">
        <f t="shared" si="17"/>
        <v>415390</v>
      </c>
      <c r="V9" s="18">
        <f t="shared" si="0"/>
        <v>431401.50105820131</v>
      </c>
      <c r="W9" s="32">
        <f t="shared" si="18"/>
        <v>172548852100</v>
      </c>
      <c r="X9" s="26">
        <f t="shared" si="19"/>
        <v>256368166.13678151</v>
      </c>
      <c r="Y9" s="27">
        <f>(V9-$C$40)^2</f>
        <v>186107255115.26926</v>
      </c>
      <c r="Z9" s="27">
        <f>(D9-$D$40)^2</f>
        <v>121</v>
      </c>
      <c r="AA9" s="26">
        <f t="shared" si="20"/>
        <v>410823.79324607598</v>
      </c>
      <c r="AB9" s="26">
        <f t="shared" si="21"/>
        <v>451979.20887032663</v>
      </c>
      <c r="AC9" s="26">
        <f t="shared" si="22"/>
        <v>341825.96564809349</v>
      </c>
      <c r="AD9" s="26">
        <f t="shared" si="23"/>
        <v>520977.03646830912</v>
      </c>
      <c r="AE9" s="26">
        <f>(E9-$E$40)^2</f>
        <v>5.9167275383491605E-2</v>
      </c>
      <c r="AF9" s="26">
        <f t="shared" si="24"/>
        <v>414926.04909691069</v>
      </c>
      <c r="AG9" s="26">
        <f t="shared" si="25"/>
        <v>447876.95301949192</v>
      </c>
      <c r="AH9" s="26">
        <f t="shared" si="26"/>
        <v>342678.4769746238</v>
      </c>
      <c r="AI9" s="26">
        <f t="shared" si="27"/>
        <v>520124.52514177881</v>
      </c>
      <c r="AJ9" s="26">
        <f>(F9-$F$40)^2</f>
        <v>5.9167275383491605E-2</v>
      </c>
      <c r="AK9" s="26">
        <f t="shared" si="28"/>
        <v>414926.04909691069</v>
      </c>
      <c r="AL9" s="26">
        <f t="shared" si="29"/>
        <v>447876.95301949192</v>
      </c>
      <c r="AM9" s="26">
        <f t="shared" si="30"/>
        <v>342678.4769746238</v>
      </c>
      <c r="AN9" s="26">
        <f t="shared" si="31"/>
        <v>520124.52514177881</v>
      </c>
      <c r="AO9" s="26">
        <f>(G9-$G$40)^2</f>
        <v>0.57268078889700513</v>
      </c>
      <c r="AP9" s="26">
        <f t="shared" si="32"/>
        <v>402341.53530689038</v>
      </c>
      <c r="AQ9" s="26">
        <f t="shared" si="33"/>
        <v>460461.46680951223</v>
      </c>
      <c r="AR9" s="26">
        <f t="shared" si="34"/>
        <v>339505.82055757253</v>
      </c>
      <c r="AS9" s="26">
        <f t="shared" si="35"/>
        <v>523297.18155883008</v>
      </c>
    </row>
    <row r="10" spans="1:45" x14ac:dyDescent="0.3">
      <c r="A10" s="18">
        <v>2014</v>
      </c>
      <c r="B10" s="18">
        <v>1</v>
      </c>
      <c r="C10" s="18">
        <v>337159.33333333331</v>
      </c>
      <c r="D10" s="18">
        <v>8</v>
      </c>
      <c r="E10" s="18">
        <f t="shared" si="1"/>
        <v>0</v>
      </c>
      <c r="F10" s="18">
        <f t="shared" si="2"/>
        <v>0</v>
      </c>
      <c r="G10" s="18">
        <f t="shared" si="3"/>
        <v>0</v>
      </c>
      <c r="H10" s="18">
        <f t="shared" si="4"/>
        <v>0</v>
      </c>
      <c r="I10" s="18">
        <f t="shared" si="5"/>
        <v>0</v>
      </c>
      <c r="J10" s="18">
        <f t="shared" si="6"/>
        <v>0</v>
      </c>
      <c r="K10" s="18">
        <f t="shared" si="7"/>
        <v>0</v>
      </c>
      <c r="L10" s="18">
        <f t="shared" si="8"/>
        <v>0</v>
      </c>
      <c r="M10" s="18">
        <f t="shared" si="9"/>
        <v>0</v>
      </c>
      <c r="N10" s="18">
        <f t="shared" si="10"/>
        <v>64</v>
      </c>
      <c r="O10" s="18">
        <f t="shared" si="11"/>
        <v>0</v>
      </c>
      <c r="P10" s="18">
        <f t="shared" si="12"/>
        <v>0</v>
      </c>
      <c r="Q10" s="18">
        <f t="shared" si="13"/>
        <v>0</v>
      </c>
      <c r="R10" s="18">
        <f t="shared" si="14"/>
        <v>2697274.6666666665</v>
      </c>
      <c r="S10" s="18">
        <f t="shared" si="15"/>
        <v>0</v>
      </c>
      <c r="T10" s="18">
        <f t="shared" si="16"/>
        <v>0</v>
      </c>
      <c r="U10" s="18">
        <f t="shared" si="17"/>
        <v>0</v>
      </c>
      <c r="V10" s="18">
        <f t="shared" si="0"/>
        <v>353571.82063492056</v>
      </c>
      <c r="W10" s="32">
        <f t="shared" si="18"/>
        <v>113676416053.77777</v>
      </c>
      <c r="X10" s="26">
        <f t="shared" si="19"/>
        <v>269369739.42476255</v>
      </c>
      <c r="Y10" s="27">
        <f>(V10-$C$40)^2</f>
        <v>125013032347.09244</v>
      </c>
      <c r="Z10" s="27">
        <f>(D10-$D$40)^2</f>
        <v>100</v>
      </c>
      <c r="AA10" s="26">
        <f t="shared" si="20"/>
        <v>333935.05522729072</v>
      </c>
      <c r="AB10" s="26">
        <f t="shared" si="21"/>
        <v>373208.58604255039</v>
      </c>
      <c r="AC10" s="26">
        <f t="shared" si="22"/>
        <v>264207.75044515938</v>
      </c>
      <c r="AD10" s="26">
        <f t="shared" si="23"/>
        <v>442935.89082468173</v>
      </c>
      <c r="AE10" s="26">
        <f>(E10-$E$40)^2</f>
        <v>5.9167275383491605E-2</v>
      </c>
      <c r="AF10" s="26">
        <f t="shared" si="24"/>
        <v>337096.36867362994</v>
      </c>
      <c r="AG10" s="26">
        <f t="shared" si="25"/>
        <v>370047.27259621117</v>
      </c>
      <c r="AH10" s="26">
        <f t="shared" si="26"/>
        <v>264848.79655134305</v>
      </c>
      <c r="AI10" s="26">
        <f t="shared" si="27"/>
        <v>442294.84471849806</v>
      </c>
      <c r="AJ10" s="26">
        <f>(F10-$F$40)^2</f>
        <v>5.9167275383491605E-2</v>
      </c>
      <c r="AK10" s="26">
        <f t="shared" si="28"/>
        <v>337096.36867362994</v>
      </c>
      <c r="AL10" s="26">
        <f t="shared" si="29"/>
        <v>370047.27259621117</v>
      </c>
      <c r="AM10" s="26">
        <f t="shared" si="30"/>
        <v>264848.79655134305</v>
      </c>
      <c r="AN10" s="26">
        <f t="shared" si="31"/>
        <v>442294.84471849806</v>
      </c>
      <c r="AO10" s="26">
        <f>(G10-$G$40)^2</f>
        <v>5.9167275383491605E-2</v>
      </c>
      <c r="AP10" s="26">
        <f t="shared" si="32"/>
        <v>337096.36867362994</v>
      </c>
      <c r="AQ10" s="26">
        <f t="shared" si="33"/>
        <v>370047.27259621117</v>
      </c>
      <c r="AR10" s="26">
        <f t="shared" si="34"/>
        <v>264848.79655134305</v>
      </c>
      <c r="AS10" s="26">
        <f t="shared" si="35"/>
        <v>442294.84471849806</v>
      </c>
    </row>
    <row r="11" spans="1:45" x14ac:dyDescent="0.3">
      <c r="A11" s="18"/>
      <c r="B11" s="18">
        <v>2</v>
      </c>
      <c r="C11" s="18">
        <v>500452.33333333331</v>
      </c>
      <c r="D11" s="18">
        <v>9</v>
      </c>
      <c r="E11" s="18">
        <f t="shared" si="1"/>
        <v>1</v>
      </c>
      <c r="F11" s="18">
        <f t="shared" si="2"/>
        <v>0</v>
      </c>
      <c r="G11" s="18">
        <f t="shared" si="3"/>
        <v>0</v>
      </c>
      <c r="H11" s="18">
        <f t="shared" si="4"/>
        <v>9</v>
      </c>
      <c r="I11" s="18">
        <f t="shared" si="5"/>
        <v>0</v>
      </c>
      <c r="J11" s="18">
        <f t="shared" si="6"/>
        <v>0</v>
      </c>
      <c r="K11" s="18">
        <f t="shared" si="7"/>
        <v>0</v>
      </c>
      <c r="L11" s="18">
        <f t="shared" si="8"/>
        <v>0</v>
      </c>
      <c r="M11" s="18">
        <f t="shared" si="9"/>
        <v>0</v>
      </c>
      <c r="N11" s="18">
        <f t="shared" si="10"/>
        <v>81</v>
      </c>
      <c r="O11" s="18">
        <f t="shared" si="11"/>
        <v>1</v>
      </c>
      <c r="P11" s="18">
        <f t="shared" si="12"/>
        <v>0</v>
      </c>
      <c r="Q11" s="18">
        <f t="shared" si="13"/>
        <v>0</v>
      </c>
      <c r="R11" s="18">
        <f t="shared" si="14"/>
        <v>4504071</v>
      </c>
      <c r="S11" s="18">
        <f t="shared" si="15"/>
        <v>500452.33333333331</v>
      </c>
      <c r="T11" s="18">
        <f t="shared" si="16"/>
        <v>0</v>
      </c>
      <c r="U11" s="18">
        <f t="shared" si="17"/>
        <v>0</v>
      </c>
      <c r="V11" s="18">
        <f t="shared" si="0"/>
        <v>515031.28465608461</v>
      </c>
      <c r="W11" s="32">
        <f t="shared" si="18"/>
        <v>250452537938.77777</v>
      </c>
      <c r="X11" s="26">
        <f t="shared" si="19"/>
        <v>212545821.67115173</v>
      </c>
      <c r="Y11" s="27">
        <f>(V11-$C$40)^2</f>
        <v>265257224174.49686</v>
      </c>
      <c r="Z11" s="27">
        <f>(D11-$D$40)^2</f>
        <v>81</v>
      </c>
      <c r="AA11" s="26">
        <f t="shared" si="20"/>
        <v>496286.50365576521</v>
      </c>
      <c r="AB11" s="26">
        <f t="shared" si="21"/>
        <v>533776.06565640401</v>
      </c>
      <c r="AC11" s="26">
        <f t="shared" si="22"/>
        <v>425858.97224939521</v>
      </c>
      <c r="AD11" s="26">
        <f t="shared" si="23"/>
        <v>604203.597062774</v>
      </c>
      <c r="AE11" s="26">
        <f>(E11-$E$40)^2</f>
        <v>0.57268078889700513</v>
      </c>
      <c r="AF11" s="26">
        <f t="shared" si="24"/>
        <v>485971.31890477368</v>
      </c>
      <c r="AG11" s="26">
        <f t="shared" si="25"/>
        <v>544091.25040739554</v>
      </c>
      <c r="AH11" s="26">
        <f t="shared" si="26"/>
        <v>423135.60415545583</v>
      </c>
      <c r="AI11" s="26">
        <f t="shared" si="27"/>
        <v>606926.96515671338</v>
      </c>
      <c r="AJ11" s="26">
        <f>(F11-$F$40)^2</f>
        <v>5.9167275383491605E-2</v>
      </c>
      <c r="AK11" s="26">
        <f t="shared" si="28"/>
        <v>498555.83269479399</v>
      </c>
      <c r="AL11" s="26">
        <f t="shared" si="29"/>
        <v>531506.73661737528</v>
      </c>
      <c r="AM11" s="26">
        <f t="shared" si="30"/>
        <v>426308.2605725071</v>
      </c>
      <c r="AN11" s="26">
        <f t="shared" si="31"/>
        <v>603754.30873966205</v>
      </c>
      <c r="AO11" s="26">
        <f>(G11-$G$40)^2</f>
        <v>5.9167275383491605E-2</v>
      </c>
      <c r="AP11" s="26">
        <f t="shared" si="32"/>
        <v>498555.83269479399</v>
      </c>
      <c r="AQ11" s="26">
        <f t="shared" si="33"/>
        <v>531506.73661737528</v>
      </c>
      <c r="AR11" s="26">
        <f t="shared" si="34"/>
        <v>426308.2605725071</v>
      </c>
      <c r="AS11" s="26">
        <f t="shared" si="35"/>
        <v>603754.30873966205</v>
      </c>
    </row>
    <row r="12" spans="1:45" x14ac:dyDescent="0.3">
      <c r="A12" s="18"/>
      <c r="B12" s="18">
        <v>3</v>
      </c>
      <c r="C12" s="18">
        <v>508863.33333333331</v>
      </c>
      <c r="D12" s="18">
        <v>10</v>
      </c>
      <c r="E12" s="18">
        <f t="shared" si="1"/>
        <v>0</v>
      </c>
      <c r="F12" s="18">
        <f t="shared" si="2"/>
        <v>1</v>
      </c>
      <c r="G12" s="18">
        <f t="shared" si="3"/>
        <v>0</v>
      </c>
      <c r="H12" s="18">
        <f t="shared" si="4"/>
        <v>0</v>
      </c>
      <c r="I12" s="18">
        <f t="shared" si="5"/>
        <v>10</v>
      </c>
      <c r="J12" s="18">
        <f t="shared" si="6"/>
        <v>0</v>
      </c>
      <c r="K12" s="18">
        <f t="shared" si="7"/>
        <v>0</v>
      </c>
      <c r="L12" s="18">
        <f t="shared" si="8"/>
        <v>0</v>
      </c>
      <c r="M12" s="18">
        <f t="shared" si="9"/>
        <v>0</v>
      </c>
      <c r="N12" s="18">
        <f t="shared" si="10"/>
        <v>100</v>
      </c>
      <c r="O12" s="18">
        <f t="shared" si="11"/>
        <v>0</v>
      </c>
      <c r="P12" s="18">
        <f t="shared" si="12"/>
        <v>1</v>
      </c>
      <c r="Q12" s="18">
        <f t="shared" si="13"/>
        <v>0</v>
      </c>
      <c r="R12" s="18">
        <f t="shared" si="14"/>
        <v>5088633.333333333</v>
      </c>
      <c r="S12" s="18">
        <f t="shared" si="15"/>
        <v>0</v>
      </c>
      <c r="T12" s="18">
        <f t="shared" si="16"/>
        <v>508863.33333333331</v>
      </c>
      <c r="U12" s="18">
        <f t="shared" si="17"/>
        <v>0</v>
      </c>
      <c r="V12" s="18">
        <f t="shared" si="0"/>
        <v>530334.32169312192</v>
      </c>
      <c r="W12" s="32">
        <f t="shared" si="18"/>
        <v>258941892011.11108</v>
      </c>
      <c r="X12" s="26">
        <f t="shared" si="19"/>
        <v>461003341.14617789</v>
      </c>
      <c r="Y12" s="27">
        <f>(V12-$C$40)^2</f>
        <v>281254492765.70374</v>
      </c>
      <c r="Z12" s="27">
        <f>(D12-$D$40)^2</f>
        <v>64</v>
      </c>
      <c r="AA12" s="26">
        <f t="shared" si="20"/>
        <v>512425.25035962882</v>
      </c>
      <c r="AB12" s="26">
        <f t="shared" si="21"/>
        <v>548243.39302661503</v>
      </c>
      <c r="AC12" s="26">
        <f t="shared" si="22"/>
        <v>441333.93224883679</v>
      </c>
      <c r="AD12" s="26">
        <f t="shared" si="23"/>
        <v>619334.71113740699</v>
      </c>
      <c r="AE12" s="26">
        <f>(E12-$E$40)^2</f>
        <v>5.9167275383491605E-2</v>
      </c>
      <c r="AF12" s="26">
        <f t="shared" si="24"/>
        <v>513858.86973183131</v>
      </c>
      <c r="AG12" s="26">
        <f t="shared" si="25"/>
        <v>546809.77365441259</v>
      </c>
      <c r="AH12" s="26">
        <f t="shared" si="26"/>
        <v>441611.29760954442</v>
      </c>
      <c r="AI12" s="26">
        <f t="shared" si="27"/>
        <v>619057.34577669937</v>
      </c>
      <c r="AJ12" s="26">
        <f>(F12-$F$40)^2</f>
        <v>0.57268078889700513</v>
      </c>
      <c r="AK12" s="26">
        <f t="shared" si="28"/>
        <v>501274.35594181099</v>
      </c>
      <c r="AL12" s="26">
        <f t="shared" si="29"/>
        <v>559394.28744443285</v>
      </c>
      <c r="AM12" s="26">
        <f t="shared" si="30"/>
        <v>438438.64119249315</v>
      </c>
      <c r="AN12" s="26">
        <f t="shared" si="31"/>
        <v>622230.0021937507</v>
      </c>
      <c r="AO12" s="26">
        <f>(G12-$G$40)^2</f>
        <v>5.9167275383491605E-2</v>
      </c>
      <c r="AP12" s="26">
        <f t="shared" si="32"/>
        <v>513858.86973183131</v>
      </c>
      <c r="AQ12" s="26">
        <f t="shared" si="33"/>
        <v>546809.77365441259</v>
      </c>
      <c r="AR12" s="26">
        <f t="shared" si="34"/>
        <v>441611.29760954442</v>
      </c>
      <c r="AS12" s="26">
        <f t="shared" si="35"/>
        <v>619057.34577669937</v>
      </c>
    </row>
    <row r="13" spans="1:45" x14ac:dyDescent="0.3">
      <c r="A13" s="18"/>
      <c r="B13" s="18">
        <v>4</v>
      </c>
      <c r="C13" s="18">
        <v>436664.33333333331</v>
      </c>
      <c r="D13" s="18">
        <v>11</v>
      </c>
      <c r="E13" s="18">
        <f t="shared" si="1"/>
        <v>0</v>
      </c>
      <c r="F13" s="18">
        <f t="shared" si="2"/>
        <v>0</v>
      </c>
      <c r="G13" s="18">
        <f t="shared" si="3"/>
        <v>1</v>
      </c>
      <c r="H13" s="18">
        <f t="shared" si="4"/>
        <v>0</v>
      </c>
      <c r="I13" s="18">
        <f t="shared" si="5"/>
        <v>0</v>
      </c>
      <c r="J13" s="18">
        <f t="shared" si="6"/>
        <v>11</v>
      </c>
      <c r="K13" s="18">
        <f t="shared" si="7"/>
        <v>0</v>
      </c>
      <c r="L13" s="18">
        <f t="shared" si="8"/>
        <v>0</v>
      </c>
      <c r="M13" s="18">
        <f t="shared" si="9"/>
        <v>0</v>
      </c>
      <c r="N13" s="18">
        <f t="shared" si="10"/>
        <v>121</v>
      </c>
      <c r="O13" s="18">
        <f t="shared" si="11"/>
        <v>0</v>
      </c>
      <c r="P13" s="18">
        <f t="shared" si="12"/>
        <v>0</v>
      </c>
      <c r="Q13" s="18">
        <f t="shared" si="13"/>
        <v>1</v>
      </c>
      <c r="R13" s="18">
        <f t="shared" si="14"/>
        <v>4803307.666666666</v>
      </c>
      <c r="S13" s="18">
        <f t="shared" si="15"/>
        <v>0</v>
      </c>
      <c r="T13" s="18">
        <f t="shared" si="16"/>
        <v>0</v>
      </c>
      <c r="U13" s="18">
        <f t="shared" si="17"/>
        <v>436664.33333333331</v>
      </c>
      <c r="V13" s="18">
        <f t="shared" si="0"/>
        <v>448987.09947089973</v>
      </c>
      <c r="W13" s="32">
        <f t="shared" si="18"/>
        <v>190675740005.44443</v>
      </c>
      <c r="X13" s="26">
        <f t="shared" si="19"/>
        <v>151850565.28115356</v>
      </c>
      <c r="Y13" s="27">
        <f>(V13-$C$40)^2</f>
        <v>201589415491.2916</v>
      </c>
      <c r="Z13" s="27">
        <f>(D13-$D$40)^2</f>
        <v>49</v>
      </c>
      <c r="AA13" s="26">
        <f t="shared" si="20"/>
        <v>431849.22855561622</v>
      </c>
      <c r="AB13" s="26">
        <f t="shared" si="21"/>
        <v>466124.97038618324</v>
      </c>
      <c r="AC13" s="26">
        <f t="shared" si="22"/>
        <v>360138.68302628776</v>
      </c>
      <c r="AD13" s="26">
        <f t="shared" si="23"/>
        <v>537835.51591551164</v>
      </c>
      <c r="AE13" s="26">
        <f>(E13-$E$40)^2</f>
        <v>5.9167275383491605E-2</v>
      </c>
      <c r="AF13" s="26">
        <f t="shared" si="24"/>
        <v>432511.64750960912</v>
      </c>
      <c r="AG13" s="26">
        <f t="shared" si="25"/>
        <v>465462.55143219035</v>
      </c>
      <c r="AH13" s="26">
        <f t="shared" si="26"/>
        <v>360264.07538732223</v>
      </c>
      <c r="AI13" s="26">
        <f t="shared" si="27"/>
        <v>537710.12355447724</v>
      </c>
      <c r="AJ13" s="26">
        <f>(F13-$F$40)^2</f>
        <v>5.9167275383491605E-2</v>
      </c>
      <c r="AK13" s="26">
        <f t="shared" si="28"/>
        <v>432511.64750960912</v>
      </c>
      <c r="AL13" s="26">
        <f t="shared" si="29"/>
        <v>465462.55143219035</v>
      </c>
      <c r="AM13" s="26">
        <f t="shared" si="30"/>
        <v>360264.07538732223</v>
      </c>
      <c r="AN13" s="26">
        <f t="shared" si="31"/>
        <v>537710.12355447724</v>
      </c>
      <c r="AO13" s="26">
        <f>(G13-$G$40)^2</f>
        <v>0.57268078889700513</v>
      </c>
      <c r="AP13" s="26">
        <f t="shared" si="32"/>
        <v>419927.1337195888</v>
      </c>
      <c r="AQ13" s="26">
        <f t="shared" si="33"/>
        <v>478047.06522221066</v>
      </c>
      <c r="AR13" s="26">
        <f t="shared" si="34"/>
        <v>357091.41897027101</v>
      </c>
      <c r="AS13" s="26">
        <f t="shared" si="35"/>
        <v>540882.77997152845</v>
      </c>
    </row>
    <row r="14" spans="1:45" x14ac:dyDescent="0.3">
      <c r="A14" s="18">
        <v>2015</v>
      </c>
      <c r="B14" s="18">
        <v>1</v>
      </c>
      <c r="C14" s="18">
        <v>369670</v>
      </c>
      <c r="D14" s="18">
        <v>12</v>
      </c>
      <c r="E14" s="18">
        <f t="shared" si="1"/>
        <v>0</v>
      </c>
      <c r="F14" s="18">
        <f t="shared" si="2"/>
        <v>0</v>
      </c>
      <c r="G14" s="18">
        <f t="shared" si="3"/>
        <v>0</v>
      </c>
      <c r="H14" s="18">
        <f t="shared" si="4"/>
        <v>0</v>
      </c>
      <c r="I14" s="18">
        <f t="shared" si="5"/>
        <v>0</v>
      </c>
      <c r="J14" s="18">
        <f t="shared" si="6"/>
        <v>0</v>
      </c>
      <c r="K14" s="18">
        <f t="shared" si="7"/>
        <v>0</v>
      </c>
      <c r="L14" s="18">
        <f t="shared" si="8"/>
        <v>0</v>
      </c>
      <c r="M14" s="18">
        <f t="shared" si="9"/>
        <v>0</v>
      </c>
      <c r="N14" s="18">
        <f t="shared" si="10"/>
        <v>144</v>
      </c>
      <c r="O14" s="18">
        <f t="shared" si="11"/>
        <v>0</v>
      </c>
      <c r="P14" s="18">
        <f t="shared" si="12"/>
        <v>0</v>
      </c>
      <c r="Q14" s="18">
        <f t="shared" si="13"/>
        <v>0</v>
      </c>
      <c r="R14" s="18">
        <f t="shared" si="14"/>
        <v>4436040</v>
      </c>
      <c r="S14" s="18">
        <f t="shared" si="15"/>
        <v>0</v>
      </c>
      <c r="T14" s="18">
        <f t="shared" si="16"/>
        <v>0</v>
      </c>
      <c r="U14" s="18">
        <f t="shared" si="17"/>
        <v>0</v>
      </c>
      <c r="V14" s="18">
        <f t="shared" si="0"/>
        <v>371157.41904761898</v>
      </c>
      <c r="W14" s="32">
        <f t="shared" si="18"/>
        <v>136655908900</v>
      </c>
      <c r="X14" s="26">
        <f t="shared" si="19"/>
        <v>2212415.4232197632</v>
      </c>
      <c r="Y14" s="27">
        <f>(V14-$C$40)^2</f>
        <v>137757829714.08984</v>
      </c>
      <c r="Z14" s="27">
        <f>(D14-$D$40)^2</f>
        <v>36</v>
      </c>
      <c r="AA14" s="26">
        <f t="shared" si="20"/>
        <v>354717.15855113481</v>
      </c>
      <c r="AB14" s="26">
        <f t="shared" si="21"/>
        <v>387597.67954410316</v>
      </c>
      <c r="AC14" s="26">
        <f t="shared" si="22"/>
        <v>282440.92311592354</v>
      </c>
      <c r="AD14" s="26">
        <f t="shared" si="23"/>
        <v>459873.91497931443</v>
      </c>
      <c r="AE14" s="26">
        <f>(E14-$E$40)^2</f>
        <v>5.9167275383491605E-2</v>
      </c>
      <c r="AF14" s="26">
        <f t="shared" si="24"/>
        <v>354681.96708632837</v>
      </c>
      <c r="AG14" s="26">
        <f t="shared" si="25"/>
        <v>387632.8710089096</v>
      </c>
      <c r="AH14" s="26">
        <f t="shared" si="26"/>
        <v>282434.39496404148</v>
      </c>
      <c r="AI14" s="26">
        <f t="shared" si="27"/>
        <v>459880.44313119649</v>
      </c>
      <c r="AJ14" s="26">
        <f>(F14-$F$40)^2</f>
        <v>5.9167275383491605E-2</v>
      </c>
      <c r="AK14" s="26">
        <f t="shared" si="28"/>
        <v>354681.96708632837</v>
      </c>
      <c r="AL14" s="26">
        <f t="shared" si="29"/>
        <v>387632.8710089096</v>
      </c>
      <c r="AM14" s="26">
        <f t="shared" si="30"/>
        <v>282434.39496404148</v>
      </c>
      <c r="AN14" s="26">
        <f t="shared" si="31"/>
        <v>459880.44313119649</v>
      </c>
      <c r="AO14" s="26">
        <f>(G14-$G$40)^2</f>
        <v>5.9167275383491605E-2</v>
      </c>
      <c r="AP14" s="26">
        <f t="shared" si="32"/>
        <v>354681.96708632837</v>
      </c>
      <c r="AQ14" s="26">
        <f t="shared" si="33"/>
        <v>387632.8710089096</v>
      </c>
      <c r="AR14" s="26">
        <f t="shared" si="34"/>
        <v>282434.39496404148</v>
      </c>
      <c r="AS14" s="26">
        <f t="shared" si="35"/>
        <v>459880.44313119649</v>
      </c>
    </row>
    <row r="15" spans="1:45" x14ac:dyDescent="0.3">
      <c r="A15" s="18"/>
      <c r="B15" s="18">
        <v>2</v>
      </c>
      <c r="C15" s="18">
        <v>560437.66666666663</v>
      </c>
      <c r="D15" s="18">
        <v>13</v>
      </c>
      <c r="E15" s="18">
        <f t="shared" si="1"/>
        <v>1</v>
      </c>
      <c r="F15" s="18">
        <f t="shared" si="2"/>
        <v>0</v>
      </c>
      <c r="G15" s="18">
        <f t="shared" si="3"/>
        <v>0</v>
      </c>
      <c r="H15" s="18">
        <f t="shared" si="4"/>
        <v>13</v>
      </c>
      <c r="I15" s="18">
        <f t="shared" si="5"/>
        <v>0</v>
      </c>
      <c r="J15" s="18">
        <f t="shared" si="6"/>
        <v>0</v>
      </c>
      <c r="K15" s="18">
        <f t="shared" si="7"/>
        <v>0</v>
      </c>
      <c r="L15" s="18">
        <f t="shared" si="8"/>
        <v>0</v>
      </c>
      <c r="M15" s="18">
        <f t="shared" si="9"/>
        <v>0</v>
      </c>
      <c r="N15" s="18">
        <f t="shared" si="10"/>
        <v>169</v>
      </c>
      <c r="O15" s="18">
        <f t="shared" si="11"/>
        <v>1</v>
      </c>
      <c r="P15" s="18">
        <f t="shared" si="12"/>
        <v>0</v>
      </c>
      <c r="Q15" s="18">
        <f t="shared" si="13"/>
        <v>0</v>
      </c>
      <c r="R15" s="18">
        <f t="shared" si="14"/>
        <v>7285689.666666666</v>
      </c>
      <c r="S15" s="18">
        <f t="shared" si="15"/>
        <v>560437.66666666663</v>
      </c>
      <c r="T15" s="18">
        <f t="shared" si="16"/>
        <v>0</v>
      </c>
      <c r="U15" s="18">
        <f t="shared" si="17"/>
        <v>0</v>
      </c>
      <c r="V15" s="18">
        <f t="shared" si="0"/>
        <v>532616.88306878309</v>
      </c>
      <c r="W15" s="32">
        <f t="shared" si="18"/>
        <v>314090378218.77771</v>
      </c>
      <c r="X15" s="26">
        <f t="shared" si="19"/>
        <v>773996000.0002656</v>
      </c>
      <c r="Y15" s="27">
        <f>(V15-$C$40)^2</f>
        <v>283680744129.90576</v>
      </c>
      <c r="Z15" s="27">
        <f>(D15-$D$40)^2</f>
        <v>25</v>
      </c>
      <c r="AA15" s="26">
        <f t="shared" si="20"/>
        <v>516790.90843597898</v>
      </c>
      <c r="AB15" s="26">
        <f t="shared" si="21"/>
        <v>548442.85770158714</v>
      </c>
      <c r="AC15" s="26">
        <f t="shared" si="22"/>
        <v>444012.16559683112</v>
      </c>
      <c r="AD15" s="26">
        <f t="shared" si="23"/>
        <v>621221.60054073506</v>
      </c>
      <c r="AE15" s="26">
        <f>(E15-$E$40)^2</f>
        <v>0.57268078889700513</v>
      </c>
      <c r="AF15" s="26">
        <f t="shared" si="24"/>
        <v>503556.91731747217</v>
      </c>
      <c r="AG15" s="26">
        <f t="shared" si="25"/>
        <v>561676.84882009402</v>
      </c>
      <c r="AH15" s="26">
        <f t="shared" si="26"/>
        <v>440721.20256815432</v>
      </c>
      <c r="AI15" s="26">
        <f t="shared" si="27"/>
        <v>624512.56356941187</v>
      </c>
      <c r="AJ15" s="26">
        <f>(F15-$F$40)^2</f>
        <v>5.9167275383491605E-2</v>
      </c>
      <c r="AK15" s="26">
        <f t="shared" si="28"/>
        <v>516141.43110749248</v>
      </c>
      <c r="AL15" s="26">
        <f t="shared" si="29"/>
        <v>549092.33503007377</v>
      </c>
      <c r="AM15" s="26">
        <f t="shared" si="30"/>
        <v>443893.85898520559</v>
      </c>
      <c r="AN15" s="26">
        <f t="shared" si="31"/>
        <v>621339.90715236054</v>
      </c>
      <c r="AO15" s="26">
        <f>(G15-$G$40)^2</f>
        <v>5.9167275383491605E-2</v>
      </c>
      <c r="AP15" s="26">
        <f t="shared" si="32"/>
        <v>516141.43110749248</v>
      </c>
      <c r="AQ15" s="26">
        <f t="shared" si="33"/>
        <v>549092.33503007377</v>
      </c>
      <c r="AR15" s="26">
        <f t="shared" si="34"/>
        <v>443893.85898520559</v>
      </c>
      <c r="AS15" s="26">
        <f t="shared" si="35"/>
        <v>621339.90715236054</v>
      </c>
    </row>
    <row r="16" spans="1:45" x14ac:dyDescent="0.3">
      <c r="A16" s="18"/>
      <c r="B16" s="18">
        <v>3</v>
      </c>
      <c r="C16" s="18">
        <v>573397.33333333337</v>
      </c>
      <c r="D16" s="18">
        <v>14</v>
      </c>
      <c r="E16" s="18">
        <f t="shared" si="1"/>
        <v>0</v>
      </c>
      <c r="F16" s="18">
        <f t="shared" si="2"/>
        <v>1</v>
      </c>
      <c r="G16" s="18">
        <f t="shared" si="3"/>
        <v>0</v>
      </c>
      <c r="H16" s="18">
        <f t="shared" si="4"/>
        <v>0</v>
      </c>
      <c r="I16" s="18">
        <f t="shared" si="5"/>
        <v>14</v>
      </c>
      <c r="J16" s="18">
        <f t="shared" si="6"/>
        <v>0</v>
      </c>
      <c r="K16" s="18">
        <f t="shared" si="7"/>
        <v>0</v>
      </c>
      <c r="L16" s="18">
        <f t="shared" si="8"/>
        <v>0</v>
      </c>
      <c r="M16" s="18">
        <f t="shared" si="9"/>
        <v>0</v>
      </c>
      <c r="N16" s="18">
        <f t="shared" si="10"/>
        <v>196</v>
      </c>
      <c r="O16" s="18">
        <f t="shared" si="11"/>
        <v>0</v>
      </c>
      <c r="P16" s="18">
        <f t="shared" si="12"/>
        <v>1</v>
      </c>
      <c r="Q16" s="18">
        <f t="shared" si="13"/>
        <v>0</v>
      </c>
      <c r="R16" s="18">
        <f t="shared" si="14"/>
        <v>8027562.666666667</v>
      </c>
      <c r="S16" s="18">
        <f t="shared" si="15"/>
        <v>0</v>
      </c>
      <c r="T16" s="18">
        <f t="shared" si="16"/>
        <v>573397.33333333337</v>
      </c>
      <c r="U16" s="18">
        <f t="shared" si="17"/>
        <v>0</v>
      </c>
      <c r="V16" s="18">
        <f t="shared" si="0"/>
        <v>547919.92010582029</v>
      </c>
      <c r="W16" s="32">
        <f t="shared" si="18"/>
        <v>328784501873.77783</v>
      </c>
      <c r="X16" s="26">
        <f t="shared" si="19"/>
        <v>649098584.76545858</v>
      </c>
      <c r="Y16" s="27">
        <f>(V16-$C$40)^2</f>
        <v>300216238848.76849</v>
      </c>
      <c r="Z16" s="27">
        <f>(D16-$D$40)^2</f>
        <v>16</v>
      </c>
      <c r="AA16" s="26">
        <f t="shared" si="20"/>
        <v>532614.87050882052</v>
      </c>
      <c r="AB16" s="26">
        <f t="shared" si="21"/>
        <v>563224.96970282006</v>
      </c>
      <c r="AC16" s="26">
        <f t="shared" si="22"/>
        <v>459406.76273149037</v>
      </c>
      <c r="AD16" s="26">
        <f t="shared" si="23"/>
        <v>636433.07748015015</v>
      </c>
      <c r="AE16" s="26">
        <f>(E16-$E$40)^2</f>
        <v>5.9167275383491605E-2</v>
      </c>
      <c r="AF16" s="26">
        <f t="shared" si="24"/>
        <v>531444.46814452962</v>
      </c>
      <c r="AG16" s="26">
        <f t="shared" si="25"/>
        <v>564395.37206711096</v>
      </c>
      <c r="AH16" s="26">
        <f t="shared" si="26"/>
        <v>459196.89602224278</v>
      </c>
      <c r="AI16" s="26">
        <f t="shared" si="27"/>
        <v>636642.94418939773</v>
      </c>
      <c r="AJ16" s="26">
        <f>(F16-$F$40)^2</f>
        <v>0.57268078889700513</v>
      </c>
      <c r="AK16" s="26">
        <f t="shared" si="28"/>
        <v>518859.95435450936</v>
      </c>
      <c r="AL16" s="26">
        <f t="shared" si="29"/>
        <v>576979.88585713122</v>
      </c>
      <c r="AM16" s="26">
        <f t="shared" si="30"/>
        <v>456024.23960519151</v>
      </c>
      <c r="AN16" s="26">
        <f t="shared" si="31"/>
        <v>639815.60060644906</v>
      </c>
      <c r="AO16" s="26">
        <f>(G16-$G$40)^2</f>
        <v>5.9167275383491605E-2</v>
      </c>
      <c r="AP16" s="26">
        <f t="shared" si="32"/>
        <v>531444.46814452962</v>
      </c>
      <c r="AQ16" s="26">
        <f t="shared" si="33"/>
        <v>564395.37206711096</v>
      </c>
      <c r="AR16" s="26">
        <f t="shared" si="34"/>
        <v>459196.89602224278</v>
      </c>
      <c r="AS16" s="26">
        <f t="shared" si="35"/>
        <v>636642.94418939773</v>
      </c>
    </row>
    <row r="17" spans="1:45" x14ac:dyDescent="0.3">
      <c r="A17" s="18"/>
      <c r="B17" s="18">
        <v>4</v>
      </c>
      <c r="C17" s="18">
        <v>461585</v>
      </c>
      <c r="D17" s="18">
        <v>15</v>
      </c>
      <c r="E17" s="18">
        <f t="shared" si="1"/>
        <v>0</v>
      </c>
      <c r="F17" s="18">
        <f t="shared" si="2"/>
        <v>0</v>
      </c>
      <c r="G17" s="18">
        <f t="shared" si="3"/>
        <v>1</v>
      </c>
      <c r="H17" s="18">
        <f t="shared" si="4"/>
        <v>0</v>
      </c>
      <c r="I17" s="18">
        <f t="shared" si="5"/>
        <v>0</v>
      </c>
      <c r="J17" s="18">
        <f t="shared" si="6"/>
        <v>15</v>
      </c>
      <c r="K17" s="18">
        <f t="shared" si="7"/>
        <v>0</v>
      </c>
      <c r="L17" s="18">
        <f t="shared" si="8"/>
        <v>0</v>
      </c>
      <c r="M17" s="18">
        <f t="shared" si="9"/>
        <v>0</v>
      </c>
      <c r="N17" s="18">
        <f t="shared" si="10"/>
        <v>225</v>
      </c>
      <c r="O17" s="18">
        <f t="shared" si="11"/>
        <v>0</v>
      </c>
      <c r="P17" s="18">
        <f t="shared" si="12"/>
        <v>0</v>
      </c>
      <c r="Q17" s="18">
        <f t="shared" si="13"/>
        <v>1</v>
      </c>
      <c r="R17" s="18">
        <f t="shared" si="14"/>
        <v>6923775</v>
      </c>
      <c r="S17" s="18">
        <f t="shared" si="15"/>
        <v>0</v>
      </c>
      <c r="T17" s="18">
        <f t="shared" si="16"/>
        <v>0</v>
      </c>
      <c r="U17" s="18">
        <f t="shared" si="17"/>
        <v>461585</v>
      </c>
      <c r="V17" s="18">
        <f t="shared" si="0"/>
        <v>466572.69788359816</v>
      </c>
      <c r="W17" s="32">
        <f t="shared" si="18"/>
        <v>213060712225</v>
      </c>
      <c r="X17" s="26">
        <f t="shared" si="19"/>
        <v>24877130.178049538</v>
      </c>
      <c r="Y17" s="27">
        <f>(V17-$C$40)^2</f>
        <v>217690082410.37936</v>
      </c>
      <c r="Z17" s="27">
        <f>(D17-$D$40)^2</f>
        <v>9</v>
      </c>
      <c r="AA17" s="26">
        <f t="shared" si="20"/>
        <v>451685.40882690111</v>
      </c>
      <c r="AB17" s="26">
        <f t="shared" si="21"/>
        <v>481459.9869402952</v>
      </c>
      <c r="AC17" s="26">
        <f t="shared" si="22"/>
        <v>378130.81945112743</v>
      </c>
      <c r="AD17" s="26">
        <f t="shared" si="23"/>
        <v>555014.57631606888</v>
      </c>
      <c r="AE17" s="26">
        <f>(E17-$E$40)^2</f>
        <v>5.9167275383491605E-2</v>
      </c>
      <c r="AF17" s="26">
        <f t="shared" si="24"/>
        <v>450097.24592230754</v>
      </c>
      <c r="AG17" s="26">
        <f t="shared" si="25"/>
        <v>483048.14984488877</v>
      </c>
      <c r="AH17" s="26">
        <f t="shared" si="26"/>
        <v>377849.67380002065</v>
      </c>
      <c r="AI17" s="26">
        <f t="shared" si="27"/>
        <v>555295.7219671756</v>
      </c>
      <c r="AJ17" s="26">
        <f>(F17-$F$40)^2</f>
        <v>5.9167275383491605E-2</v>
      </c>
      <c r="AK17" s="26">
        <f t="shared" si="28"/>
        <v>450097.24592230754</v>
      </c>
      <c r="AL17" s="26">
        <f t="shared" si="29"/>
        <v>483048.14984488877</v>
      </c>
      <c r="AM17" s="26">
        <f t="shared" si="30"/>
        <v>377849.67380002065</v>
      </c>
      <c r="AN17" s="26">
        <f t="shared" si="31"/>
        <v>555295.7219671756</v>
      </c>
      <c r="AO17" s="26">
        <f>(G17-$G$40)^2</f>
        <v>0.57268078889700513</v>
      </c>
      <c r="AP17" s="26">
        <f t="shared" si="32"/>
        <v>437512.73213228723</v>
      </c>
      <c r="AQ17" s="26">
        <f t="shared" si="33"/>
        <v>495632.66363490908</v>
      </c>
      <c r="AR17" s="26">
        <f t="shared" si="34"/>
        <v>374677.01738296938</v>
      </c>
      <c r="AS17" s="26">
        <f t="shared" si="35"/>
        <v>558468.37838422693</v>
      </c>
    </row>
    <row r="18" spans="1:45" x14ac:dyDescent="0.3">
      <c r="A18" s="18">
        <v>2016</v>
      </c>
      <c r="B18" s="18">
        <v>1</v>
      </c>
      <c r="C18" s="18">
        <v>399453.66666666669</v>
      </c>
      <c r="D18" s="18">
        <v>16</v>
      </c>
      <c r="E18" s="18">
        <f t="shared" si="1"/>
        <v>0</v>
      </c>
      <c r="F18" s="18">
        <f t="shared" si="2"/>
        <v>0</v>
      </c>
      <c r="G18" s="18">
        <f t="shared" si="3"/>
        <v>0</v>
      </c>
      <c r="H18" s="18">
        <f t="shared" si="4"/>
        <v>0</v>
      </c>
      <c r="I18" s="18">
        <f t="shared" si="5"/>
        <v>0</v>
      </c>
      <c r="J18" s="18">
        <f t="shared" si="6"/>
        <v>0</v>
      </c>
      <c r="K18" s="18">
        <f t="shared" si="7"/>
        <v>0</v>
      </c>
      <c r="L18" s="18">
        <f t="shared" si="8"/>
        <v>0</v>
      </c>
      <c r="M18" s="18">
        <f t="shared" si="9"/>
        <v>0</v>
      </c>
      <c r="N18" s="18">
        <f t="shared" si="10"/>
        <v>256</v>
      </c>
      <c r="O18" s="18">
        <f t="shared" si="11"/>
        <v>0</v>
      </c>
      <c r="P18" s="18">
        <f t="shared" si="12"/>
        <v>0</v>
      </c>
      <c r="Q18" s="18">
        <f t="shared" si="13"/>
        <v>0</v>
      </c>
      <c r="R18" s="18">
        <f t="shared" si="14"/>
        <v>6391258.666666667</v>
      </c>
      <c r="S18" s="18">
        <f t="shared" si="15"/>
        <v>0</v>
      </c>
      <c r="T18" s="18">
        <f t="shared" si="16"/>
        <v>0</v>
      </c>
      <c r="U18" s="18">
        <f t="shared" si="17"/>
        <v>0</v>
      </c>
      <c r="V18" s="18">
        <f t="shared" si="0"/>
        <v>388743.01746031747</v>
      </c>
      <c r="W18" s="32">
        <f t="shared" si="18"/>
        <v>159563231813.44446</v>
      </c>
      <c r="X18" s="26">
        <f t="shared" si="19"/>
        <v>114718006.42146915</v>
      </c>
      <c r="Y18" s="27">
        <f>(V18-$C$40)^2</f>
        <v>151121133624.15268</v>
      </c>
      <c r="Z18" s="27">
        <f>(D18-$D$40)^2</f>
        <v>4</v>
      </c>
      <c r="AA18" s="26">
        <f t="shared" si="20"/>
        <v>374161.45478853083</v>
      </c>
      <c r="AB18" s="26">
        <f t="shared" si="21"/>
        <v>403324.58013210411</v>
      </c>
      <c r="AC18" s="26">
        <f t="shared" si="22"/>
        <v>300352.08774941607</v>
      </c>
      <c r="AD18" s="26">
        <f t="shared" si="23"/>
        <v>477133.94717121887</v>
      </c>
      <c r="AE18" s="26">
        <f>(E18-$E$40)^2</f>
        <v>5.9167275383491605E-2</v>
      </c>
      <c r="AF18" s="26">
        <f t="shared" si="24"/>
        <v>372267.56549902685</v>
      </c>
      <c r="AG18" s="26">
        <f t="shared" si="25"/>
        <v>405218.46942160808</v>
      </c>
      <c r="AH18" s="26">
        <f t="shared" si="26"/>
        <v>300019.99337673996</v>
      </c>
      <c r="AI18" s="26">
        <f t="shared" si="27"/>
        <v>477466.04154389497</v>
      </c>
      <c r="AJ18" s="26">
        <f>(F18-$F$40)^2</f>
        <v>5.9167275383491605E-2</v>
      </c>
      <c r="AK18" s="26">
        <f t="shared" si="28"/>
        <v>372267.56549902685</v>
      </c>
      <c r="AL18" s="26">
        <f t="shared" si="29"/>
        <v>405218.46942160808</v>
      </c>
      <c r="AM18" s="26">
        <f t="shared" si="30"/>
        <v>300019.99337673996</v>
      </c>
      <c r="AN18" s="26">
        <f t="shared" si="31"/>
        <v>477466.04154389497</v>
      </c>
      <c r="AO18" s="26">
        <f>(G18-$G$40)^2</f>
        <v>5.9167275383491605E-2</v>
      </c>
      <c r="AP18" s="26">
        <f t="shared" si="32"/>
        <v>372267.56549902685</v>
      </c>
      <c r="AQ18" s="26">
        <f t="shared" si="33"/>
        <v>405218.46942160808</v>
      </c>
      <c r="AR18" s="26">
        <f t="shared" si="34"/>
        <v>300019.99337673996</v>
      </c>
      <c r="AS18" s="26">
        <f t="shared" si="35"/>
        <v>477466.04154389497</v>
      </c>
    </row>
    <row r="19" spans="1:45" x14ac:dyDescent="0.3">
      <c r="A19" s="18"/>
      <c r="B19" s="18">
        <v>2</v>
      </c>
      <c r="C19" s="18">
        <v>595156</v>
      </c>
      <c r="D19" s="18">
        <v>17</v>
      </c>
      <c r="E19" s="18">
        <f t="shared" si="1"/>
        <v>1</v>
      </c>
      <c r="F19" s="18">
        <f t="shared" si="2"/>
        <v>0</v>
      </c>
      <c r="G19" s="18">
        <f t="shared" si="3"/>
        <v>0</v>
      </c>
      <c r="H19" s="18">
        <f t="shared" si="4"/>
        <v>17</v>
      </c>
      <c r="I19" s="18">
        <f t="shared" si="5"/>
        <v>0</v>
      </c>
      <c r="J19" s="18">
        <f t="shared" si="6"/>
        <v>0</v>
      </c>
      <c r="K19" s="18">
        <f t="shared" si="7"/>
        <v>0</v>
      </c>
      <c r="L19" s="18">
        <f t="shared" si="8"/>
        <v>0</v>
      </c>
      <c r="M19" s="18">
        <f t="shared" si="9"/>
        <v>0</v>
      </c>
      <c r="N19" s="18">
        <f t="shared" si="10"/>
        <v>289</v>
      </c>
      <c r="O19" s="18">
        <f t="shared" si="11"/>
        <v>1</v>
      </c>
      <c r="P19" s="18">
        <f t="shared" si="12"/>
        <v>0</v>
      </c>
      <c r="Q19" s="18">
        <f t="shared" si="13"/>
        <v>0</v>
      </c>
      <c r="R19" s="18">
        <f t="shared" si="14"/>
        <v>10117652</v>
      </c>
      <c r="S19" s="18">
        <f t="shared" si="15"/>
        <v>595156</v>
      </c>
      <c r="T19" s="18">
        <f t="shared" si="16"/>
        <v>0</v>
      </c>
      <c r="U19" s="18">
        <f t="shared" si="17"/>
        <v>0</v>
      </c>
      <c r="V19" s="18">
        <f t="shared" si="0"/>
        <v>550202.48148148158</v>
      </c>
      <c r="W19" s="32">
        <f t="shared" si="18"/>
        <v>354210664336</v>
      </c>
      <c r="X19" s="26">
        <f t="shared" si="19"/>
        <v>2020818827.1947789</v>
      </c>
      <c r="Y19" s="27">
        <f>(V19-$C$40)^2</f>
        <v>302722770628.38007</v>
      </c>
      <c r="Z19" s="27">
        <f>(D19-$D$40)^2</f>
        <v>1</v>
      </c>
      <c r="AA19" s="26">
        <f t="shared" si="20"/>
        <v>535807.47100397944</v>
      </c>
      <c r="AB19" s="26">
        <f t="shared" si="21"/>
        <v>564597.49195898371</v>
      </c>
      <c r="AC19" s="26">
        <f t="shared" si="22"/>
        <v>461842.13510453672</v>
      </c>
      <c r="AD19" s="26">
        <f t="shared" si="23"/>
        <v>638562.82785842638</v>
      </c>
      <c r="AE19" s="26">
        <f>(E19-$E$40)^2</f>
        <v>0.57268078889700513</v>
      </c>
      <c r="AF19" s="26">
        <f t="shared" si="24"/>
        <v>521142.51573017065</v>
      </c>
      <c r="AG19" s="26">
        <f t="shared" si="25"/>
        <v>579262.4472327925</v>
      </c>
      <c r="AH19" s="26">
        <f t="shared" si="26"/>
        <v>458306.8009808528</v>
      </c>
      <c r="AI19" s="26">
        <f t="shared" si="27"/>
        <v>642098.16198211035</v>
      </c>
      <c r="AJ19" s="26">
        <f>(F19-$F$40)^2</f>
        <v>5.9167275383491605E-2</v>
      </c>
      <c r="AK19" s="26">
        <f t="shared" si="28"/>
        <v>533727.0295201909</v>
      </c>
      <c r="AL19" s="26">
        <f t="shared" si="29"/>
        <v>566677.93344277225</v>
      </c>
      <c r="AM19" s="26">
        <f t="shared" si="30"/>
        <v>461479.45739790407</v>
      </c>
      <c r="AN19" s="26">
        <f t="shared" si="31"/>
        <v>638925.50556505902</v>
      </c>
      <c r="AO19" s="26">
        <f>(G19-$G$40)^2</f>
        <v>5.9167275383491605E-2</v>
      </c>
      <c r="AP19" s="26">
        <f t="shared" si="32"/>
        <v>533727.0295201909</v>
      </c>
      <c r="AQ19" s="26">
        <f t="shared" si="33"/>
        <v>566677.93344277225</v>
      </c>
      <c r="AR19" s="26">
        <f t="shared" si="34"/>
        <v>461479.45739790407</v>
      </c>
      <c r="AS19" s="26">
        <f t="shared" si="35"/>
        <v>638925.50556505902</v>
      </c>
    </row>
    <row r="20" spans="1:45" x14ac:dyDescent="0.3">
      <c r="A20" s="18"/>
      <c r="B20" s="18">
        <v>3</v>
      </c>
      <c r="C20" s="18">
        <v>585853.33333333337</v>
      </c>
      <c r="D20" s="18">
        <v>18</v>
      </c>
      <c r="E20" s="18">
        <f t="shared" si="1"/>
        <v>0</v>
      </c>
      <c r="F20" s="18">
        <f t="shared" si="2"/>
        <v>1</v>
      </c>
      <c r="G20" s="18">
        <f t="shared" si="3"/>
        <v>0</v>
      </c>
      <c r="H20" s="18">
        <f t="shared" si="4"/>
        <v>0</v>
      </c>
      <c r="I20" s="18">
        <f t="shared" si="5"/>
        <v>18</v>
      </c>
      <c r="J20" s="18">
        <f t="shared" si="6"/>
        <v>0</v>
      </c>
      <c r="K20" s="18">
        <f t="shared" si="7"/>
        <v>0</v>
      </c>
      <c r="L20" s="18">
        <f t="shared" si="8"/>
        <v>0</v>
      </c>
      <c r="M20" s="18">
        <f t="shared" si="9"/>
        <v>0</v>
      </c>
      <c r="N20" s="18">
        <f t="shared" si="10"/>
        <v>324</v>
      </c>
      <c r="O20" s="18">
        <f t="shared" si="11"/>
        <v>0</v>
      </c>
      <c r="P20" s="18">
        <f t="shared" si="12"/>
        <v>1</v>
      </c>
      <c r="Q20" s="18">
        <f t="shared" si="13"/>
        <v>0</v>
      </c>
      <c r="R20" s="18">
        <f t="shared" si="14"/>
        <v>10545360</v>
      </c>
      <c r="S20" s="18">
        <f t="shared" si="15"/>
        <v>0</v>
      </c>
      <c r="T20" s="18">
        <f t="shared" si="16"/>
        <v>585853.33333333337</v>
      </c>
      <c r="U20" s="18">
        <f t="shared" si="17"/>
        <v>0</v>
      </c>
      <c r="V20" s="18">
        <f t="shared" si="0"/>
        <v>565505.51851851877</v>
      </c>
      <c r="W20" s="32">
        <f t="shared" si="18"/>
        <v>343224128177.77783</v>
      </c>
      <c r="X20" s="26">
        <f t="shared" si="19"/>
        <v>414033567.73798847</v>
      </c>
      <c r="Y20" s="27">
        <f>(V20-$C$40)^2</f>
        <v>319796491474.8988</v>
      </c>
      <c r="Z20" s="27">
        <f>(D20-$D$40)^2</f>
        <v>0</v>
      </c>
      <c r="AA20" s="26">
        <f t="shared" si="20"/>
        <v>551173.23169658717</v>
      </c>
      <c r="AB20" s="26">
        <f t="shared" si="21"/>
        <v>579837.80534045037</v>
      </c>
      <c r="AC20" s="26">
        <f t="shared" si="22"/>
        <v>477155.36893883563</v>
      </c>
      <c r="AD20" s="26">
        <f t="shared" si="23"/>
        <v>653855.66809820198</v>
      </c>
      <c r="AE20" s="26">
        <f>(E20-$E$40)^2</f>
        <v>5.9167275383491605E-2</v>
      </c>
      <c r="AF20" s="26">
        <f t="shared" si="24"/>
        <v>549030.0665572281</v>
      </c>
      <c r="AG20" s="26">
        <f t="shared" si="25"/>
        <v>581980.97047980945</v>
      </c>
      <c r="AH20" s="26">
        <f t="shared" si="26"/>
        <v>476782.49443494127</v>
      </c>
      <c r="AI20" s="26">
        <f t="shared" si="27"/>
        <v>654228.54260209622</v>
      </c>
      <c r="AJ20" s="26">
        <f>(F20-$F$40)^2</f>
        <v>0.57268078889700513</v>
      </c>
      <c r="AK20" s="26">
        <f t="shared" si="28"/>
        <v>536445.55276720785</v>
      </c>
      <c r="AL20" s="26">
        <f t="shared" si="29"/>
        <v>594565.4842698297</v>
      </c>
      <c r="AM20" s="26">
        <f t="shared" si="30"/>
        <v>473609.83801789</v>
      </c>
      <c r="AN20" s="26">
        <f t="shared" si="31"/>
        <v>657401.19901914755</v>
      </c>
      <c r="AO20" s="26">
        <f>(G20-$G$40)^2</f>
        <v>5.9167275383491605E-2</v>
      </c>
      <c r="AP20" s="26">
        <f t="shared" si="32"/>
        <v>549030.0665572281</v>
      </c>
      <c r="AQ20" s="26">
        <f t="shared" si="33"/>
        <v>581980.97047980945</v>
      </c>
      <c r="AR20" s="26">
        <f t="shared" si="34"/>
        <v>476782.49443494127</v>
      </c>
      <c r="AS20" s="26">
        <f t="shared" si="35"/>
        <v>654228.54260209622</v>
      </c>
    </row>
    <row r="21" spans="1:45" x14ac:dyDescent="0.3">
      <c r="A21" s="18"/>
      <c r="B21" s="18">
        <v>4</v>
      </c>
      <c r="C21" s="18">
        <v>493932.66666666669</v>
      </c>
      <c r="D21" s="18">
        <v>19</v>
      </c>
      <c r="E21" s="18">
        <f t="shared" si="1"/>
        <v>0</v>
      </c>
      <c r="F21" s="18">
        <f t="shared" si="2"/>
        <v>0</v>
      </c>
      <c r="G21" s="18">
        <f t="shared" si="3"/>
        <v>1</v>
      </c>
      <c r="H21" s="18">
        <f t="shared" si="4"/>
        <v>0</v>
      </c>
      <c r="I21" s="18">
        <f t="shared" si="5"/>
        <v>0</v>
      </c>
      <c r="J21" s="18">
        <f t="shared" si="6"/>
        <v>19</v>
      </c>
      <c r="K21" s="18">
        <f t="shared" si="7"/>
        <v>0</v>
      </c>
      <c r="L21" s="18">
        <f t="shared" si="8"/>
        <v>0</v>
      </c>
      <c r="M21" s="18">
        <f t="shared" si="9"/>
        <v>0</v>
      </c>
      <c r="N21" s="18">
        <f t="shared" si="10"/>
        <v>361</v>
      </c>
      <c r="O21" s="18">
        <f t="shared" si="11"/>
        <v>0</v>
      </c>
      <c r="P21" s="18">
        <f t="shared" si="12"/>
        <v>0</v>
      </c>
      <c r="Q21" s="18">
        <f t="shared" si="13"/>
        <v>1</v>
      </c>
      <c r="R21" s="18">
        <f t="shared" si="14"/>
        <v>9384720.6666666679</v>
      </c>
      <c r="S21" s="18">
        <f t="shared" si="15"/>
        <v>0</v>
      </c>
      <c r="T21" s="18">
        <f t="shared" si="16"/>
        <v>0</v>
      </c>
      <c r="U21" s="18">
        <f t="shared" si="17"/>
        <v>493932.66666666669</v>
      </c>
      <c r="V21" s="18">
        <f t="shared" si="0"/>
        <v>484158.29629629664</v>
      </c>
      <c r="W21" s="32">
        <f t="shared" si="18"/>
        <v>243969479200.44446</v>
      </c>
      <c r="X21" s="26">
        <f t="shared" si="19"/>
        <v>95538316.137167841</v>
      </c>
      <c r="Y21" s="27">
        <f>(V21-$C$40)^2</f>
        <v>234409255872.53256</v>
      </c>
      <c r="Z21" s="27">
        <f>(D21-$D$40)^2</f>
        <v>1</v>
      </c>
      <c r="AA21" s="26">
        <f t="shared" si="20"/>
        <v>469763.28581879445</v>
      </c>
      <c r="AB21" s="26">
        <f t="shared" si="21"/>
        <v>498553.30677379883</v>
      </c>
      <c r="AC21" s="26">
        <f t="shared" si="22"/>
        <v>395797.94991935178</v>
      </c>
      <c r="AD21" s="26">
        <f t="shared" si="23"/>
        <v>572518.64267324144</v>
      </c>
      <c r="AE21" s="26">
        <f>(E21-$E$40)^2</f>
        <v>5.9167275383491605E-2</v>
      </c>
      <c r="AF21" s="26">
        <f t="shared" si="24"/>
        <v>467682.84433500603</v>
      </c>
      <c r="AG21" s="26">
        <f t="shared" si="25"/>
        <v>500633.74825758726</v>
      </c>
      <c r="AH21" s="26">
        <f t="shared" si="26"/>
        <v>395435.27221271914</v>
      </c>
      <c r="AI21" s="26">
        <f t="shared" si="27"/>
        <v>572881.32037987409</v>
      </c>
      <c r="AJ21" s="26">
        <f>(F21-$F$40)^2</f>
        <v>5.9167275383491605E-2</v>
      </c>
      <c r="AK21" s="26">
        <f t="shared" si="28"/>
        <v>467682.84433500603</v>
      </c>
      <c r="AL21" s="26">
        <f t="shared" si="29"/>
        <v>500633.74825758726</v>
      </c>
      <c r="AM21" s="26">
        <f t="shared" si="30"/>
        <v>395435.27221271914</v>
      </c>
      <c r="AN21" s="26">
        <f t="shared" si="31"/>
        <v>572881.32037987409</v>
      </c>
      <c r="AO21" s="26">
        <f>(G21-$G$40)^2</f>
        <v>0.57268078889700513</v>
      </c>
      <c r="AP21" s="26">
        <f t="shared" si="32"/>
        <v>455098.33054498571</v>
      </c>
      <c r="AQ21" s="26">
        <f t="shared" si="33"/>
        <v>513218.26204760757</v>
      </c>
      <c r="AR21" s="26">
        <f t="shared" si="34"/>
        <v>392262.61579566787</v>
      </c>
      <c r="AS21" s="26">
        <f t="shared" si="35"/>
        <v>576053.97679692542</v>
      </c>
    </row>
    <row r="22" spans="1:45" x14ac:dyDescent="0.3">
      <c r="A22" s="18">
        <v>2017</v>
      </c>
      <c r="B22" s="18">
        <v>1</v>
      </c>
      <c r="C22" s="18">
        <v>422856.33333333331</v>
      </c>
      <c r="D22" s="18">
        <v>20</v>
      </c>
      <c r="E22" s="18">
        <f t="shared" si="1"/>
        <v>0</v>
      </c>
      <c r="F22" s="18">
        <f t="shared" si="2"/>
        <v>0</v>
      </c>
      <c r="G22" s="18">
        <f t="shared" si="3"/>
        <v>0</v>
      </c>
      <c r="H22" s="18">
        <f t="shared" si="4"/>
        <v>0</v>
      </c>
      <c r="I22" s="18">
        <f t="shared" si="5"/>
        <v>0</v>
      </c>
      <c r="J22" s="18">
        <f t="shared" si="6"/>
        <v>0</v>
      </c>
      <c r="K22" s="18">
        <f t="shared" si="7"/>
        <v>0</v>
      </c>
      <c r="L22" s="18">
        <f t="shared" si="8"/>
        <v>0</v>
      </c>
      <c r="M22" s="18">
        <f t="shared" si="9"/>
        <v>0</v>
      </c>
      <c r="N22" s="18">
        <f t="shared" si="10"/>
        <v>400</v>
      </c>
      <c r="O22" s="18">
        <f t="shared" si="11"/>
        <v>0</v>
      </c>
      <c r="P22" s="18">
        <f t="shared" si="12"/>
        <v>0</v>
      </c>
      <c r="Q22" s="18">
        <f t="shared" si="13"/>
        <v>0</v>
      </c>
      <c r="R22" s="18">
        <f t="shared" si="14"/>
        <v>8457126.666666666</v>
      </c>
      <c r="S22" s="18">
        <f t="shared" si="15"/>
        <v>0</v>
      </c>
      <c r="T22" s="18">
        <f t="shared" si="16"/>
        <v>0</v>
      </c>
      <c r="U22" s="18">
        <f t="shared" si="17"/>
        <v>0</v>
      </c>
      <c r="V22" s="18">
        <f t="shared" si="0"/>
        <v>406328.61587301595</v>
      </c>
      <c r="W22" s="32">
        <f t="shared" si="18"/>
        <v>178807478640.11108</v>
      </c>
      <c r="X22" s="26">
        <f t="shared" si="19"/>
        <v>273165444.44807941</v>
      </c>
      <c r="Y22" s="27">
        <f>(V22-$C$40)^2</f>
        <v>165102944077.28094</v>
      </c>
      <c r="Z22" s="27">
        <f>(D22-$D$40)^2</f>
        <v>4</v>
      </c>
      <c r="AA22" s="26">
        <f t="shared" si="20"/>
        <v>391747.05320122931</v>
      </c>
      <c r="AB22" s="26">
        <f t="shared" si="21"/>
        <v>420910.17854480259</v>
      </c>
      <c r="AC22" s="26">
        <f t="shared" si="22"/>
        <v>317937.68616211455</v>
      </c>
      <c r="AD22" s="26">
        <f t="shared" si="23"/>
        <v>494719.54558391735</v>
      </c>
      <c r="AE22" s="26">
        <f>(E22-$E$40)^2</f>
        <v>5.9167275383491605E-2</v>
      </c>
      <c r="AF22" s="26">
        <f t="shared" si="24"/>
        <v>389853.16391172534</v>
      </c>
      <c r="AG22" s="26">
        <f t="shared" si="25"/>
        <v>422804.06783430657</v>
      </c>
      <c r="AH22" s="26">
        <f t="shared" si="26"/>
        <v>317605.59178943845</v>
      </c>
      <c r="AI22" s="26">
        <f t="shared" si="27"/>
        <v>495051.63995659346</v>
      </c>
      <c r="AJ22" s="26">
        <f>(F22-$F$40)^2</f>
        <v>5.9167275383491605E-2</v>
      </c>
      <c r="AK22" s="26">
        <f t="shared" si="28"/>
        <v>389853.16391172534</v>
      </c>
      <c r="AL22" s="26">
        <f t="shared" si="29"/>
        <v>422804.06783430657</v>
      </c>
      <c r="AM22" s="26">
        <f t="shared" si="30"/>
        <v>317605.59178943845</v>
      </c>
      <c r="AN22" s="26">
        <f t="shared" si="31"/>
        <v>495051.63995659346</v>
      </c>
      <c r="AO22" s="26">
        <f>(G22-$G$40)^2</f>
        <v>5.9167275383491605E-2</v>
      </c>
      <c r="AP22" s="26">
        <f t="shared" si="32"/>
        <v>389853.16391172534</v>
      </c>
      <c r="AQ22" s="26">
        <f t="shared" si="33"/>
        <v>422804.06783430657</v>
      </c>
      <c r="AR22" s="26">
        <f t="shared" si="34"/>
        <v>317605.59178943845</v>
      </c>
      <c r="AS22" s="26">
        <f t="shared" si="35"/>
        <v>495051.63995659346</v>
      </c>
    </row>
    <row r="23" spans="1:45" x14ac:dyDescent="0.3">
      <c r="A23" s="18"/>
      <c r="B23" s="18">
        <v>2</v>
      </c>
      <c r="C23" s="18">
        <v>615730.33333333337</v>
      </c>
      <c r="D23" s="18">
        <v>21</v>
      </c>
      <c r="E23" s="18">
        <f t="shared" si="1"/>
        <v>1</v>
      </c>
      <c r="F23" s="18">
        <f t="shared" si="2"/>
        <v>0</v>
      </c>
      <c r="G23" s="18">
        <f t="shared" si="3"/>
        <v>0</v>
      </c>
      <c r="H23" s="18">
        <f t="shared" si="4"/>
        <v>21</v>
      </c>
      <c r="I23" s="18">
        <f t="shared" si="5"/>
        <v>0</v>
      </c>
      <c r="J23" s="18">
        <f t="shared" si="6"/>
        <v>0</v>
      </c>
      <c r="K23" s="18">
        <f t="shared" si="7"/>
        <v>0</v>
      </c>
      <c r="L23" s="18">
        <f t="shared" si="8"/>
        <v>0</v>
      </c>
      <c r="M23" s="18">
        <f t="shared" si="9"/>
        <v>0</v>
      </c>
      <c r="N23" s="18">
        <f t="shared" si="10"/>
        <v>441</v>
      </c>
      <c r="O23" s="18">
        <f t="shared" si="11"/>
        <v>1</v>
      </c>
      <c r="P23" s="18">
        <f t="shared" si="12"/>
        <v>0</v>
      </c>
      <c r="Q23" s="18">
        <f t="shared" si="13"/>
        <v>0</v>
      </c>
      <c r="R23" s="18">
        <f t="shared" si="14"/>
        <v>12930337</v>
      </c>
      <c r="S23" s="18">
        <f t="shared" si="15"/>
        <v>615730.33333333337</v>
      </c>
      <c r="T23" s="18">
        <f t="shared" si="16"/>
        <v>0</v>
      </c>
      <c r="U23" s="18">
        <f t="shared" si="17"/>
        <v>0</v>
      </c>
      <c r="V23" s="18">
        <f t="shared" si="0"/>
        <v>567788.07989417994</v>
      </c>
      <c r="W23" s="32">
        <f t="shared" si="18"/>
        <v>379123843386.77783</v>
      </c>
      <c r="X23" s="26">
        <f t="shared" si="19"/>
        <v>2298459664.8240185</v>
      </c>
      <c r="Y23" s="27">
        <f>(V23-$C$40)^2</f>
        <v>322383303669.91968</v>
      </c>
      <c r="Z23" s="27">
        <f>(D23-$D$40)^2</f>
        <v>9</v>
      </c>
      <c r="AA23" s="26">
        <f t="shared" si="20"/>
        <v>552900.7908374829</v>
      </c>
      <c r="AB23" s="26">
        <f t="shared" si="21"/>
        <v>582675.36895087699</v>
      </c>
      <c r="AC23" s="26">
        <f t="shared" si="22"/>
        <v>479346.20146170922</v>
      </c>
      <c r="AD23" s="26">
        <f t="shared" si="23"/>
        <v>656229.95832665067</v>
      </c>
      <c r="AE23" s="26">
        <f>(E23-$E$40)^2</f>
        <v>0.57268078889700513</v>
      </c>
      <c r="AF23" s="26">
        <f t="shared" si="24"/>
        <v>538728.11414286902</v>
      </c>
      <c r="AG23" s="26">
        <f t="shared" si="25"/>
        <v>596848.04564549087</v>
      </c>
      <c r="AH23" s="26">
        <f t="shared" si="26"/>
        <v>475892.39939355117</v>
      </c>
      <c r="AI23" s="26">
        <f t="shared" si="27"/>
        <v>659683.76039480872</v>
      </c>
      <c r="AJ23" s="26">
        <f>(F23-$F$40)^2</f>
        <v>5.9167275383491605E-2</v>
      </c>
      <c r="AK23" s="26">
        <f t="shared" si="28"/>
        <v>551312.62793288927</v>
      </c>
      <c r="AL23" s="26">
        <f t="shared" si="29"/>
        <v>584263.53185547062</v>
      </c>
      <c r="AM23" s="26">
        <f t="shared" si="30"/>
        <v>479065.05581060244</v>
      </c>
      <c r="AN23" s="26">
        <f t="shared" si="31"/>
        <v>656511.10397775739</v>
      </c>
      <c r="AO23" s="26">
        <f>(G23-$G$40)^2</f>
        <v>5.9167275383491605E-2</v>
      </c>
      <c r="AP23" s="26">
        <f t="shared" si="32"/>
        <v>551312.62793288927</v>
      </c>
      <c r="AQ23" s="26">
        <f t="shared" si="33"/>
        <v>584263.53185547062</v>
      </c>
      <c r="AR23" s="26">
        <f t="shared" si="34"/>
        <v>479065.05581060244</v>
      </c>
      <c r="AS23" s="26">
        <f t="shared" si="35"/>
        <v>656511.10397775739</v>
      </c>
    </row>
    <row r="24" spans="1:45" x14ac:dyDescent="0.3">
      <c r="A24" s="18"/>
      <c r="B24" s="18">
        <v>3</v>
      </c>
      <c r="C24" s="18">
        <v>587432</v>
      </c>
      <c r="D24" s="18">
        <v>22</v>
      </c>
      <c r="E24" s="18">
        <f t="shared" si="1"/>
        <v>0</v>
      </c>
      <c r="F24" s="18">
        <f t="shared" si="2"/>
        <v>1</v>
      </c>
      <c r="G24" s="18">
        <f t="shared" si="3"/>
        <v>0</v>
      </c>
      <c r="H24" s="18">
        <f t="shared" si="4"/>
        <v>0</v>
      </c>
      <c r="I24" s="18">
        <f t="shared" si="5"/>
        <v>22</v>
      </c>
      <c r="J24" s="18">
        <f t="shared" si="6"/>
        <v>0</v>
      </c>
      <c r="K24" s="18">
        <f t="shared" si="7"/>
        <v>0</v>
      </c>
      <c r="L24" s="18">
        <f t="shared" si="8"/>
        <v>0</v>
      </c>
      <c r="M24" s="18">
        <f t="shared" si="9"/>
        <v>0</v>
      </c>
      <c r="N24" s="18">
        <f t="shared" si="10"/>
        <v>484</v>
      </c>
      <c r="O24" s="18">
        <f t="shared" si="11"/>
        <v>0</v>
      </c>
      <c r="P24" s="18">
        <f t="shared" si="12"/>
        <v>1</v>
      </c>
      <c r="Q24" s="18">
        <f t="shared" si="13"/>
        <v>0</v>
      </c>
      <c r="R24" s="18">
        <f t="shared" si="14"/>
        <v>12923504</v>
      </c>
      <c r="S24" s="18">
        <f t="shared" si="15"/>
        <v>0</v>
      </c>
      <c r="T24" s="18">
        <f t="shared" si="16"/>
        <v>587432</v>
      </c>
      <c r="U24" s="18">
        <f t="shared" si="17"/>
        <v>0</v>
      </c>
      <c r="V24" s="18">
        <f t="shared" si="0"/>
        <v>583091.11693121726</v>
      </c>
      <c r="W24" s="32">
        <f t="shared" si="18"/>
        <v>345076354624</v>
      </c>
      <c r="X24" s="26">
        <f t="shared" si="19"/>
        <v>18843265.816844683</v>
      </c>
      <c r="Y24" s="27">
        <f>(V24-$C$40)^2</f>
        <v>339995250644.09448</v>
      </c>
      <c r="Z24" s="27">
        <f>(D24-$D$40)^2</f>
        <v>16</v>
      </c>
      <c r="AA24" s="26">
        <f t="shared" si="20"/>
        <v>567786.06733421749</v>
      </c>
      <c r="AB24" s="26">
        <f t="shared" si="21"/>
        <v>598396.16652821703</v>
      </c>
      <c r="AC24" s="26">
        <f t="shared" si="22"/>
        <v>494577.95955688733</v>
      </c>
      <c r="AD24" s="26">
        <f t="shared" si="23"/>
        <v>671604.27430554712</v>
      </c>
      <c r="AE24" s="26">
        <f>(E24-$E$40)^2</f>
        <v>5.9167275383491605E-2</v>
      </c>
      <c r="AF24" s="26">
        <f t="shared" si="24"/>
        <v>566615.66496992658</v>
      </c>
      <c r="AG24" s="26">
        <f t="shared" si="25"/>
        <v>599566.56889250793</v>
      </c>
      <c r="AH24" s="26">
        <f t="shared" si="26"/>
        <v>494368.09284763975</v>
      </c>
      <c r="AI24" s="26">
        <f t="shared" si="27"/>
        <v>671814.1410147947</v>
      </c>
      <c r="AJ24" s="26">
        <f>(F24-$F$40)^2</f>
        <v>0.57268078889700513</v>
      </c>
      <c r="AK24" s="26">
        <f t="shared" si="28"/>
        <v>554031.15117990633</v>
      </c>
      <c r="AL24" s="26">
        <f t="shared" si="29"/>
        <v>612151.08268252818</v>
      </c>
      <c r="AM24" s="26">
        <f t="shared" si="30"/>
        <v>491195.43643058848</v>
      </c>
      <c r="AN24" s="26">
        <f t="shared" si="31"/>
        <v>674986.79743184603</v>
      </c>
      <c r="AO24" s="26">
        <f>(G24-$G$40)^2</f>
        <v>5.9167275383491605E-2</v>
      </c>
      <c r="AP24" s="26">
        <f t="shared" si="32"/>
        <v>566615.66496992658</v>
      </c>
      <c r="AQ24" s="26">
        <f t="shared" si="33"/>
        <v>599566.56889250793</v>
      </c>
      <c r="AR24" s="26">
        <f t="shared" si="34"/>
        <v>494368.09284763975</v>
      </c>
      <c r="AS24" s="26">
        <f t="shared" si="35"/>
        <v>671814.1410147947</v>
      </c>
    </row>
    <row r="25" spans="1:45" x14ac:dyDescent="0.3">
      <c r="A25" s="18"/>
      <c r="B25" s="18">
        <v>4</v>
      </c>
      <c r="C25" s="18">
        <v>509016</v>
      </c>
      <c r="D25" s="18">
        <v>23</v>
      </c>
      <c r="E25" s="18">
        <f t="shared" si="1"/>
        <v>0</v>
      </c>
      <c r="F25" s="18">
        <f t="shared" si="2"/>
        <v>0</v>
      </c>
      <c r="G25" s="18">
        <f t="shared" si="3"/>
        <v>1</v>
      </c>
      <c r="H25" s="18">
        <f t="shared" si="4"/>
        <v>0</v>
      </c>
      <c r="I25" s="18">
        <f t="shared" si="5"/>
        <v>0</v>
      </c>
      <c r="J25" s="18">
        <f t="shared" si="6"/>
        <v>23</v>
      </c>
      <c r="K25" s="18">
        <f t="shared" si="7"/>
        <v>0</v>
      </c>
      <c r="L25" s="18">
        <f t="shared" si="8"/>
        <v>0</v>
      </c>
      <c r="M25" s="18">
        <f t="shared" si="9"/>
        <v>0</v>
      </c>
      <c r="N25" s="18">
        <f t="shared" si="10"/>
        <v>529</v>
      </c>
      <c r="O25" s="18">
        <f t="shared" si="11"/>
        <v>0</v>
      </c>
      <c r="P25" s="18">
        <f t="shared" si="12"/>
        <v>0</v>
      </c>
      <c r="Q25" s="18">
        <f t="shared" si="13"/>
        <v>1</v>
      </c>
      <c r="R25" s="18">
        <f t="shared" si="14"/>
        <v>11707368</v>
      </c>
      <c r="S25" s="18">
        <f t="shared" si="15"/>
        <v>0</v>
      </c>
      <c r="T25" s="18">
        <f t="shared" si="16"/>
        <v>0</v>
      </c>
      <c r="U25" s="18">
        <f t="shared" si="17"/>
        <v>509016</v>
      </c>
      <c r="V25" s="18">
        <f t="shared" si="0"/>
        <v>501743.89470899513</v>
      </c>
      <c r="W25" s="32">
        <f t="shared" si="18"/>
        <v>259097288256</v>
      </c>
      <c r="X25" s="26">
        <f t="shared" si="19"/>
        <v>52883515.363461092</v>
      </c>
      <c r="Y25" s="27">
        <f>(V25-$C$40)^2</f>
        <v>251746935877.75119</v>
      </c>
      <c r="Z25" s="27">
        <f>(D25-$D$40)^2</f>
        <v>25</v>
      </c>
      <c r="AA25" s="26">
        <f t="shared" si="20"/>
        <v>485917.92007619102</v>
      </c>
      <c r="AB25" s="26">
        <f t="shared" si="21"/>
        <v>517569.86934179923</v>
      </c>
      <c r="AC25" s="26">
        <f t="shared" si="22"/>
        <v>413139.17723704316</v>
      </c>
      <c r="AD25" s="26">
        <f t="shared" si="23"/>
        <v>590348.61218094709</v>
      </c>
      <c r="AE25" s="26">
        <f>(E25-$E$40)^2</f>
        <v>5.9167275383491605E-2</v>
      </c>
      <c r="AF25" s="26">
        <f t="shared" si="24"/>
        <v>485268.44274770451</v>
      </c>
      <c r="AG25" s="26">
        <f t="shared" si="25"/>
        <v>518219.34667028574</v>
      </c>
      <c r="AH25" s="26">
        <f t="shared" si="26"/>
        <v>413020.87062541762</v>
      </c>
      <c r="AI25" s="26">
        <f t="shared" si="27"/>
        <v>590466.91879257257</v>
      </c>
      <c r="AJ25" s="26">
        <f>(F25-$F$40)^2</f>
        <v>5.9167275383491605E-2</v>
      </c>
      <c r="AK25" s="26">
        <f t="shared" si="28"/>
        <v>485268.44274770451</v>
      </c>
      <c r="AL25" s="26">
        <f t="shared" si="29"/>
        <v>518219.34667028574</v>
      </c>
      <c r="AM25" s="26">
        <f t="shared" si="30"/>
        <v>413020.87062541762</v>
      </c>
      <c r="AN25" s="26">
        <f t="shared" si="31"/>
        <v>590466.91879257257</v>
      </c>
      <c r="AO25" s="26">
        <f>(G25-$G$40)^2</f>
        <v>0.57268078889700513</v>
      </c>
      <c r="AP25" s="26">
        <f t="shared" si="32"/>
        <v>472683.9289576842</v>
      </c>
      <c r="AQ25" s="26">
        <f t="shared" si="33"/>
        <v>530803.86046030605</v>
      </c>
      <c r="AR25" s="26">
        <f t="shared" si="34"/>
        <v>409848.21420836635</v>
      </c>
      <c r="AS25" s="26">
        <f t="shared" si="35"/>
        <v>593639.5752096239</v>
      </c>
    </row>
    <row r="26" spans="1:45" x14ac:dyDescent="0.3">
      <c r="A26" s="18">
        <v>2018</v>
      </c>
      <c r="B26" s="18">
        <v>1</v>
      </c>
      <c r="C26" s="18">
        <v>423010.33333333331</v>
      </c>
      <c r="D26" s="18">
        <v>24</v>
      </c>
      <c r="E26" s="18">
        <f t="shared" si="1"/>
        <v>0</v>
      </c>
      <c r="F26" s="18">
        <f t="shared" si="2"/>
        <v>0</v>
      </c>
      <c r="G26" s="18">
        <f t="shared" si="3"/>
        <v>0</v>
      </c>
      <c r="H26" s="18">
        <f t="shared" si="4"/>
        <v>0</v>
      </c>
      <c r="I26" s="18">
        <f t="shared" si="5"/>
        <v>0</v>
      </c>
      <c r="J26" s="18">
        <f t="shared" si="6"/>
        <v>0</v>
      </c>
      <c r="K26" s="18">
        <f t="shared" si="7"/>
        <v>0</v>
      </c>
      <c r="L26" s="18">
        <f t="shared" si="8"/>
        <v>0</v>
      </c>
      <c r="M26" s="18">
        <f t="shared" si="9"/>
        <v>0</v>
      </c>
      <c r="N26" s="18">
        <f t="shared" si="10"/>
        <v>576</v>
      </c>
      <c r="O26" s="18">
        <f t="shared" si="11"/>
        <v>0</v>
      </c>
      <c r="P26" s="18">
        <f t="shared" si="12"/>
        <v>0</v>
      </c>
      <c r="Q26" s="18">
        <f t="shared" si="13"/>
        <v>0</v>
      </c>
      <c r="R26" s="18">
        <f t="shared" si="14"/>
        <v>10152248</v>
      </c>
      <c r="S26" s="18">
        <f t="shared" si="15"/>
        <v>0</v>
      </c>
      <c r="T26" s="18">
        <f t="shared" si="16"/>
        <v>0</v>
      </c>
      <c r="U26" s="18">
        <f t="shared" si="17"/>
        <v>0</v>
      </c>
      <c r="V26" s="18">
        <f t="shared" si="0"/>
        <v>423914.21428571438</v>
      </c>
      <c r="W26" s="32">
        <f t="shared" si="18"/>
        <v>178937742106.77777</v>
      </c>
      <c r="X26" s="26">
        <f t="shared" si="19"/>
        <v>817000.77607729798</v>
      </c>
      <c r="Y26" s="27">
        <f>(V26-$C$40)^2</f>
        <v>179703261073.47458</v>
      </c>
      <c r="Z26" s="27">
        <f>(D26-$D$40)^2</f>
        <v>36</v>
      </c>
      <c r="AA26" s="26">
        <f t="shared" si="20"/>
        <v>407473.9537892302</v>
      </c>
      <c r="AB26" s="26">
        <f t="shared" si="21"/>
        <v>440354.47478219855</v>
      </c>
      <c r="AC26" s="26">
        <f t="shared" si="22"/>
        <v>335197.71835401893</v>
      </c>
      <c r="AD26" s="26">
        <f t="shared" si="23"/>
        <v>512630.71021740983</v>
      </c>
      <c r="AE26" s="26">
        <f>(E26-$E$40)^2</f>
        <v>5.9167275383491605E-2</v>
      </c>
      <c r="AF26" s="26">
        <f t="shared" si="24"/>
        <v>407438.76232442376</v>
      </c>
      <c r="AG26" s="26">
        <f t="shared" si="25"/>
        <v>440389.66624700499</v>
      </c>
      <c r="AH26" s="26">
        <f t="shared" si="26"/>
        <v>335191.19020213687</v>
      </c>
      <c r="AI26" s="26">
        <f t="shared" si="27"/>
        <v>512637.23836929188</v>
      </c>
      <c r="AJ26" s="26">
        <f>(F26-$F$40)^2</f>
        <v>5.9167275383491605E-2</v>
      </c>
      <c r="AK26" s="26">
        <f t="shared" si="28"/>
        <v>407438.76232442376</v>
      </c>
      <c r="AL26" s="26">
        <f t="shared" si="29"/>
        <v>440389.66624700499</v>
      </c>
      <c r="AM26" s="26">
        <f t="shared" si="30"/>
        <v>335191.19020213687</v>
      </c>
      <c r="AN26" s="26">
        <f t="shared" si="31"/>
        <v>512637.23836929188</v>
      </c>
      <c r="AO26" s="26">
        <f>(G26-$G$40)^2</f>
        <v>5.9167275383491605E-2</v>
      </c>
      <c r="AP26" s="26">
        <f t="shared" si="32"/>
        <v>407438.76232442376</v>
      </c>
      <c r="AQ26" s="26">
        <f t="shared" si="33"/>
        <v>440389.66624700499</v>
      </c>
      <c r="AR26" s="26">
        <f t="shared" si="34"/>
        <v>335191.19020213687</v>
      </c>
      <c r="AS26" s="26">
        <f t="shared" si="35"/>
        <v>512637.23836929188</v>
      </c>
    </row>
    <row r="27" spans="1:45" x14ac:dyDescent="0.3">
      <c r="A27" s="18"/>
      <c r="B27" s="18">
        <v>2</v>
      </c>
      <c r="C27" s="18">
        <v>619039.66666666663</v>
      </c>
      <c r="D27" s="18">
        <v>25</v>
      </c>
      <c r="E27" s="18">
        <f t="shared" si="1"/>
        <v>1</v>
      </c>
      <c r="F27" s="18">
        <f t="shared" si="2"/>
        <v>0</v>
      </c>
      <c r="G27" s="18">
        <f t="shared" si="3"/>
        <v>0</v>
      </c>
      <c r="H27" s="18">
        <f t="shared" si="4"/>
        <v>25</v>
      </c>
      <c r="I27" s="18">
        <f t="shared" si="5"/>
        <v>0</v>
      </c>
      <c r="J27" s="18">
        <f t="shared" si="6"/>
        <v>0</v>
      </c>
      <c r="K27" s="18">
        <f t="shared" si="7"/>
        <v>0</v>
      </c>
      <c r="L27" s="18">
        <f t="shared" si="8"/>
        <v>0</v>
      </c>
      <c r="M27" s="18">
        <f t="shared" si="9"/>
        <v>0</v>
      </c>
      <c r="N27" s="18">
        <f t="shared" si="10"/>
        <v>625</v>
      </c>
      <c r="O27" s="18">
        <f t="shared" si="11"/>
        <v>1</v>
      </c>
      <c r="P27" s="18">
        <f t="shared" si="12"/>
        <v>0</v>
      </c>
      <c r="Q27" s="18">
        <f t="shared" si="13"/>
        <v>0</v>
      </c>
      <c r="R27" s="18">
        <f t="shared" si="14"/>
        <v>15475991.666666666</v>
      </c>
      <c r="S27" s="18">
        <f t="shared" si="15"/>
        <v>619039.66666666663</v>
      </c>
      <c r="T27" s="18">
        <f t="shared" si="16"/>
        <v>0</v>
      </c>
      <c r="U27" s="18">
        <f t="shared" si="17"/>
        <v>0</v>
      </c>
      <c r="V27" s="18">
        <f t="shared" si="0"/>
        <v>585373.67830687843</v>
      </c>
      <c r="W27" s="32">
        <f t="shared" si="18"/>
        <v>383210108906.77771</v>
      </c>
      <c r="X27" s="26">
        <f t="shared" si="19"/>
        <v>1133398772.2413945</v>
      </c>
      <c r="Y27" s="27">
        <f>(V27-$C$40)^2</f>
        <v>342662343254.52478</v>
      </c>
      <c r="Z27" s="27">
        <f>(D27-$D$40)^2</f>
        <v>49</v>
      </c>
      <c r="AA27" s="26">
        <f t="shared" si="20"/>
        <v>568235.80739159498</v>
      </c>
      <c r="AB27" s="26">
        <f t="shared" si="21"/>
        <v>602511.54922216188</v>
      </c>
      <c r="AC27" s="26">
        <f t="shared" si="22"/>
        <v>496525.26186226646</v>
      </c>
      <c r="AD27" s="26">
        <f t="shared" si="23"/>
        <v>674222.0947514904</v>
      </c>
      <c r="AE27" s="26">
        <f>(E27-$E$40)^2</f>
        <v>0.57268078889700513</v>
      </c>
      <c r="AF27" s="26">
        <f t="shared" si="24"/>
        <v>556313.7125555675</v>
      </c>
      <c r="AG27" s="26">
        <f t="shared" si="25"/>
        <v>614433.64405818935</v>
      </c>
      <c r="AH27" s="26">
        <f t="shared" si="26"/>
        <v>493477.99780624965</v>
      </c>
      <c r="AI27" s="26">
        <f t="shared" si="27"/>
        <v>677269.3588075072</v>
      </c>
      <c r="AJ27" s="26">
        <f>(F27-$F$40)^2</f>
        <v>5.9167275383491605E-2</v>
      </c>
      <c r="AK27" s="26">
        <f t="shared" si="28"/>
        <v>568898.22634558775</v>
      </c>
      <c r="AL27" s="26">
        <f t="shared" si="29"/>
        <v>601849.1302681691</v>
      </c>
      <c r="AM27" s="26">
        <f t="shared" si="30"/>
        <v>496650.65422330092</v>
      </c>
      <c r="AN27" s="26">
        <f t="shared" si="31"/>
        <v>674096.70239045587</v>
      </c>
      <c r="AO27" s="26">
        <f>(G27-$G$40)^2</f>
        <v>5.9167275383491605E-2</v>
      </c>
      <c r="AP27" s="26">
        <f t="shared" si="32"/>
        <v>568898.22634558775</v>
      </c>
      <c r="AQ27" s="26">
        <f t="shared" si="33"/>
        <v>601849.1302681691</v>
      </c>
      <c r="AR27" s="26">
        <f t="shared" si="34"/>
        <v>496650.65422330092</v>
      </c>
      <c r="AS27" s="26">
        <f t="shared" si="35"/>
        <v>674096.70239045587</v>
      </c>
    </row>
    <row r="28" spans="1:45" x14ac:dyDescent="0.3">
      <c r="A28" s="18"/>
      <c r="B28" s="18">
        <v>3</v>
      </c>
      <c r="C28" s="18">
        <v>590217.33333333337</v>
      </c>
      <c r="D28" s="18">
        <v>26</v>
      </c>
      <c r="E28" s="18">
        <f t="shared" si="1"/>
        <v>0</v>
      </c>
      <c r="F28" s="18">
        <f t="shared" si="2"/>
        <v>1</v>
      </c>
      <c r="G28" s="18">
        <f t="shared" si="3"/>
        <v>0</v>
      </c>
      <c r="H28" s="18">
        <f t="shared" si="4"/>
        <v>0</v>
      </c>
      <c r="I28" s="18">
        <f t="shared" si="5"/>
        <v>26</v>
      </c>
      <c r="J28" s="18">
        <f t="shared" si="6"/>
        <v>0</v>
      </c>
      <c r="K28" s="18">
        <f t="shared" si="7"/>
        <v>0</v>
      </c>
      <c r="L28" s="18">
        <f t="shared" si="8"/>
        <v>0</v>
      </c>
      <c r="M28" s="18">
        <f t="shared" si="9"/>
        <v>0</v>
      </c>
      <c r="N28" s="18">
        <f t="shared" si="10"/>
        <v>676</v>
      </c>
      <c r="O28" s="18">
        <f t="shared" si="11"/>
        <v>0</v>
      </c>
      <c r="P28" s="18">
        <f t="shared" si="12"/>
        <v>1</v>
      </c>
      <c r="Q28" s="18">
        <f t="shared" si="13"/>
        <v>0</v>
      </c>
      <c r="R28" s="18">
        <f t="shared" si="14"/>
        <v>15345650.666666668</v>
      </c>
      <c r="S28" s="18">
        <f t="shared" si="15"/>
        <v>0</v>
      </c>
      <c r="T28" s="18">
        <f t="shared" si="16"/>
        <v>590217.33333333337</v>
      </c>
      <c r="U28" s="18">
        <f t="shared" si="17"/>
        <v>0</v>
      </c>
      <c r="V28" s="18">
        <f t="shared" si="0"/>
        <v>600676.71534391562</v>
      </c>
      <c r="W28" s="32">
        <f t="shared" si="18"/>
        <v>348356500567.11115</v>
      </c>
      <c r="X28" s="26">
        <f t="shared" si="19"/>
        <v>109398672.04329164</v>
      </c>
      <c r="Y28" s="27">
        <f>(V28-$C$40)^2</f>
        <v>360812516356.35547</v>
      </c>
      <c r="Z28" s="27">
        <f>(D28-$D$40)^2</f>
        <v>64</v>
      </c>
      <c r="AA28" s="26">
        <f t="shared" si="20"/>
        <v>582767.64401042252</v>
      </c>
      <c r="AB28" s="26">
        <f t="shared" si="21"/>
        <v>618585.78667740873</v>
      </c>
      <c r="AC28" s="26">
        <f t="shared" si="22"/>
        <v>511676.32589963049</v>
      </c>
      <c r="AD28" s="26">
        <f t="shared" si="23"/>
        <v>689677.1047882007</v>
      </c>
      <c r="AE28" s="26">
        <f>(E28-$E$40)^2</f>
        <v>5.9167275383491605E-2</v>
      </c>
      <c r="AF28" s="26">
        <f t="shared" si="24"/>
        <v>584201.26338262495</v>
      </c>
      <c r="AG28" s="26">
        <f t="shared" si="25"/>
        <v>617152.1673052063</v>
      </c>
      <c r="AH28" s="26">
        <f t="shared" si="26"/>
        <v>511953.69126033812</v>
      </c>
      <c r="AI28" s="26">
        <f t="shared" si="27"/>
        <v>689399.73942749307</v>
      </c>
      <c r="AJ28" s="26">
        <f>(F28-$F$40)^2</f>
        <v>0.57268078889700513</v>
      </c>
      <c r="AK28" s="26">
        <f t="shared" si="28"/>
        <v>571616.7495926047</v>
      </c>
      <c r="AL28" s="26">
        <f t="shared" si="29"/>
        <v>629736.68109522655</v>
      </c>
      <c r="AM28" s="26">
        <f t="shared" si="30"/>
        <v>508781.03484328685</v>
      </c>
      <c r="AN28" s="26">
        <f t="shared" si="31"/>
        <v>692572.3958445444</v>
      </c>
      <c r="AO28" s="26">
        <f>(G28-$G$40)^2</f>
        <v>5.9167275383491605E-2</v>
      </c>
      <c r="AP28" s="26">
        <f t="shared" si="32"/>
        <v>584201.26338262495</v>
      </c>
      <c r="AQ28" s="26">
        <f t="shared" si="33"/>
        <v>617152.1673052063</v>
      </c>
      <c r="AR28" s="26">
        <f t="shared" si="34"/>
        <v>511953.69126033812</v>
      </c>
      <c r="AS28" s="26">
        <f t="shared" si="35"/>
        <v>689399.73942749307</v>
      </c>
    </row>
    <row r="29" spans="1:45" x14ac:dyDescent="0.3">
      <c r="A29" s="18"/>
      <c r="B29" s="18">
        <v>4</v>
      </c>
      <c r="C29" s="18">
        <v>486777.66666666669</v>
      </c>
      <c r="D29" s="18">
        <v>27</v>
      </c>
      <c r="E29" s="18">
        <f t="shared" si="1"/>
        <v>0</v>
      </c>
      <c r="F29" s="18">
        <f t="shared" si="2"/>
        <v>0</v>
      </c>
      <c r="G29" s="18">
        <f t="shared" si="3"/>
        <v>1</v>
      </c>
      <c r="H29" s="18">
        <f t="shared" si="4"/>
        <v>0</v>
      </c>
      <c r="I29" s="18">
        <f t="shared" si="5"/>
        <v>0</v>
      </c>
      <c r="J29" s="18">
        <f t="shared" si="6"/>
        <v>27</v>
      </c>
      <c r="K29" s="18">
        <f t="shared" si="7"/>
        <v>0</v>
      </c>
      <c r="L29" s="18">
        <f t="shared" si="8"/>
        <v>0</v>
      </c>
      <c r="M29" s="18">
        <f t="shared" si="9"/>
        <v>0</v>
      </c>
      <c r="N29" s="18">
        <f t="shared" si="10"/>
        <v>729</v>
      </c>
      <c r="O29" s="18">
        <f t="shared" si="11"/>
        <v>0</v>
      </c>
      <c r="P29" s="18">
        <f t="shared" si="12"/>
        <v>0</v>
      </c>
      <c r="Q29" s="18">
        <f t="shared" si="13"/>
        <v>1</v>
      </c>
      <c r="R29" s="18">
        <f t="shared" si="14"/>
        <v>13142997</v>
      </c>
      <c r="S29" s="18">
        <f t="shared" si="15"/>
        <v>0</v>
      </c>
      <c r="T29" s="18">
        <f t="shared" si="16"/>
        <v>0</v>
      </c>
      <c r="U29" s="18">
        <f t="shared" si="17"/>
        <v>486777.66666666669</v>
      </c>
      <c r="V29" s="18">
        <f t="shared" si="0"/>
        <v>519329.49312169355</v>
      </c>
      <c r="W29" s="32">
        <f t="shared" si="18"/>
        <v>236952496765.44446</v>
      </c>
      <c r="X29" s="26">
        <f t="shared" si="19"/>
        <v>1059621405.5581869</v>
      </c>
      <c r="Y29" s="27">
        <f>(V29-$C$40)^2</f>
        <v>269703122426.03516</v>
      </c>
      <c r="Z29" s="27">
        <f>(D29-$D$40)^2</f>
        <v>81</v>
      </c>
      <c r="AA29" s="26">
        <f t="shared" si="20"/>
        <v>500584.71212137415</v>
      </c>
      <c r="AB29" s="26">
        <f t="shared" si="21"/>
        <v>538074.2741220129</v>
      </c>
      <c r="AC29" s="26">
        <f t="shared" si="22"/>
        <v>430157.18071500416</v>
      </c>
      <c r="AD29" s="26">
        <f t="shared" si="23"/>
        <v>608501.80552838289</v>
      </c>
      <c r="AE29" s="26">
        <f>(E29-$E$40)^2</f>
        <v>5.9167275383491605E-2</v>
      </c>
      <c r="AF29" s="26">
        <f t="shared" si="24"/>
        <v>502854.04116040294</v>
      </c>
      <c r="AG29" s="26">
        <f t="shared" si="25"/>
        <v>535804.94508298417</v>
      </c>
      <c r="AH29" s="26">
        <f t="shared" si="26"/>
        <v>430606.46903811605</v>
      </c>
      <c r="AI29" s="26">
        <f t="shared" si="27"/>
        <v>608052.51720527105</v>
      </c>
      <c r="AJ29" s="26">
        <f>(F29-$F$40)^2</f>
        <v>5.9167275383491605E-2</v>
      </c>
      <c r="AK29" s="26">
        <f t="shared" si="28"/>
        <v>502854.04116040294</v>
      </c>
      <c r="AL29" s="26">
        <f t="shared" si="29"/>
        <v>535804.94508298417</v>
      </c>
      <c r="AM29" s="26">
        <f t="shared" si="30"/>
        <v>430606.46903811605</v>
      </c>
      <c r="AN29" s="26">
        <f t="shared" si="31"/>
        <v>608052.51720527105</v>
      </c>
      <c r="AO29" s="26">
        <f>(G29-$G$40)^2</f>
        <v>0.57268078889700513</v>
      </c>
      <c r="AP29" s="26">
        <f t="shared" si="32"/>
        <v>490269.52737038262</v>
      </c>
      <c r="AQ29" s="26">
        <f t="shared" si="33"/>
        <v>548389.45887300442</v>
      </c>
      <c r="AR29" s="26">
        <f t="shared" si="34"/>
        <v>427433.81262106483</v>
      </c>
      <c r="AS29" s="26">
        <f t="shared" si="35"/>
        <v>611225.17362232227</v>
      </c>
    </row>
    <row r="30" spans="1:45" x14ac:dyDescent="0.3">
      <c r="A30" s="18">
        <v>2019</v>
      </c>
      <c r="B30" s="18">
        <v>1</v>
      </c>
      <c r="C30" s="18">
        <v>402236.33333333331</v>
      </c>
      <c r="D30" s="18">
        <v>28</v>
      </c>
      <c r="E30" s="18">
        <f t="shared" si="1"/>
        <v>0</v>
      </c>
      <c r="F30" s="18">
        <f t="shared" si="2"/>
        <v>0</v>
      </c>
      <c r="G30" s="18">
        <f t="shared" si="3"/>
        <v>0</v>
      </c>
      <c r="H30" s="18">
        <f t="shared" si="4"/>
        <v>0</v>
      </c>
      <c r="I30" s="18">
        <f t="shared" si="5"/>
        <v>0</v>
      </c>
      <c r="J30" s="18">
        <f t="shared" si="6"/>
        <v>0</v>
      </c>
      <c r="K30" s="18">
        <f t="shared" si="7"/>
        <v>0</v>
      </c>
      <c r="L30" s="18">
        <f t="shared" si="8"/>
        <v>0</v>
      </c>
      <c r="M30" s="18">
        <f t="shared" si="9"/>
        <v>0</v>
      </c>
      <c r="N30" s="18">
        <f t="shared" si="10"/>
        <v>784</v>
      </c>
      <c r="O30" s="18">
        <f t="shared" si="11"/>
        <v>0</v>
      </c>
      <c r="P30" s="18">
        <f t="shared" si="12"/>
        <v>0</v>
      </c>
      <c r="Q30" s="18">
        <f t="shared" si="13"/>
        <v>0</v>
      </c>
      <c r="R30" s="18">
        <f t="shared" si="14"/>
        <v>11262617.333333332</v>
      </c>
      <c r="S30" s="18">
        <f t="shared" si="15"/>
        <v>0</v>
      </c>
      <c r="T30" s="18">
        <f t="shared" si="16"/>
        <v>0</v>
      </c>
      <c r="U30" s="18">
        <f t="shared" si="17"/>
        <v>0</v>
      </c>
      <c r="V30" s="18">
        <f t="shared" si="0"/>
        <v>441499.8126984128</v>
      </c>
      <c r="W30" s="32">
        <f t="shared" si="18"/>
        <v>161794067853.44443</v>
      </c>
      <c r="X30" s="26">
        <f t="shared" si="19"/>
        <v>1541620811.8520229</v>
      </c>
      <c r="Y30" s="27">
        <f>(V30-$C$40)^2</f>
        <v>194922084612.73358</v>
      </c>
      <c r="Z30" s="27">
        <f>(D30-$D$40)^2</f>
        <v>100</v>
      </c>
      <c r="AA30" s="26">
        <f t="shared" si="20"/>
        <v>421863.04729078297</v>
      </c>
      <c r="AB30" s="26">
        <f t="shared" si="21"/>
        <v>461136.57810604264</v>
      </c>
      <c r="AC30" s="26">
        <f t="shared" si="22"/>
        <v>352135.74250865163</v>
      </c>
      <c r="AD30" s="26">
        <f t="shared" si="23"/>
        <v>530863.88288817392</v>
      </c>
      <c r="AE30" s="26">
        <f>(E30-$E$40)^2</f>
        <v>5.9167275383491605E-2</v>
      </c>
      <c r="AF30" s="26">
        <f t="shared" si="24"/>
        <v>425024.36073712219</v>
      </c>
      <c r="AG30" s="26">
        <f t="shared" si="25"/>
        <v>457975.26465970342</v>
      </c>
      <c r="AH30" s="26">
        <f t="shared" si="26"/>
        <v>352776.7886148353</v>
      </c>
      <c r="AI30" s="26">
        <f t="shared" si="27"/>
        <v>530222.83678199025</v>
      </c>
      <c r="AJ30" s="26">
        <f>(F30-$F$40)^2</f>
        <v>5.9167275383491605E-2</v>
      </c>
      <c r="AK30" s="26">
        <f t="shared" si="28"/>
        <v>425024.36073712219</v>
      </c>
      <c r="AL30" s="26">
        <f t="shared" si="29"/>
        <v>457975.26465970342</v>
      </c>
      <c r="AM30" s="26">
        <f t="shared" si="30"/>
        <v>352776.7886148353</v>
      </c>
      <c r="AN30" s="26">
        <f t="shared" si="31"/>
        <v>530222.83678199025</v>
      </c>
      <c r="AO30" s="26">
        <f>(G30-$G$40)^2</f>
        <v>5.9167275383491605E-2</v>
      </c>
      <c r="AP30" s="26">
        <f t="shared" si="32"/>
        <v>425024.36073712219</v>
      </c>
      <c r="AQ30" s="26">
        <f t="shared" si="33"/>
        <v>457975.26465970342</v>
      </c>
      <c r="AR30" s="26">
        <f t="shared" si="34"/>
        <v>352776.7886148353</v>
      </c>
      <c r="AS30" s="26">
        <f t="shared" si="35"/>
        <v>530222.83678199025</v>
      </c>
    </row>
    <row r="31" spans="1:45" x14ac:dyDescent="0.3">
      <c r="A31" s="18"/>
      <c r="B31" s="18">
        <v>2</v>
      </c>
      <c r="C31" s="18">
        <v>610384.66666666663</v>
      </c>
      <c r="D31" s="18">
        <v>29</v>
      </c>
      <c r="E31" s="18">
        <f t="shared" si="1"/>
        <v>1</v>
      </c>
      <c r="F31" s="18">
        <f t="shared" si="2"/>
        <v>0</v>
      </c>
      <c r="G31" s="18">
        <f t="shared" si="3"/>
        <v>0</v>
      </c>
      <c r="H31" s="18">
        <f t="shared" si="4"/>
        <v>29</v>
      </c>
      <c r="I31" s="18">
        <f t="shared" si="5"/>
        <v>0</v>
      </c>
      <c r="J31" s="18">
        <f t="shared" si="6"/>
        <v>0</v>
      </c>
      <c r="K31" s="18">
        <f t="shared" si="7"/>
        <v>0</v>
      </c>
      <c r="L31" s="18">
        <f t="shared" si="8"/>
        <v>0</v>
      </c>
      <c r="M31" s="18">
        <f t="shared" si="9"/>
        <v>0</v>
      </c>
      <c r="N31" s="18">
        <f t="shared" si="10"/>
        <v>841</v>
      </c>
      <c r="O31" s="18">
        <f t="shared" si="11"/>
        <v>1</v>
      </c>
      <c r="P31" s="18">
        <f t="shared" si="12"/>
        <v>0</v>
      </c>
      <c r="Q31" s="18">
        <f t="shared" si="13"/>
        <v>0</v>
      </c>
      <c r="R31" s="18">
        <f t="shared" si="14"/>
        <v>17701155.333333332</v>
      </c>
      <c r="S31" s="18">
        <f t="shared" si="15"/>
        <v>610384.66666666663</v>
      </c>
      <c r="T31" s="18">
        <f t="shared" si="16"/>
        <v>0</v>
      </c>
      <c r="U31" s="18">
        <f t="shared" si="17"/>
        <v>0</v>
      </c>
      <c r="V31" s="18">
        <f t="shared" si="0"/>
        <v>602959.27671957691</v>
      </c>
      <c r="W31" s="32">
        <f t="shared" si="18"/>
        <v>372569441301.77771</v>
      </c>
      <c r="X31" s="26">
        <f t="shared" si="19"/>
        <v>55136415.86634101</v>
      </c>
      <c r="Y31" s="27">
        <f>(V31-$C$40)^2</f>
        <v>363559889382.19531</v>
      </c>
      <c r="Z31" s="27">
        <f>(D31-$D$40)^2</f>
        <v>121</v>
      </c>
      <c r="AA31" s="26">
        <f t="shared" si="20"/>
        <v>582381.56890745158</v>
      </c>
      <c r="AB31" s="26">
        <f t="shared" si="21"/>
        <v>623536.98453170224</v>
      </c>
      <c r="AC31" s="26">
        <f t="shared" si="22"/>
        <v>513383.7413094691</v>
      </c>
      <c r="AD31" s="26">
        <f t="shared" si="23"/>
        <v>692534.81212968472</v>
      </c>
      <c r="AE31" s="26">
        <f>(E31-$E$40)^2</f>
        <v>0.57268078889700513</v>
      </c>
      <c r="AF31" s="26">
        <f t="shared" si="24"/>
        <v>573899.31096826599</v>
      </c>
      <c r="AG31" s="26">
        <f t="shared" si="25"/>
        <v>632019.24247088784</v>
      </c>
      <c r="AH31" s="26">
        <f t="shared" si="26"/>
        <v>511063.59621894814</v>
      </c>
      <c r="AI31" s="26">
        <f t="shared" si="27"/>
        <v>694854.95722020569</v>
      </c>
      <c r="AJ31" s="26">
        <f>(F31-$F$40)^2</f>
        <v>5.9167275383491605E-2</v>
      </c>
      <c r="AK31" s="26">
        <f t="shared" si="28"/>
        <v>586483.82475828624</v>
      </c>
      <c r="AL31" s="26">
        <f t="shared" si="29"/>
        <v>619434.72868086759</v>
      </c>
      <c r="AM31" s="26">
        <f t="shared" si="30"/>
        <v>514236.25263599941</v>
      </c>
      <c r="AN31" s="26">
        <f t="shared" si="31"/>
        <v>691682.30080315436</v>
      </c>
      <c r="AO31" s="26">
        <f>(G31-$G$40)^2</f>
        <v>5.9167275383491605E-2</v>
      </c>
      <c r="AP31" s="26">
        <f t="shared" si="32"/>
        <v>586483.82475828624</v>
      </c>
      <c r="AQ31" s="26">
        <f t="shared" si="33"/>
        <v>619434.72868086759</v>
      </c>
      <c r="AR31" s="26">
        <f t="shared" si="34"/>
        <v>514236.25263599941</v>
      </c>
      <c r="AS31" s="26">
        <f t="shared" si="35"/>
        <v>691682.30080315436</v>
      </c>
    </row>
    <row r="32" spans="1:45" x14ac:dyDescent="0.3">
      <c r="A32" s="18"/>
      <c r="B32" s="18">
        <v>3</v>
      </c>
      <c r="C32" s="18">
        <v>602428.33333333337</v>
      </c>
      <c r="D32" s="18">
        <v>30</v>
      </c>
      <c r="E32" s="18">
        <f t="shared" si="1"/>
        <v>0</v>
      </c>
      <c r="F32" s="18">
        <f t="shared" si="2"/>
        <v>1</v>
      </c>
      <c r="G32" s="18">
        <f t="shared" si="3"/>
        <v>0</v>
      </c>
      <c r="H32" s="18">
        <f t="shared" si="4"/>
        <v>0</v>
      </c>
      <c r="I32" s="18">
        <f t="shared" si="5"/>
        <v>30</v>
      </c>
      <c r="J32" s="18">
        <f t="shared" si="6"/>
        <v>0</v>
      </c>
      <c r="K32" s="18">
        <f t="shared" si="7"/>
        <v>0</v>
      </c>
      <c r="L32" s="18">
        <f t="shared" si="8"/>
        <v>0</v>
      </c>
      <c r="M32" s="18">
        <f t="shared" si="9"/>
        <v>0</v>
      </c>
      <c r="N32" s="18">
        <f t="shared" si="10"/>
        <v>900</v>
      </c>
      <c r="O32" s="18">
        <f t="shared" si="11"/>
        <v>0</v>
      </c>
      <c r="P32" s="18">
        <f t="shared" si="12"/>
        <v>1</v>
      </c>
      <c r="Q32" s="18">
        <f t="shared" si="13"/>
        <v>0</v>
      </c>
      <c r="R32" s="18">
        <f t="shared" si="14"/>
        <v>18072850</v>
      </c>
      <c r="S32" s="18">
        <f t="shared" si="15"/>
        <v>0</v>
      </c>
      <c r="T32" s="18">
        <f t="shared" si="16"/>
        <v>602428.33333333337</v>
      </c>
      <c r="U32" s="18">
        <f t="shared" si="17"/>
        <v>0</v>
      </c>
      <c r="V32" s="18">
        <f t="shared" si="0"/>
        <v>618262.31375661411</v>
      </c>
      <c r="W32" s="32">
        <f t="shared" si="18"/>
        <v>362919896802.77783</v>
      </c>
      <c r="X32" s="26">
        <f t="shared" si="19"/>
        <v>250714936.04483762</v>
      </c>
      <c r="Y32" s="27">
        <f>(V32-$C$40)^2</f>
        <v>382248288611.68195</v>
      </c>
      <c r="Z32" s="27">
        <f>(D32-$D$40)^2</f>
        <v>144</v>
      </c>
      <c r="AA32" s="26">
        <f t="shared" si="20"/>
        <v>596701.11425077298</v>
      </c>
      <c r="AB32" s="26">
        <f t="shared" si="21"/>
        <v>639823.51326245524</v>
      </c>
      <c r="AC32" s="26">
        <f t="shared" si="22"/>
        <v>528455.74490256561</v>
      </c>
      <c r="AD32" s="26">
        <f t="shared" si="23"/>
        <v>708068.88261066261</v>
      </c>
      <c r="AE32" s="26">
        <f>(E32-$E$40)^2</f>
        <v>5.9167275383491605E-2</v>
      </c>
      <c r="AF32" s="26">
        <f t="shared" si="24"/>
        <v>601786.86179532344</v>
      </c>
      <c r="AG32" s="26">
        <f t="shared" si="25"/>
        <v>634737.76571790478</v>
      </c>
      <c r="AH32" s="26">
        <f t="shared" si="26"/>
        <v>529539.28967303666</v>
      </c>
      <c r="AI32" s="26">
        <f t="shared" si="27"/>
        <v>706985.33784019155</v>
      </c>
      <c r="AJ32" s="26">
        <f>(F32-$F$40)^2</f>
        <v>0.57268078889700513</v>
      </c>
      <c r="AK32" s="26">
        <f t="shared" si="28"/>
        <v>589202.34800530318</v>
      </c>
      <c r="AL32" s="26">
        <f t="shared" si="29"/>
        <v>647322.27950792504</v>
      </c>
      <c r="AM32" s="26">
        <f t="shared" si="30"/>
        <v>526366.63325598533</v>
      </c>
      <c r="AN32" s="26">
        <f t="shared" si="31"/>
        <v>710157.99425724288</v>
      </c>
      <c r="AO32" s="26">
        <f>(G32-$G$40)^2</f>
        <v>5.9167275383491605E-2</v>
      </c>
      <c r="AP32" s="26">
        <f t="shared" si="32"/>
        <v>601786.86179532344</v>
      </c>
      <c r="AQ32" s="26">
        <f t="shared" si="33"/>
        <v>634737.76571790478</v>
      </c>
      <c r="AR32" s="26">
        <f t="shared" si="34"/>
        <v>529539.28967303666</v>
      </c>
      <c r="AS32" s="26">
        <f t="shared" si="35"/>
        <v>706985.33784019155</v>
      </c>
    </row>
    <row r="33" spans="1:45" x14ac:dyDescent="0.3">
      <c r="A33" s="18"/>
      <c r="B33" s="18">
        <v>4</v>
      </c>
      <c r="C33" s="18">
        <v>515037.66666666669</v>
      </c>
      <c r="D33" s="18">
        <v>31</v>
      </c>
      <c r="E33" s="18">
        <f t="shared" si="1"/>
        <v>0</v>
      </c>
      <c r="F33" s="18">
        <f t="shared" si="2"/>
        <v>0</v>
      </c>
      <c r="G33" s="18">
        <f t="shared" si="3"/>
        <v>1</v>
      </c>
      <c r="H33" s="18">
        <f t="shared" si="4"/>
        <v>0</v>
      </c>
      <c r="I33" s="18">
        <f t="shared" si="5"/>
        <v>0</v>
      </c>
      <c r="J33" s="18">
        <f t="shared" si="6"/>
        <v>31</v>
      </c>
      <c r="K33" s="18">
        <f t="shared" si="7"/>
        <v>0</v>
      </c>
      <c r="L33" s="18">
        <f t="shared" si="8"/>
        <v>0</v>
      </c>
      <c r="M33" s="18">
        <f t="shared" si="9"/>
        <v>0</v>
      </c>
      <c r="N33" s="18">
        <f t="shared" si="10"/>
        <v>961</v>
      </c>
      <c r="O33" s="18">
        <f t="shared" si="11"/>
        <v>0</v>
      </c>
      <c r="P33" s="18">
        <f t="shared" si="12"/>
        <v>0</v>
      </c>
      <c r="Q33" s="18">
        <f t="shared" si="13"/>
        <v>1</v>
      </c>
      <c r="R33" s="18">
        <f t="shared" si="14"/>
        <v>15966167.666666668</v>
      </c>
      <c r="S33" s="18">
        <f t="shared" si="15"/>
        <v>0</v>
      </c>
      <c r="T33" s="18">
        <f t="shared" si="16"/>
        <v>0</v>
      </c>
      <c r="U33" s="18">
        <f t="shared" si="17"/>
        <v>515037.66666666669</v>
      </c>
      <c r="V33" s="18">
        <f t="shared" si="0"/>
        <v>536915.09153439198</v>
      </c>
      <c r="W33" s="32">
        <f t="shared" si="18"/>
        <v>265263798085.44446</v>
      </c>
      <c r="X33" s="26">
        <f t="shared" si="19"/>
        <v>478621718.84296495</v>
      </c>
      <c r="Y33" s="27">
        <f>(V33-$C$40)^2</f>
        <v>288277815517.38452</v>
      </c>
      <c r="Z33" s="27">
        <f>(D33-$D$40)^2</f>
        <v>169</v>
      </c>
      <c r="AA33" s="26">
        <f t="shared" si="20"/>
        <v>514333.40976215177</v>
      </c>
      <c r="AB33" s="26">
        <f t="shared" si="21"/>
        <v>559496.77330663218</v>
      </c>
      <c r="AC33" s="26">
        <f t="shared" si="22"/>
        <v>446858.07161440462</v>
      </c>
      <c r="AD33" s="26">
        <f t="shared" si="23"/>
        <v>626972.11145437928</v>
      </c>
      <c r="AE33" s="26">
        <f>(E33-$E$40)^2</f>
        <v>5.9167275383491605E-2</v>
      </c>
      <c r="AF33" s="26">
        <f t="shared" si="24"/>
        <v>520439.63957310136</v>
      </c>
      <c r="AG33" s="26">
        <f t="shared" si="25"/>
        <v>553390.54349568265</v>
      </c>
      <c r="AH33" s="26">
        <f t="shared" si="26"/>
        <v>448192.06745081447</v>
      </c>
      <c r="AI33" s="26">
        <f t="shared" si="27"/>
        <v>625638.11561796942</v>
      </c>
      <c r="AJ33" s="26">
        <f>(F33-$F$40)^2</f>
        <v>5.9167275383491605E-2</v>
      </c>
      <c r="AK33" s="26">
        <f t="shared" si="28"/>
        <v>520439.63957310136</v>
      </c>
      <c r="AL33" s="26">
        <f t="shared" si="29"/>
        <v>553390.54349568265</v>
      </c>
      <c r="AM33" s="26">
        <f t="shared" si="30"/>
        <v>448192.06745081447</v>
      </c>
      <c r="AN33" s="26">
        <f t="shared" si="31"/>
        <v>625638.11561796942</v>
      </c>
      <c r="AO33" s="26">
        <f>(G33-$G$40)^2</f>
        <v>0.57268078889700513</v>
      </c>
      <c r="AP33" s="26">
        <f t="shared" si="32"/>
        <v>507855.12578308105</v>
      </c>
      <c r="AQ33" s="26">
        <f t="shared" si="33"/>
        <v>565975.0572857029</v>
      </c>
      <c r="AR33" s="26">
        <f t="shared" si="34"/>
        <v>445019.4110337632</v>
      </c>
      <c r="AS33" s="26">
        <f t="shared" si="35"/>
        <v>628810.77203502075</v>
      </c>
    </row>
    <row r="34" spans="1:45" x14ac:dyDescent="0.3">
      <c r="A34" s="18">
        <v>2020</v>
      </c>
      <c r="B34" s="18">
        <v>1</v>
      </c>
      <c r="C34" s="18">
        <v>433739.33333333331</v>
      </c>
      <c r="D34" s="18">
        <v>32</v>
      </c>
      <c r="E34" s="18">
        <f t="shared" si="1"/>
        <v>0</v>
      </c>
      <c r="F34" s="18">
        <f t="shared" si="2"/>
        <v>0</v>
      </c>
      <c r="G34" s="18">
        <f t="shared" si="3"/>
        <v>0</v>
      </c>
      <c r="H34" s="18">
        <f t="shared" si="4"/>
        <v>0</v>
      </c>
      <c r="I34" s="18">
        <f t="shared" si="5"/>
        <v>0</v>
      </c>
      <c r="J34" s="18">
        <f t="shared" si="6"/>
        <v>0</v>
      </c>
      <c r="K34" s="18">
        <f t="shared" si="7"/>
        <v>0</v>
      </c>
      <c r="L34" s="18">
        <f t="shared" si="8"/>
        <v>0</v>
      </c>
      <c r="M34" s="18">
        <f t="shared" si="9"/>
        <v>0</v>
      </c>
      <c r="N34" s="18">
        <f t="shared" si="10"/>
        <v>1024</v>
      </c>
      <c r="O34" s="18">
        <f t="shared" si="11"/>
        <v>0</v>
      </c>
      <c r="P34" s="18">
        <f t="shared" si="12"/>
        <v>0</v>
      </c>
      <c r="Q34" s="18">
        <f t="shared" si="13"/>
        <v>0</v>
      </c>
      <c r="R34" s="18">
        <f t="shared" si="14"/>
        <v>13879658.666666666</v>
      </c>
      <c r="S34" s="18">
        <f t="shared" si="15"/>
        <v>0</v>
      </c>
      <c r="T34" s="18">
        <f t="shared" si="16"/>
        <v>0</v>
      </c>
      <c r="U34" s="18">
        <f t="shared" si="17"/>
        <v>0</v>
      </c>
      <c r="V34" s="18">
        <f t="shared" si="0"/>
        <v>459085.41111111129</v>
      </c>
      <c r="W34" s="32">
        <f t="shared" si="18"/>
        <v>188129809280.44443</v>
      </c>
      <c r="X34" s="26">
        <f t="shared" si="19"/>
        <v>642423658.71717036</v>
      </c>
      <c r="Y34" s="27">
        <f>(V34-$C$40)^2</f>
        <v>210759414695.05807</v>
      </c>
      <c r="Z34" s="27">
        <f>(D34-$D$40)^2</f>
        <v>196</v>
      </c>
      <c r="AA34" s="26">
        <f t="shared" si="20"/>
        <v>435451.04754029913</v>
      </c>
      <c r="AB34" s="26">
        <f t="shared" si="21"/>
        <v>482719.77468192345</v>
      </c>
      <c r="AC34" s="26">
        <f t="shared" si="22"/>
        <v>368758.68402215047</v>
      </c>
      <c r="AD34" s="26">
        <f t="shared" si="23"/>
        <v>549412.13820007211</v>
      </c>
      <c r="AE34" s="26">
        <f>(E34-$E$40)^2</f>
        <v>5.9167275383491605E-2</v>
      </c>
      <c r="AF34" s="26">
        <f t="shared" si="24"/>
        <v>442609.95914982067</v>
      </c>
      <c r="AG34" s="26">
        <f t="shared" si="25"/>
        <v>475560.8630724019</v>
      </c>
      <c r="AH34" s="26">
        <f t="shared" si="26"/>
        <v>370362.38702753378</v>
      </c>
      <c r="AI34" s="26">
        <f t="shared" si="27"/>
        <v>547808.43519468873</v>
      </c>
      <c r="AJ34" s="26">
        <f>(F34-$F$40)^2</f>
        <v>5.9167275383491605E-2</v>
      </c>
      <c r="AK34" s="26">
        <f t="shared" si="28"/>
        <v>442609.95914982067</v>
      </c>
      <c r="AL34" s="26">
        <f t="shared" si="29"/>
        <v>475560.8630724019</v>
      </c>
      <c r="AM34" s="26">
        <f t="shared" si="30"/>
        <v>370362.38702753378</v>
      </c>
      <c r="AN34" s="26">
        <f t="shared" si="31"/>
        <v>547808.43519468873</v>
      </c>
      <c r="AO34" s="26">
        <f>(G34-$G$40)^2</f>
        <v>5.9167275383491605E-2</v>
      </c>
      <c r="AP34" s="26">
        <f t="shared" si="32"/>
        <v>442609.95914982067</v>
      </c>
      <c r="AQ34" s="26">
        <f t="shared" si="33"/>
        <v>475560.8630724019</v>
      </c>
      <c r="AR34" s="26">
        <f t="shared" si="34"/>
        <v>370362.38702753378</v>
      </c>
      <c r="AS34" s="26">
        <f t="shared" si="35"/>
        <v>547808.43519468873</v>
      </c>
    </row>
    <row r="35" spans="1:45" x14ac:dyDescent="0.3">
      <c r="A35" s="18"/>
      <c r="B35" s="18">
        <v>2</v>
      </c>
      <c r="C35" s="18">
        <v>487255</v>
      </c>
      <c r="D35" s="18">
        <v>33</v>
      </c>
      <c r="E35" s="18">
        <f t="shared" si="1"/>
        <v>1</v>
      </c>
      <c r="F35" s="18">
        <f t="shared" si="2"/>
        <v>0</v>
      </c>
      <c r="G35" s="18">
        <f t="shared" si="3"/>
        <v>0</v>
      </c>
      <c r="H35" s="18">
        <f t="shared" si="4"/>
        <v>33</v>
      </c>
      <c r="I35" s="18">
        <f t="shared" si="5"/>
        <v>0</v>
      </c>
      <c r="J35" s="18">
        <f t="shared" si="6"/>
        <v>0</v>
      </c>
      <c r="K35" s="18">
        <f t="shared" si="7"/>
        <v>0</v>
      </c>
      <c r="L35" s="18">
        <f t="shared" si="8"/>
        <v>0</v>
      </c>
      <c r="M35" s="18">
        <f t="shared" si="9"/>
        <v>0</v>
      </c>
      <c r="N35" s="18">
        <f t="shared" si="10"/>
        <v>1089</v>
      </c>
      <c r="O35" s="18">
        <f t="shared" si="11"/>
        <v>1</v>
      </c>
      <c r="P35" s="18">
        <f t="shared" si="12"/>
        <v>0</v>
      </c>
      <c r="Q35" s="18">
        <f t="shared" si="13"/>
        <v>0</v>
      </c>
      <c r="R35" s="18">
        <f t="shared" si="14"/>
        <v>16079415</v>
      </c>
      <c r="S35" s="18">
        <f t="shared" si="15"/>
        <v>487255</v>
      </c>
      <c r="T35" s="18">
        <f t="shared" si="16"/>
        <v>0</v>
      </c>
      <c r="U35" s="18">
        <f t="shared" si="17"/>
        <v>0</v>
      </c>
      <c r="V35" s="18">
        <f t="shared" si="0"/>
        <v>620544.8751322754</v>
      </c>
      <c r="W35" s="32">
        <f t="shared" si="18"/>
        <v>237417435025</v>
      </c>
      <c r="X35" s="26">
        <f t="shared" si="19"/>
        <v>17766190812.777569</v>
      </c>
      <c r="Y35" s="27">
        <f>(V35-$C$40)^2</f>
        <v>385075942052.93127</v>
      </c>
      <c r="Z35" s="27">
        <f>(D35-$D$40)^2</f>
        <v>225</v>
      </c>
      <c r="AA35" s="26">
        <f t="shared" si="20"/>
        <v>595829.74427414511</v>
      </c>
      <c r="AB35" s="26">
        <f t="shared" si="21"/>
        <v>645260.00599040568</v>
      </c>
      <c r="AC35" s="26">
        <f t="shared" si="22"/>
        <v>529929.35671219032</v>
      </c>
      <c r="AD35" s="26">
        <f t="shared" si="23"/>
        <v>711160.39355236047</v>
      </c>
      <c r="AE35" s="26">
        <f>(E35-$E$40)^2</f>
        <v>0.57268078889700513</v>
      </c>
      <c r="AF35" s="26">
        <f t="shared" si="24"/>
        <v>591484.90938096447</v>
      </c>
      <c r="AG35" s="26">
        <f t="shared" si="25"/>
        <v>649604.84088358632</v>
      </c>
      <c r="AH35" s="26">
        <f t="shared" si="26"/>
        <v>528649.19463164662</v>
      </c>
      <c r="AI35" s="26">
        <f t="shared" si="27"/>
        <v>712440.55563290417</v>
      </c>
      <c r="AJ35" s="26">
        <f>(F35-$F$40)^2</f>
        <v>5.9167275383491605E-2</v>
      </c>
      <c r="AK35" s="26">
        <f t="shared" si="28"/>
        <v>604069.42317098472</v>
      </c>
      <c r="AL35" s="26">
        <f t="shared" si="29"/>
        <v>637020.32709356607</v>
      </c>
      <c r="AM35" s="26">
        <f t="shared" si="30"/>
        <v>531821.85104869795</v>
      </c>
      <c r="AN35" s="26">
        <f t="shared" si="31"/>
        <v>709267.89921585284</v>
      </c>
      <c r="AO35" s="26">
        <f>(G35-$G$40)^2</f>
        <v>5.9167275383491605E-2</v>
      </c>
      <c r="AP35" s="26">
        <f t="shared" si="32"/>
        <v>604069.42317098472</v>
      </c>
      <c r="AQ35" s="26">
        <f t="shared" si="33"/>
        <v>637020.32709356607</v>
      </c>
      <c r="AR35" s="26">
        <f t="shared" si="34"/>
        <v>531821.85104869795</v>
      </c>
      <c r="AS35" s="26">
        <f t="shared" si="35"/>
        <v>709267.89921585284</v>
      </c>
    </row>
    <row r="36" spans="1:45" x14ac:dyDescent="0.3">
      <c r="A36" s="18"/>
      <c r="B36" s="18">
        <v>3</v>
      </c>
      <c r="C36" s="18">
        <v>682926.33333333337</v>
      </c>
      <c r="D36" s="18">
        <v>34</v>
      </c>
      <c r="E36" s="18">
        <f t="shared" si="1"/>
        <v>0</v>
      </c>
      <c r="F36" s="18">
        <f t="shared" si="2"/>
        <v>1</v>
      </c>
      <c r="G36" s="18">
        <f t="shared" si="3"/>
        <v>0</v>
      </c>
      <c r="H36" s="18">
        <f t="shared" si="4"/>
        <v>0</v>
      </c>
      <c r="I36" s="18">
        <f t="shared" si="5"/>
        <v>34</v>
      </c>
      <c r="J36" s="18">
        <f t="shared" si="6"/>
        <v>0</v>
      </c>
      <c r="K36" s="18">
        <f t="shared" si="7"/>
        <v>0</v>
      </c>
      <c r="L36" s="18">
        <f t="shared" si="8"/>
        <v>0</v>
      </c>
      <c r="M36" s="18">
        <f t="shared" si="9"/>
        <v>0</v>
      </c>
      <c r="N36" s="18">
        <f t="shared" si="10"/>
        <v>1156</v>
      </c>
      <c r="O36" s="18">
        <f t="shared" si="11"/>
        <v>0</v>
      </c>
      <c r="P36" s="18">
        <f t="shared" si="12"/>
        <v>1</v>
      </c>
      <c r="Q36" s="18">
        <f t="shared" si="13"/>
        <v>0</v>
      </c>
      <c r="R36" s="18">
        <f t="shared" si="14"/>
        <v>23219495.333333336</v>
      </c>
      <c r="S36" s="18">
        <f t="shared" si="15"/>
        <v>0</v>
      </c>
      <c r="T36" s="18">
        <f t="shared" si="16"/>
        <v>682926.33333333337</v>
      </c>
      <c r="U36" s="18">
        <f t="shared" si="17"/>
        <v>0</v>
      </c>
      <c r="V36" s="18">
        <f t="shared" si="0"/>
        <v>635847.91216931259</v>
      </c>
      <c r="W36" s="32">
        <f t="shared" si="18"/>
        <v>466388376760.11115</v>
      </c>
      <c r="X36" s="26">
        <f t="shared" si="19"/>
        <v>2216377739.2969198</v>
      </c>
      <c r="Y36" s="27">
        <f>(V36-$C$40)^2</f>
        <v>404302567410.07385</v>
      </c>
      <c r="Z36" s="27">
        <f>(D36-$D$40)^2</f>
        <v>256</v>
      </c>
      <c r="AA36" s="26">
        <f t="shared" si="20"/>
        <v>610027.4550185526</v>
      </c>
      <c r="AB36" s="26">
        <f t="shared" si="21"/>
        <v>661668.36932007258</v>
      </c>
      <c r="AC36" s="26">
        <f t="shared" si="22"/>
        <v>544924.70010176348</v>
      </c>
      <c r="AD36" s="26">
        <f t="shared" si="23"/>
        <v>726771.12423686171</v>
      </c>
      <c r="AE36" s="26">
        <f>(E36-$E$40)^2</f>
        <v>5.9167275383491605E-2</v>
      </c>
      <c r="AF36" s="26">
        <f t="shared" si="24"/>
        <v>619372.46020802192</v>
      </c>
      <c r="AG36" s="26">
        <f t="shared" si="25"/>
        <v>652323.36413060327</v>
      </c>
      <c r="AH36" s="26">
        <f t="shared" si="26"/>
        <v>547124.88808573515</v>
      </c>
      <c r="AI36" s="26">
        <f t="shared" si="27"/>
        <v>724570.93625289004</v>
      </c>
      <c r="AJ36" s="26">
        <f>(F36-$F$40)^2</f>
        <v>0.57268078889700513</v>
      </c>
      <c r="AK36" s="26">
        <f t="shared" si="28"/>
        <v>606787.94641800167</v>
      </c>
      <c r="AL36" s="26">
        <f t="shared" si="29"/>
        <v>664907.87792062352</v>
      </c>
      <c r="AM36" s="26">
        <f t="shared" si="30"/>
        <v>543952.23166868382</v>
      </c>
      <c r="AN36" s="26">
        <f t="shared" si="31"/>
        <v>727743.59266994137</v>
      </c>
      <c r="AO36" s="26">
        <f>(G36-$G$40)^2</f>
        <v>5.9167275383491605E-2</v>
      </c>
      <c r="AP36" s="26">
        <f t="shared" si="32"/>
        <v>619372.46020802192</v>
      </c>
      <c r="AQ36" s="26">
        <f t="shared" si="33"/>
        <v>652323.36413060327</v>
      </c>
      <c r="AR36" s="26">
        <f t="shared" si="34"/>
        <v>547124.88808573515</v>
      </c>
      <c r="AS36" s="26">
        <f t="shared" si="35"/>
        <v>724570.93625289004</v>
      </c>
    </row>
    <row r="37" spans="1:45" x14ac:dyDescent="0.3">
      <c r="A37" s="18"/>
      <c r="B37" s="18">
        <v>4</v>
      </c>
      <c r="C37" s="18">
        <v>633168.33333333337</v>
      </c>
      <c r="D37" s="18">
        <v>35</v>
      </c>
      <c r="E37" s="18">
        <f t="shared" si="1"/>
        <v>0</v>
      </c>
      <c r="F37" s="18">
        <f t="shared" si="2"/>
        <v>0</v>
      </c>
      <c r="G37" s="18">
        <f t="shared" si="3"/>
        <v>1</v>
      </c>
      <c r="H37" s="18">
        <f t="shared" si="4"/>
        <v>0</v>
      </c>
      <c r="I37" s="18">
        <f t="shared" si="5"/>
        <v>0</v>
      </c>
      <c r="J37" s="18">
        <f t="shared" si="6"/>
        <v>35</v>
      </c>
      <c r="K37" s="18">
        <f t="shared" si="7"/>
        <v>0</v>
      </c>
      <c r="L37" s="18">
        <f t="shared" si="8"/>
        <v>0</v>
      </c>
      <c r="M37" s="18">
        <f t="shared" si="9"/>
        <v>0</v>
      </c>
      <c r="N37" s="18">
        <f t="shared" si="10"/>
        <v>1225</v>
      </c>
      <c r="O37" s="18">
        <f t="shared" si="11"/>
        <v>0</v>
      </c>
      <c r="P37" s="18">
        <f t="shared" si="12"/>
        <v>0</v>
      </c>
      <c r="Q37" s="18">
        <f t="shared" si="13"/>
        <v>1</v>
      </c>
      <c r="R37" s="18">
        <f t="shared" si="14"/>
        <v>22160891.666666668</v>
      </c>
      <c r="S37" s="18">
        <f t="shared" si="15"/>
        <v>0</v>
      </c>
      <c r="T37" s="18">
        <f t="shared" si="16"/>
        <v>0</v>
      </c>
      <c r="U37" s="18">
        <f t="shared" si="17"/>
        <v>633168.33333333337</v>
      </c>
      <c r="V37" s="18">
        <f t="shared" si="0"/>
        <v>554500.68994709046</v>
      </c>
      <c r="W37" s="32">
        <f t="shared" si="18"/>
        <v>400902138336.11115</v>
      </c>
      <c r="X37" s="26">
        <f t="shared" si="19"/>
        <v>6188598115.9450884</v>
      </c>
      <c r="Y37" s="27">
        <f>(V37-$C$40)^2</f>
        <v>307471015151.79938</v>
      </c>
      <c r="Z37" s="27">
        <f>(D37-$D$40)^2</f>
        <v>289</v>
      </c>
      <c r="AA37" s="26">
        <f t="shared" si="20"/>
        <v>527553.36941579217</v>
      </c>
      <c r="AB37" s="26">
        <f t="shared" si="21"/>
        <v>581448.01047838875</v>
      </c>
      <c r="AC37" s="26">
        <f t="shared" si="22"/>
        <v>463251.07313133171</v>
      </c>
      <c r="AD37" s="26">
        <f t="shared" si="23"/>
        <v>645750.30676284921</v>
      </c>
      <c r="AE37" s="26">
        <f>(E37-$E$40)^2</f>
        <v>5.9167275383491605E-2</v>
      </c>
      <c r="AF37" s="26">
        <f t="shared" si="24"/>
        <v>538025.23798579979</v>
      </c>
      <c r="AG37" s="26">
        <f t="shared" si="25"/>
        <v>570976.14190838113</v>
      </c>
      <c r="AH37" s="26">
        <f t="shared" si="26"/>
        <v>465777.66586351296</v>
      </c>
      <c r="AI37" s="26">
        <f t="shared" si="27"/>
        <v>643223.71403066791</v>
      </c>
      <c r="AJ37" s="26">
        <f>(F37-$F$40)^2</f>
        <v>5.9167275383491605E-2</v>
      </c>
      <c r="AK37" s="26">
        <f t="shared" si="28"/>
        <v>538025.23798579979</v>
      </c>
      <c r="AL37" s="26">
        <f t="shared" si="29"/>
        <v>570976.14190838113</v>
      </c>
      <c r="AM37" s="26">
        <f t="shared" si="30"/>
        <v>465777.66586351296</v>
      </c>
      <c r="AN37" s="26">
        <f t="shared" si="31"/>
        <v>643223.71403066791</v>
      </c>
      <c r="AO37" s="26">
        <f>(G37-$G$40)^2</f>
        <v>0.57268078889700513</v>
      </c>
      <c r="AP37" s="26">
        <f t="shared" si="32"/>
        <v>525440.72419577953</v>
      </c>
      <c r="AQ37" s="26">
        <f t="shared" si="33"/>
        <v>583560.65569840139</v>
      </c>
      <c r="AR37" s="26">
        <f t="shared" si="34"/>
        <v>462605.00944646169</v>
      </c>
      <c r="AS37" s="26">
        <f t="shared" si="35"/>
        <v>646396.37044771924</v>
      </c>
    </row>
    <row r="38" spans="1:45" x14ac:dyDescent="0.3">
      <c r="A38" s="18">
        <v>2021</v>
      </c>
      <c r="B38" s="18">
        <v>1</v>
      </c>
      <c r="C38" s="18">
        <v>483723</v>
      </c>
      <c r="D38" s="18">
        <v>36</v>
      </c>
      <c r="E38" s="18">
        <f t="shared" si="1"/>
        <v>0</v>
      </c>
      <c r="F38" s="18">
        <f t="shared" si="2"/>
        <v>0</v>
      </c>
      <c r="G38" s="18">
        <f t="shared" si="3"/>
        <v>0</v>
      </c>
      <c r="H38" s="18">
        <f t="shared" si="4"/>
        <v>0</v>
      </c>
      <c r="I38" s="18">
        <f t="shared" si="5"/>
        <v>0</v>
      </c>
      <c r="J38" s="18">
        <f t="shared" si="6"/>
        <v>0</v>
      </c>
      <c r="K38" s="18">
        <f t="shared" si="7"/>
        <v>0</v>
      </c>
      <c r="L38" s="18">
        <f t="shared" si="8"/>
        <v>0</v>
      </c>
      <c r="M38" s="18">
        <f t="shared" si="9"/>
        <v>0</v>
      </c>
      <c r="N38" s="18">
        <f t="shared" si="10"/>
        <v>1296</v>
      </c>
      <c r="O38" s="18">
        <f t="shared" si="11"/>
        <v>0</v>
      </c>
      <c r="P38" s="18">
        <f t="shared" si="12"/>
        <v>0</v>
      </c>
      <c r="Q38" s="18">
        <f t="shared" si="13"/>
        <v>0</v>
      </c>
      <c r="R38" s="18">
        <f t="shared" si="14"/>
        <v>17414028</v>
      </c>
      <c r="S38" s="18">
        <f t="shared" si="15"/>
        <v>0</v>
      </c>
      <c r="T38" s="18">
        <f t="shared" si="16"/>
        <v>0</v>
      </c>
      <c r="U38" s="18">
        <f t="shared" si="17"/>
        <v>0</v>
      </c>
      <c r="V38" s="18">
        <f t="shared" si="0"/>
        <v>476671.00952380977</v>
      </c>
      <c r="W38" s="32">
        <f t="shared" si="18"/>
        <v>233987940729</v>
      </c>
      <c r="X38" s="26">
        <f t="shared" si="19"/>
        <v>49730569.67627769</v>
      </c>
      <c r="Y38" s="27">
        <f>(V38-$C$40)^2</f>
        <v>227215251320.44794</v>
      </c>
      <c r="Z38" s="27">
        <f>(D38-$D$40)^2</f>
        <v>324</v>
      </c>
      <c r="AA38" s="26">
        <f t="shared" si="20"/>
        <v>448577.88007261849</v>
      </c>
      <c r="AB38" s="26">
        <f t="shared" si="21"/>
        <v>504764.13897500106</v>
      </c>
      <c r="AC38" s="26">
        <f t="shared" si="22"/>
        <v>385076.47689457657</v>
      </c>
      <c r="AD38" s="26">
        <f t="shared" si="23"/>
        <v>568265.54215304297</v>
      </c>
      <c r="AE38" s="26">
        <f>(E38-$E$40)^2</f>
        <v>5.9167275383491605E-2</v>
      </c>
      <c r="AF38" s="26">
        <f t="shared" si="24"/>
        <v>460195.55756251916</v>
      </c>
      <c r="AG38" s="26">
        <f t="shared" si="25"/>
        <v>493146.46148510039</v>
      </c>
      <c r="AH38" s="26">
        <f t="shared" si="26"/>
        <v>387947.98544023227</v>
      </c>
      <c r="AI38" s="26">
        <f t="shared" si="27"/>
        <v>565394.03360738722</v>
      </c>
      <c r="AJ38" s="26">
        <f>(F38-$F$40)^2</f>
        <v>5.9167275383491605E-2</v>
      </c>
      <c r="AK38" s="26">
        <f t="shared" si="28"/>
        <v>460195.55756251916</v>
      </c>
      <c r="AL38" s="26">
        <f t="shared" si="29"/>
        <v>493146.46148510039</v>
      </c>
      <c r="AM38" s="26">
        <f t="shared" si="30"/>
        <v>387947.98544023227</v>
      </c>
      <c r="AN38" s="26">
        <f t="shared" si="31"/>
        <v>565394.03360738722</v>
      </c>
      <c r="AO38" s="26">
        <f>(G38-$G$40)^2</f>
        <v>5.9167275383491605E-2</v>
      </c>
      <c r="AP38" s="26">
        <f t="shared" si="32"/>
        <v>460195.55756251916</v>
      </c>
      <c r="AQ38" s="26">
        <f t="shared" si="33"/>
        <v>493146.46148510039</v>
      </c>
      <c r="AR38" s="26">
        <f t="shared" si="34"/>
        <v>387947.98544023227</v>
      </c>
      <c r="AS38" s="26">
        <f t="shared" si="35"/>
        <v>565394.03360738722</v>
      </c>
    </row>
    <row r="39" spans="1:45" x14ac:dyDescent="0.3">
      <c r="A39" s="18"/>
      <c r="B39" s="29" t="s">
        <v>140</v>
      </c>
      <c r="C39" s="29">
        <f>SUM(C2:C38)</f>
        <v>18374154.833333332</v>
      </c>
      <c r="D39" s="29">
        <f t="shared" ref="D39:Q39" si="36">SUM(D2:D38)</f>
        <v>666</v>
      </c>
      <c r="E39" s="29">
        <f t="shared" si="36"/>
        <v>9</v>
      </c>
      <c r="F39" s="29">
        <f t="shared" si="36"/>
        <v>9</v>
      </c>
      <c r="G39" s="29">
        <f t="shared" si="36"/>
        <v>9</v>
      </c>
      <c r="H39" s="29">
        <f t="shared" si="36"/>
        <v>153</v>
      </c>
      <c r="I39" s="29">
        <f t="shared" si="36"/>
        <v>162</v>
      </c>
      <c r="J39" s="29">
        <f t="shared" si="36"/>
        <v>171</v>
      </c>
      <c r="K39" s="29">
        <f t="shared" si="36"/>
        <v>0</v>
      </c>
      <c r="L39" s="29">
        <f t="shared" si="36"/>
        <v>0</v>
      </c>
      <c r="M39" s="29">
        <f t="shared" si="36"/>
        <v>0</v>
      </c>
      <c r="N39" s="29">
        <f t="shared" si="36"/>
        <v>16206</v>
      </c>
      <c r="O39" s="29">
        <f t="shared" si="36"/>
        <v>9</v>
      </c>
      <c r="P39" s="29">
        <f t="shared" si="36"/>
        <v>9</v>
      </c>
      <c r="Q39" s="29">
        <f t="shared" si="36"/>
        <v>9</v>
      </c>
      <c r="R39" s="30">
        <f t="shared" ref="R39" si="37">SUM(R2:R38)</f>
        <v>348605267.66666669</v>
      </c>
      <c r="S39" s="30">
        <f t="shared" ref="S39" si="38">SUM(S2:S38)</f>
        <v>4951822.333333333</v>
      </c>
      <c r="T39" s="30">
        <f t="shared" ref="T39" si="39">SUM(T2:T38)</f>
        <v>5089549.666666667</v>
      </c>
      <c r="U39" s="30">
        <f t="shared" ref="U39" si="40">SUM(U2:U38)</f>
        <v>4357424.666666666</v>
      </c>
      <c r="V39" s="18"/>
      <c r="X39" s="25">
        <f>SUM(X2:X38)</f>
        <v>44342511642.728058</v>
      </c>
      <c r="Z39" s="35">
        <f>SUM(Z2:Z38)</f>
        <v>4218</v>
      </c>
      <c r="AE39" s="25">
        <f>SUM(AE2:AE38)</f>
        <v>6.8108108108108114</v>
      </c>
      <c r="AJ39" s="25">
        <f>SUM(AJ2:AJ38)</f>
        <v>6.8108108108108105</v>
      </c>
      <c r="AO39" s="25">
        <f>SUM(AO2:AO38)</f>
        <v>6.8108108108108114</v>
      </c>
    </row>
    <row r="40" spans="1:45" x14ac:dyDescent="0.3">
      <c r="A40" s="18"/>
      <c r="B40" s="29" t="s">
        <v>141</v>
      </c>
      <c r="C40" s="18"/>
      <c r="D40" s="29">
        <f>AVERAGE(D2:D38)</f>
        <v>18</v>
      </c>
      <c r="E40" s="29">
        <f t="shared" ref="E40:G40" si="41">AVERAGE(E2:E38)</f>
        <v>0.24324324324324326</v>
      </c>
      <c r="F40" s="29">
        <f t="shared" si="41"/>
        <v>0.24324324324324326</v>
      </c>
      <c r="G40" s="29">
        <f t="shared" si="41"/>
        <v>0.24324324324324326</v>
      </c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</row>
    <row r="41" spans="1:45" x14ac:dyDescent="0.3">
      <c r="B41" s="7" t="s">
        <v>64</v>
      </c>
      <c r="C41" s="8">
        <v>37</v>
      </c>
      <c r="D41" s="8">
        <v>666</v>
      </c>
      <c r="E41" s="8">
        <v>9</v>
      </c>
      <c r="F41" s="8">
        <v>9</v>
      </c>
      <c r="G41" s="9">
        <v>9</v>
      </c>
      <c r="H41" s="7" t="s">
        <v>66</v>
      </c>
      <c r="I41" s="8">
        <f t="array" ref="I41:M45">MINVERSE(C41:G45)</f>
        <v>0.17714285714285719</v>
      </c>
      <c r="J41" s="8">
        <v>-4.2857142857142877E-3</v>
      </c>
      <c r="K41" s="8">
        <v>-0.10428571428571427</v>
      </c>
      <c r="L41" s="8">
        <v>-0.10000000000000002</v>
      </c>
      <c r="M41" s="9">
        <v>-9.571428571428571E-2</v>
      </c>
      <c r="N41" s="7" t="s">
        <v>65</v>
      </c>
      <c r="O41" s="9">
        <f>C39</f>
        <v>18374154.833333332</v>
      </c>
      <c r="P41" s="28" t="s">
        <v>129</v>
      </c>
      <c r="Q41" s="28">
        <f t="array" ref="Q41:Q45">MMULT(I41:M45,O41:O45)</f>
        <v>318400.62380952365</v>
      </c>
      <c r="R41" s="2"/>
    </row>
    <row r="42" spans="1:45" x14ac:dyDescent="0.3">
      <c r="B42" s="7"/>
      <c r="C42" s="8">
        <v>666</v>
      </c>
      <c r="D42" s="8">
        <f>N39</f>
        <v>16206</v>
      </c>
      <c r="E42" s="8">
        <v>153</v>
      </c>
      <c r="F42" s="8">
        <v>162</v>
      </c>
      <c r="G42" s="9">
        <v>171</v>
      </c>
      <c r="H42" s="7"/>
      <c r="I42" s="8">
        <v>-4.2857142857142868E-3</v>
      </c>
      <c r="J42" s="8">
        <v>2.3809523809523815E-4</v>
      </c>
      <c r="K42" s="8">
        <v>2.3809523809523815E-4</v>
      </c>
      <c r="L42" s="8">
        <v>2.9611211538722178E-20</v>
      </c>
      <c r="M42" s="9">
        <v>-2.380952380952382E-4</v>
      </c>
      <c r="N42" s="7"/>
      <c r="O42" s="9">
        <f>R39</f>
        <v>348605267.66666669</v>
      </c>
      <c r="P42" s="13" t="s">
        <v>130</v>
      </c>
      <c r="Q42" s="13">
        <v>4396.3996031746137</v>
      </c>
      <c r="R42" s="2" t="s">
        <v>168</v>
      </c>
      <c r="S42">
        <f>X39/32</f>
        <v>1385703488.8352518</v>
      </c>
    </row>
    <row r="43" spans="1:45" x14ac:dyDescent="0.3">
      <c r="B43" s="7"/>
      <c r="C43" s="8">
        <v>9</v>
      </c>
      <c r="D43" s="8">
        <f>H39</f>
        <v>153</v>
      </c>
      <c r="E43" s="8">
        <v>9</v>
      </c>
      <c r="F43" s="8">
        <v>0</v>
      </c>
      <c r="G43" s="9">
        <v>0</v>
      </c>
      <c r="H43" s="7"/>
      <c r="I43" s="8">
        <v>-0.10428571428571431</v>
      </c>
      <c r="J43" s="8">
        <v>2.3809523809523972E-4</v>
      </c>
      <c r="K43" s="8">
        <v>0.21134920634920634</v>
      </c>
      <c r="L43" s="8">
        <v>0.10000000000000002</v>
      </c>
      <c r="M43" s="9">
        <v>9.9761904761904746E-2</v>
      </c>
      <c r="N43" s="7"/>
      <c r="O43" s="9">
        <f>S39</f>
        <v>4951822.333333333</v>
      </c>
      <c r="P43" s="13" t="s">
        <v>131</v>
      </c>
      <c r="Q43" s="13">
        <v>157063.06441798946</v>
      </c>
      <c r="R43" s="2" t="s">
        <v>169</v>
      </c>
      <c r="S43">
        <f>SQRT(S42)</f>
        <v>37225.038466538244</v>
      </c>
    </row>
    <row r="44" spans="1:45" x14ac:dyDescent="0.3">
      <c r="B44" s="7"/>
      <c r="C44" s="8">
        <v>9</v>
      </c>
      <c r="D44" s="8">
        <f>I39</f>
        <v>162</v>
      </c>
      <c r="E44" s="8">
        <v>0</v>
      </c>
      <c r="F44" s="8">
        <f>P39</f>
        <v>9</v>
      </c>
      <c r="G44" s="9">
        <v>0</v>
      </c>
      <c r="H44" s="7"/>
      <c r="I44" s="8">
        <v>-0.10000000000000003</v>
      </c>
      <c r="J44" s="8">
        <v>1.2075986475561875E-18</v>
      </c>
      <c r="K44" s="8">
        <v>9.9999999999999992E-2</v>
      </c>
      <c r="L44" s="8">
        <v>0.21111111111111114</v>
      </c>
      <c r="M44" s="9">
        <v>0.1</v>
      </c>
      <c r="N44" s="7"/>
      <c r="O44" s="9">
        <f>T39</f>
        <v>5089549.666666667</v>
      </c>
      <c r="P44" s="13" t="s">
        <v>132</v>
      </c>
      <c r="Q44" s="13">
        <v>167969.70185185206</v>
      </c>
      <c r="R44" s="2"/>
    </row>
    <row r="45" spans="1:45" x14ac:dyDescent="0.3">
      <c r="B45" s="10"/>
      <c r="C45" s="11">
        <v>9</v>
      </c>
      <c r="D45" s="11">
        <f>J39</f>
        <v>171</v>
      </c>
      <c r="E45" s="11">
        <v>0</v>
      </c>
      <c r="F45" s="11">
        <v>0</v>
      </c>
      <c r="G45" s="12">
        <f>Q39</f>
        <v>9</v>
      </c>
      <c r="H45" s="10"/>
      <c r="I45" s="11">
        <v>-9.5714285714285738E-2</v>
      </c>
      <c r="J45" s="11">
        <v>-2.3809523809523671E-4</v>
      </c>
      <c r="K45" s="11">
        <v>9.976190476190476E-2</v>
      </c>
      <c r="L45" s="11">
        <v>0.1</v>
      </c>
      <c r="M45" s="12">
        <v>0.21134920634920634</v>
      </c>
      <c r="N45" s="10"/>
      <c r="O45" s="12">
        <f>U39</f>
        <v>4357424.666666666</v>
      </c>
      <c r="P45" s="13" t="s">
        <v>133</v>
      </c>
      <c r="Q45" s="13">
        <v>82226.08002645534</v>
      </c>
      <c r="R45" s="2"/>
    </row>
    <row r="47" spans="1:45" x14ac:dyDescent="0.3">
      <c r="B47" t="s">
        <v>100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</row>
    <row r="48" spans="1:45" x14ac:dyDescent="0.3">
      <c r="C48">
        <f t="array" ref="C48:AM51">TRANSPOSE(D2:G38)</f>
        <v>0</v>
      </c>
      <c r="D48">
        <v>1</v>
      </c>
      <c r="E48">
        <v>2</v>
      </c>
      <c r="F48">
        <v>3</v>
      </c>
      <c r="G48">
        <v>4</v>
      </c>
      <c r="H48">
        <v>5</v>
      </c>
      <c r="I48">
        <v>6</v>
      </c>
      <c r="J48">
        <v>7</v>
      </c>
      <c r="K48">
        <v>8</v>
      </c>
      <c r="L48">
        <v>9</v>
      </c>
      <c r="M48">
        <v>10</v>
      </c>
      <c r="N48">
        <v>11</v>
      </c>
      <c r="O48">
        <v>12</v>
      </c>
      <c r="P48">
        <v>13</v>
      </c>
      <c r="Q48">
        <v>14</v>
      </c>
      <c r="R48">
        <v>15</v>
      </c>
      <c r="S48">
        <v>16</v>
      </c>
      <c r="T48">
        <v>17</v>
      </c>
      <c r="U48">
        <v>18</v>
      </c>
      <c r="V48">
        <v>19</v>
      </c>
      <c r="W48">
        <v>20</v>
      </c>
      <c r="X48">
        <v>21</v>
      </c>
      <c r="Y48">
        <v>22</v>
      </c>
      <c r="Z48">
        <v>23</v>
      </c>
      <c r="AA48">
        <v>24</v>
      </c>
      <c r="AB48">
        <v>25</v>
      </c>
      <c r="AC48">
        <v>26</v>
      </c>
      <c r="AD48">
        <v>27</v>
      </c>
      <c r="AE48">
        <v>28</v>
      </c>
      <c r="AF48">
        <v>29</v>
      </c>
      <c r="AG48">
        <v>30</v>
      </c>
      <c r="AH48">
        <v>31</v>
      </c>
      <c r="AI48">
        <v>32</v>
      </c>
      <c r="AJ48">
        <v>33</v>
      </c>
      <c r="AK48">
        <v>34</v>
      </c>
      <c r="AL48">
        <v>35</v>
      </c>
      <c r="AM48">
        <v>36</v>
      </c>
    </row>
    <row r="49" spans="2:39" x14ac:dyDescent="0.3">
      <c r="C49">
        <v>0</v>
      </c>
      <c r="D49">
        <v>1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1</v>
      </c>
      <c r="AK49">
        <v>0</v>
      </c>
      <c r="AL49">
        <v>0</v>
      </c>
      <c r="AM49">
        <v>0</v>
      </c>
    </row>
    <row r="50" spans="2:39" x14ac:dyDescent="0.3"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1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0</v>
      </c>
    </row>
    <row r="51" spans="2:39" x14ac:dyDescent="0.3"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0</v>
      </c>
      <c r="V51">
        <v>1</v>
      </c>
      <c r="W51">
        <v>0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1</v>
      </c>
      <c r="AM51">
        <v>0</v>
      </c>
    </row>
    <row r="54" spans="2:39" x14ac:dyDescent="0.3">
      <c r="B54" t="s">
        <v>101</v>
      </c>
      <c r="C54">
        <f t="array" ref="C54:C58">MMULT(C47:AM51,C2:C38)</f>
        <v>18374154.833333332</v>
      </c>
    </row>
    <row r="55" spans="2:39" x14ac:dyDescent="0.3">
      <c r="C55">
        <v>348605267.66666669</v>
      </c>
    </row>
    <row r="56" spans="2:39" x14ac:dyDescent="0.3">
      <c r="C56">
        <v>4951822.333333333</v>
      </c>
    </row>
    <row r="57" spans="2:39" x14ac:dyDescent="0.3">
      <c r="C57">
        <v>5089549.666666667</v>
      </c>
    </row>
    <row r="58" spans="2:39" x14ac:dyDescent="0.3">
      <c r="C58">
        <v>4357424.666666666</v>
      </c>
    </row>
    <row r="60" spans="2:39" x14ac:dyDescent="0.3">
      <c r="B60" t="s">
        <v>102</v>
      </c>
      <c r="C60">
        <f t="array" ref="C60:F64">MMULT(C47:AM51,TRANSPOSE(C47:AM51))</f>
        <v>37</v>
      </c>
      <c r="D60">
        <v>666</v>
      </c>
      <c r="E60">
        <v>9</v>
      </c>
      <c r="F60">
        <v>9</v>
      </c>
    </row>
    <row r="61" spans="2:39" x14ac:dyDescent="0.3">
      <c r="C61">
        <v>666</v>
      </c>
      <c r="D61">
        <v>16206</v>
      </c>
      <c r="E61">
        <v>153</v>
      </c>
      <c r="F61">
        <v>162</v>
      </c>
    </row>
    <row r="62" spans="2:39" x14ac:dyDescent="0.3">
      <c r="C62">
        <v>9</v>
      </c>
      <c r="D62">
        <v>153</v>
      </c>
      <c r="E62">
        <v>9</v>
      </c>
      <c r="F62">
        <v>0</v>
      </c>
    </row>
    <row r="63" spans="2:39" x14ac:dyDescent="0.3">
      <c r="C63">
        <v>9</v>
      </c>
      <c r="D63">
        <v>162</v>
      </c>
      <c r="E63">
        <v>0</v>
      </c>
      <c r="F63">
        <v>9</v>
      </c>
    </row>
    <row r="64" spans="2:39" x14ac:dyDescent="0.3">
      <c r="C64">
        <v>9</v>
      </c>
      <c r="D64">
        <v>171</v>
      </c>
      <c r="E64">
        <v>0</v>
      </c>
      <c r="F64">
        <v>0</v>
      </c>
    </row>
    <row r="65" spans="2:7" x14ac:dyDescent="0.3">
      <c r="B65" s="34" t="s">
        <v>115</v>
      </c>
      <c r="C65" s="34"/>
    </row>
    <row r="66" spans="2:7" x14ac:dyDescent="0.3">
      <c r="B66" s="18" t="s">
        <v>103</v>
      </c>
      <c r="C66" s="18">
        <f>C39/37</f>
        <v>496598.77927927923</v>
      </c>
    </row>
    <row r="67" spans="2:7" x14ac:dyDescent="0.3">
      <c r="B67" s="18" t="s">
        <v>104</v>
      </c>
      <c r="C67" s="22">
        <f t="array" ref="C67">MMULT(TRANSPOSE(C2:C38),C2:C38)</f>
        <v>9418225412530.6934</v>
      </c>
    </row>
    <row r="68" spans="2:7" x14ac:dyDescent="0.3">
      <c r="B68" s="18" t="s">
        <v>105</v>
      </c>
      <c r="C68" s="22">
        <f t="array" ref="C68">MMULT(TRANSPOSE(Q41:Q45),C54:C58)</f>
        <v>9373882900887.9707</v>
      </c>
    </row>
    <row r="69" spans="2:7" x14ac:dyDescent="0.3">
      <c r="B69" s="18" t="s">
        <v>106</v>
      </c>
      <c r="C69" s="22">
        <f>(C67 - (37*C66*C66))</f>
        <v>293642552008.89258</v>
      </c>
    </row>
    <row r="70" spans="2:7" x14ac:dyDescent="0.3">
      <c r="B70" s="18" t="s">
        <v>107</v>
      </c>
      <c r="C70" s="22">
        <f>(C68 - (37*C66*C66))</f>
        <v>249300040366.16992</v>
      </c>
    </row>
    <row r="71" spans="2:7" x14ac:dyDescent="0.3">
      <c r="B71" s="18" t="s">
        <v>108</v>
      </c>
      <c r="C71" s="22">
        <f>(C69-C70)</f>
        <v>44342511642.722656</v>
      </c>
    </row>
    <row r="72" spans="2:7" x14ac:dyDescent="0.3">
      <c r="B72" s="18" t="s">
        <v>109</v>
      </c>
      <c r="C72" s="18">
        <f>C70/4</f>
        <v>62325010091.54248</v>
      </c>
    </row>
    <row r="73" spans="2:7" x14ac:dyDescent="0.3">
      <c r="B73" s="18" t="s">
        <v>110</v>
      </c>
      <c r="C73" s="18">
        <f>C71/32</f>
        <v>1385703488.835083</v>
      </c>
    </row>
    <row r="74" spans="2:7" x14ac:dyDescent="0.3">
      <c r="B74" s="18" t="s">
        <v>111</v>
      </c>
      <c r="C74" s="18">
        <f>C72/C73</f>
        <v>44.977161848626892</v>
      </c>
    </row>
    <row r="75" spans="2:7" x14ac:dyDescent="0.3">
      <c r="B75" s="18" t="s">
        <v>112</v>
      </c>
      <c r="C75" s="18">
        <f>FDIST(C74,4,32)</f>
        <v>1.0663343612821372E-12</v>
      </c>
    </row>
    <row r="76" spans="2:7" x14ac:dyDescent="0.3">
      <c r="B76" s="18" t="s">
        <v>113</v>
      </c>
      <c r="C76" s="18">
        <f>(1 - (C71/C69))</f>
        <v>0.8489915329390687</v>
      </c>
    </row>
    <row r="77" spans="2:7" x14ac:dyDescent="0.3">
      <c r="B77" s="18" t="s">
        <v>114</v>
      </c>
      <c r="C77" s="18">
        <f>(1 - ((C71/32)/(C69/36)))</f>
        <v>0.83011547455645229</v>
      </c>
    </row>
    <row r="78" spans="2:7" x14ac:dyDescent="0.3">
      <c r="B78" s="8"/>
      <c r="C78" s="8"/>
    </row>
    <row r="79" spans="2:7" x14ac:dyDescent="0.3">
      <c r="B79" s="23" t="s">
        <v>116</v>
      </c>
      <c r="C79" s="24">
        <f t="array" ref="C79:G83">C73*(I41:M45)</f>
        <v>245467475.1650719</v>
      </c>
      <c r="D79">
        <v>-5938729.2378646443</v>
      </c>
      <c r="E79">
        <v>-144509078.12137294</v>
      </c>
      <c r="F79">
        <v>-138570348.88350832</v>
      </c>
      <c r="G79">
        <v>-132631619.64564365</v>
      </c>
    </row>
    <row r="80" spans="2:7" x14ac:dyDescent="0.3">
      <c r="C80">
        <v>-5938729.2378646433</v>
      </c>
      <c r="D80" s="24">
        <v>329929.40210359124</v>
      </c>
      <c r="E80">
        <v>329929.40210359124</v>
      </c>
      <c r="F80">
        <v>4.1032359137840987E-11</v>
      </c>
      <c r="G80">
        <v>-329929.40210359136</v>
      </c>
    </row>
    <row r="81" spans="2:7" x14ac:dyDescent="0.3">
      <c r="C81">
        <v>-144509078.12137297</v>
      </c>
      <c r="D81">
        <v>329929.40210359346</v>
      </c>
      <c r="E81" s="24">
        <v>292867332.6006211</v>
      </c>
      <c r="F81">
        <v>138570348.88350832</v>
      </c>
      <c r="G81">
        <v>138240419.48140469</v>
      </c>
    </row>
    <row r="82" spans="2:7" x14ac:dyDescent="0.3">
      <c r="C82">
        <v>-138570348.88350835</v>
      </c>
      <c r="D82">
        <v>1.6733736590311369E-9</v>
      </c>
      <c r="E82">
        <v>138570348.88350829</v>
      </c>
      <c r="F82" s="24">
        <v>292537403.19851756</v>
      </c>
      <c r="G82">
        <v>138570348.88350829</v>
      </c>
    </row>
    <row r="83" spans="2:7" x14ac:dyDescent="0.3">
      <c r="C83">
        <v>-132631619.6456437</v>
      </c>
      <c r="D83">
        <v>-329929.40210358927</v>
      </c>
      <c r="E83">
        <v>138240419.48140472</v>
      </c>
      <c r="F83">
        <v>138570348.88350829</v>
      </c>
      <c r="G83" s="24">
        <v>292867332.6006211</v>
      </c>
    </row>
    <row r="85" spans="2:7" x14ac:dyDescent="0.3">
      <c r="B85" t="s">
        <v>117</v>
      </c>
      <c r="C85">
        <f>SQRT(C79)</f>
        <v>15667.401672423923</v>
      </c>
    </row>
    <row r="86" spans="2:7" x14ac:dyDescent="0.3">
      <c r="B86" t="s">
        <v>118</v>
      </c>
      <c r="C86">
        <f>SQRT(D80)</f>
        <v>574.39481378542337</v>
      </c>
    </row>
    <row r="87" spans="2:7" x14ac:dyDescent="0.3">
      <c r="B87" t="s">
        <v>119</v>
      </c>
      <c r="C87">
        <f>SQRT(E81)</f>
        <v>17113.367073741541</v>
      </c>
    </row>
    <row r="88" spans="2:7" x14ac:dyDescent="0.3">
      <c r="B88" t="s">
        <v>120</v>
      </c>
      <c r="C88">
        <f>SQRT(F82)</f>
        <v>17103.724834038858</v>
      </c>
    </row>
    <row r="89" spans="2:7" x14ac:dyDescent="0.3">
      <c r="B89" t="s">
        <v>121</v>
      </c>
      <c r="C89">
        <f>SQRT(G83)</f>
        <v>17113.367073741541</v>
      </c>
    </row>
    <row r="90" spans="2:7" x14ac:dyDescent="0.3">
      <c r="B90" s="18"/>
      <c r="C90" s="18"/>
      <c r="D90" s="29" t="s">
        <v>112</v>
      </c>
      <c r="E90" s="29" t="s">
        <v>127</v>
      </c>
      <c r="F90" s="29" t="s">
        <v>128</v>
      </c>
    </row>
    <row r="91" spans="2:7" x14ac:dyDescent="0.3">
      <c r="B91" s="18" t="s">
        <v>122</v>
      </c>
      <c r="C91" s="18">
        <f>(Q41/C85)</f>
        <v>20.322490637993806</v>
      </c>
      <c r="D91" s="18">
        <f>TDIST(C91,32,2)</f>
        <v>7.4092784779517947E-20</v>
      </c>
      <c r="E91" s="18">
        <f>(Q41 - (TINV(0.05,32)*C85))</f>
        <v>286487.17093758081</v>
      </c>
      <c r="F91" s="18">
        <f>(Q41 + (TINV(0.05,32)*C85))</f>
        <v>350314.07668146648</v>
      </c>
    </row>
    <row r="92" spans="2:7" x14ac:dyDescent="0.3">
      <c r="B92" s="18" t="s">
        <v>123</v>
      </c>
      <c r="C92" s="18">
        <f t="shared" ref="C92:C95" si="42">(Q42/C86)</f>
        <v>7.6539681377014945</v>
      </c>
      <c r="D92" s="18">
        <f t="shared" ref="D92:D95" si="43">TDIST(C92,32,2)</f>
        <v>1.0081206026352008E-8</v>
      </c>
      <c r="E92" s="18">
        <f t="shared" ref="E92:E95" si="44">(Q42 - (TINV(0.05,32)*C86))</f>
        <v>3226.395654664529</v>
      </c>
      <c r="F92" s="18">
        <f t="shared" ref="F92:F95" si="45">(Q42 + (TINV(0.05,32)*C86))</f>
        <v>5566.403551684698</v>
      </c>
    </row>
    <row r="93" spans="2:7" x14ac:dyDescent="0.3">
      <c r="B93" s="18" t="s">
        <v>124</v>
      </c>
      <c r="C93" s="18">
        <f t="shared" si="42"/>
        <v>9.1778002389129103</v>
      </c>
      <c r="D93" s="18">
        <f t="shared" si="43"/>
        <v>1.7715455808174257E-10</v>
      </c>
      <c r="E93" s="18">
        <f t="shared" si="44"/>
        <v>122204.27640661309</v>
      </c>
      <c r="F93" s="18">
        <f t="shared" si="45"/>
        <v>191921.85242936583</v>
      </c>
    </row>
    <row r="94" spans="2:7" x14ac:dyDescent="0.3">
      <c r="B94" s="18" t="s">
        <v>125</v>
      </c>
      <c r="C94" s="18">
        <f t="shared" si="42"/>
        <v>9.8206503835683989</v>
      </c>
      <c r="D94" s="18">
        <f t="shared" si="43"/>
        <v>3.5233908529136838E-11</v>
      </c>
      <c r="E94" s="18">
        <f t="shared" si="44"/>
        <v>133130.55444003173</v>
      </c>
      <c r="F94" s="18">
        <f t="shared" si="45"/>
        <v>202808.8492636724</v>
      </c>
    </row>
    <row r="95" spans="2:7" x14ac:dyDescent="0.3">
      <c r="B95" s="18" t="s">
        <v>126</v>
      </c>
      <c r="C95" s="18">
        <f t="shared" si="42"/>
        <v>4.8047867887215272</v>
      </c>
      <c r="D95" s="18">
        <f t="shared" si="43"/>
        <v>3.5018558020574446E-5</v>
      </c>
      <c r="E95" s="18">
        <f t="shared" si="44"/>
        <v>47367.292015078972</v>
      </c>
      <c r="F95" s="18">
        <f t="shared" si="45"/>
        <v>117084.86803783171</v>
      </c>
    </row>
  </sheetData>
  <mergeCells count="1">
    <mergeCell ref="B65:C6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64"/>
  <sheetViews>
    <sheetView topLeftCell="A16" workbookViewId="0">
      <selection activeCell="H4" sqref="H4"/>
    </sheetView>
  </sheetViews>
  <sheetFormatPr defaultRowHeight="14.4" x14ac:dyDescent="0.3"/>
  <cols>
    <col min="1" max="1" width="18" bestFit="1" customWidth="1"/>
    <col min="3" max="3" width="12.44140625" customWidth="1"/>
    <col min="4" max="4" width="15.33203125" customWidth="1"/>
    <col min="6" max="6" width="13.44140625" customWidth="1"/>
    <col min="7" max="7" width="18.44140625" customWidth="1"/>
  </cols>
  <sheetData>
    <row r="1" spans="1:9" x14ac:dyDescent="0.3">
      <c r="A1" t="s">
        <v>6</v>
      </c>
    </row>
    <row r="2" spans="1:9" ht="15" thickBot="1" x14ac:dyDescent="0.35"/>
    <row r="3" spans="1:9" x14ac:dyDescent="0.3">
      <c r="A3" s="5" t="s">
        <v>7</v>
      </c>
      <c r="B3" s="5"/>
    </row>
    <row r="4" spans="1:9" x14ac:dyDescent="0.3">
      <c r="A4" s="2" t="s">
        <v>8</v>
      </c>
      <c r="B4" s="2">
        <v>0.92140736535967083</v>
      </c>
    </row>
    <row r="5" spans="1:9" x14ac:dyDescent="0.3">
      <c r="A5" s="2" t="s">
        <v>9</v>
      </c>
      <c r="B5" s="2">
        <v>0.84899153293904994</v>
      </c>
    </row>
    <row r="6" spans="1:9" x14ac:dyDescent="0.3">
      <c r="A6" s="2" t="s">
        <v>10</v>
      </c>
      <c r="B6" s="2">
        <v>0.8301154745564312</v>
      </c>
    </row>
    <row r="7" spans="1:9" x14ac:dyDescent="0.3">
      <c r="A7" s="2" t="s">
        <v>11</v>
      </c>
      <c r="B7" s="2">
        <v>37225.038466538244</v>
      </c>
    </row>
    <row r="8" spans="1:9" ht="15" thickBot="1" x14ac:dyDescent="0.35">
      <c r="A8" s="3" t="s">
        <v>12</v>
      </c>
      <c r="B8" s="3">
        <v>37</v>
      </c>
    </row>
    <row r="10" spans="1:9" ht="15" thickBot="1" x14ac:dyDescent="0.35">
      <c r="A10" t="s">
        <v>13</v>
      </c>
    </row>
    <row r="11" spans="1:9" x14ac:dyDescent="0.3">
      <c r="A11" s="4"/>
      <c r="B11" s="4" t="s">
        <v>18</v>
      </c>
      <c r="C11" s="4" t="s">
        <v>19</v>
      </c>
      <c r="D11" s="4" t="s">
        <v>20</v>
      </c>
      <c r="E11" s="4" t="s">
        <v>21</v>
      </c>
      <c r="F11" s="4" t="s">
        <v>22</v>
      </c>
    </row>
    <row r="12" spans="1:9" x14ac:dyDescent="0.3">
      <c r="A12" s="2" t="s">
        <v>14</v>
      </c>
      <c r="B12" s="2">
        <v>4</v>
      </c>
      <c r="C12" s="2">
        <v>249300040366.16385</v>
      </c>
      <c r="D12" s="2">
        <v>62325010091.540962</v>
      </c>
      <c r="E12" s="2">
        <v>44.977161848620312</v>
      </c>
      <c r="F12" s="2">
        <v>1.0663343613771725E-12</v>
      </c>
    </row>
    <row r="13" spans="1:9" x14ac:dyDescent="0.3">
      <c r="A13" s="2" t="s">
        <v>15</v>
      </c>
      <c r="B13" s="2">
        <v>32</v>
      </c>
      <c r="C13" s="2">
        <v>44342511642.728065</v>
      </c>
      <c r="D13" s="2">
        <v>1385703488.835252</v>
      </c>
      <c r="E13" s="2"/>
      <c r="F13" s="2"/>
    </row>
    <row r="14" spans="1:9" ht="15" thickBot="1" x14ac:dyDescent="0.35">
      <c r="A14" s="3" t="s">
        <v>16</v>
      </c>
      <c r="B14" s="3">
        <v>36</v>
      </c>
      <c r="C14" s="3">
        <v>293642552008.89191</v>
      </c>
      <c r="D14" s="3"/>
      <c r="E14" s="3"/>
      <c r="F14" s="3"/>
    </row>
    <row r="15" spans="1:9" ht="15" thickBot="1" x14ac:dyDescent="0.35"/>
    <row r="16" spans="1:9" x14ac:dyDescent="0.3">
      <c r="A16" s="4"/>
      <c r="B16" s="4" t="s">
        <v>23</v>
      </c>
      <c r="C16" s="4" t="s">
        <v>11</v>
      </c>
      <c r="D16" s="4" t="s">
        <v>24</v>
      </c>
      <c r="E16" s="4" t="s">
        <v>25</v>
      </c>
      <c r="F16" s="4" t="s">
        <v>26</v>
      </c>
      <c r="G16" s="4" t="s">
        <v>27</v>
      </c>
      <c r="H16" s="4" t="s">
        <v>28</v>
      </c>
      <c r="I16" s="4" t="s">
        <v>29</v>
      </c>
    </row>
    <row r="17" spans="1:9" x14ac:dyDescent="0.3">
      <c r="A17" s="2" t="s">
        <v>17</v>
      </c>
      <c r="B17" s="2">
        <v>318400.62380952376</v>
      </c>
      <c r="C17" s="2">
        <v>15667.401672424876</v>
      </c>
      <c r="D17" s="2">
        <v>20.322490637992576</v>
      </c>
      <c r="E17" s="2">
        <v>7.4092784774859736E-20</v>
      </c>
      <c r="F17" s="2">
        <v>286487.17107941705</v>
      </c>
      <c r="G17" s="2">
        <v>350314.07653963048</v>
      </c>
      <c r="H17" s="2">
        <v>286487.17107941705</v>
      </c>
      <c r="I17" s="2">
        <v>350314.07653963048</v>
      </c>
    </row>
    <row r="18" spans="1:9" x14ac:dyDescent="0.3">
      <c r="A18" s="2" t="s">
        <v>5</v>
      </c>
      <c r="B18" s="2">
        <v>4396.3996031746037</v>
      </c>
      <c r="C18" s="2">
        <v>574.39481378545838</v>
      </c>
      <c r="D18" s="2">
        <v>7.6539681377010105</v>
      </c>
      <c r="E18" s="2">
        <v>1.0081206025614811E-8</v>
      </c>
      <c r="F18" s="2">
        <v>3226.3956598644832</v>
      </c>
      <c r="G18" s="2">
        <v>5566.4035464847248</v>
      </c>
      <c r="H18" s="2">
        <v>3226.3956598644832</v>
      </c>
      <c r="I18" s="2">
        <v>5566.4035464847248</v>
      </c>
    </row>
    <row r="19" spans="1:9" x14ac:dyDescent="0.3">
      <c r="A19" s="2" t="s">
        <v>40</v>
      </c>
      <c r="B19" s="2">
        <v>157063.0644179894</v>
      </c>
      <c r="C19" s="2">
        <v>17113.367073742585</v>
      </c>
      <c r="D19" s="2">
        <v>9.1778002389123472</v>
      </c>
      <c r="E19" s="2">
        <v>1.771545580172907E-10</v>
      </c>
      <c r="F19" s="2">
        <v>122204.27656153939</v>
      </c>
      <c r="G19" s="2">
        <v>191921.85227443941</v>
      </c>
      <c r="H19" s="2">
        <v>122204.27656153939</v>
      </c>
      <c r="I19" s="2">
        <v>191921.85227443941</v>
      </c>
    </row>
    <row r="20" spans="1:9" x14ac:dyDescent="0.3">
      <c r="A20" s="2" t="s">
        <v>41</v>
      </c>
      <c r="B20" s="2">
        <v>167969.70185185186</v>
      </c>
      <c r="C20" s="2">
        <v>17103.724834039898</v>
      </c>
      <c r="D20" s="2">
        <v>9.8206503835677896</v>
      </c>
      <c r="E20" s="2">
        <v>3.5233908522015181E-11</v>
      </c>
      <c r="F20" s="2">
        <v>133130.5545948706</v>
      </c>
      <c r="G20" s="2">
        <v>202808.84910883312</v>
      </c>
      <c r="H20" s="2">
        <v>133130.5545948706</v>
      </c>
      <c r="I20" s="2">
        <v>202808.84910883312</v>
      </c>
    </row>
    <row r="21" spans="1:9" ht="15" thickBot="1" x14ac:dyDescent="0.35">
      <c r="A21" s="3" t="s">
        <v>42</v>
      </c>
      <c r="B21" s="3">
        <v>82226.080026455034</v>
      </c>
      <c r="C21" s="3">
        <v>17113.367073742585</v>
      </c>
      <c r="D21" s="3">
        <v>4.8047867887212163</v>
      </c>
      <c r="E21" s="3">
        <v>3.5018558013029429E-5</v>
      </c>
      <c r="F21" s="3">
        <v>47367.292170005021</v>
      </c>
      <c r="G21" s="3">
        <v>117084.86788290505</v>
      </c>
      <c r="H21" s="3">
        <v>47367.292170005021</v>
      </c>
      <c r="I21" s="3">
        <v>117084.86788290505</v>
      </c>
    </row>
    <row r="25" spans="1:9" x14ac:dyDescent="0.3">
      <c r="A25" t="s">
        <v>30</v>
      </c>
      <c r="F25" t="s">
        <v>34</v>
      </c>
    </row>
    <row r="26" spans="1:9" ht="15" thickBot="1" x14ac:dyDescent="0.35"/>
    <row r="27" spans="1:9" x14ac:dyDescent="0.3">
      <c r="A27" s="4" t="s">
        <v>31</v>
      </c>
      <c r="B27" s="4" t="s">
        <v>43</v>
      </c>
      <c r="C27" s="4" t="s">
        <v>32</v>
      </c>
      <c r="D27" s="4" t="s">
        <v>33</v>
      </c>
      <c r="E27" s="16" t="s">
        <v>99</v>
      </c>
      <c r="F27" s="4" t="s">
        <v>35</v>
      </c>
      <c r="G27" s="4" t="s">
        <v>39</v>
      </c>
    </row>
    <row r="28" spans="1:9" x14ac:dyDescent="0.3">
      <c r="A28" s="2">
        <v>1</v>
      </c>
      <c r="B28" s="2">
        <v>318400.62380952376</v>
      </c>
      <c r="C28" s="2">
        <v>32518.876190476236</v>
      </c>
      <c r="D28" s="2">
        <v>0.92656658601660846</v>
      </c>
      <c r="E28" s="20">
        <v>-133289.87513227505</v>
      </c>
      <c r="F28" s="2">
        <v>1.3513513513513513</v>
      </c>
      <c r="G28" s="2">
        <v>337159.33333333331</v>
      </c>
    </row>
    <row r="29" spans="1:9" x14ac:dyDescent="0.3">
      <c r="A29" s="2">
        <v>2</v>
      </c>
      <c r="B29" s="2">
        <v>479860.08783068776</v>
      </c>
      <c r="C29" s="2">
        <v>-25810.421164021071</v>
      </c>
      <c r="D29" s="2">
        <v>-0.73542128828553421</v>
      </c>
      <c r="E29" s="20">
        <v>-50549.458201058151</v>
      </c>
      <c r="F29" s="2">
        <v>4.0540540540540544</v>
      </c>
      <c r="G29" s="2">
        <v>350919.5</v>
      </c>
    </row>
    <row r="30" spans="1:9" x14ac:dyDescent="0.3">
      <c r="A30" s="2">
        <v>3</v>
      </c>
      <c r="B30" s="2">
        <v>495163.12486772484</v>
      </c>
      <c r="C30" s="2">
        <v>-50549.458201058151</v>
      </c>
      <c r="D30" s="2">
        <v>-1.4403154228331212</v>
      </c>
      <c r="E30" s="20">
        <v>-39263.479365079373</v>
      </c>
      <c r="F30" s="2">
        <v>6.7567567567567561</v>
      </c>
      <c r="G30" s="2">
        <v>352590.33333333331</v>
      </c>
    </row>
    <row r="31" spans="1:9" x14ac:dyDescent="0.3">
      <c r="A31" s="2">
        <v>4</v>
      </c>
      <c r="B31" s="2">
        <v>413815.90264550265</v>
      </c>
      <c r="C31" s="2">
        <v>-7962.9026455026469</v>
      </c>
      <c r="D31" s="2">
        <v>-0.22688851471401217</v>
      </c>
      <c r="E31" s="20">
        <v>-32551.826455026399</v>
      </c>
      <c r="F31" s="2">
        <v>9.4594594594594597</v>
      </c>
      <c r="G31" s="2">
        <v>369670</v>
      </c>
    </row>
    <row r="32" spans="1:9" x14ac:dyDescent="0.3">
      <c r="A32" s="2">
        <v>5</v>
      </c>
      <c r="B32" s="2">
        <v>335986.22222222219</v>
      </c>
      <c r="C32" s="2">
        <v>16604.111111111124</v>
      </c>
      <c r="D32" s="2">
        <v>0.47310412745961994</v>
      </c>
      <c r="E32" s="20">
        <v>-25810.421164021071</v>
      </c>
      <c r="F32" s="2">
        <v>12.162162162162161</v>
      </c>
      <c r="G32" s="2">
        <v>399453.66666666669</v>
      </c>
    </row>
    <row r="33" spans="1:7" x14ac:dyDescent="0.3">
      <c r="A33" s="2">
        <v>6</v>
      </c>
      <c r="B33" s="2">
        <v>497445.68624338618</v>
      </c>
      <c r="C33" s="2">
        <v>11871.313756613818</v>
      </c>
      <c r="D33" s="2">
        <v>0.3382516232900783</v>
      </c>
      <c r="E33" s="20">
        <v>-25346.07777777774</v>
      </c>
      <c r="F33" s="2">
        <v>14.864864864864863</v>
      </c>
      <c r="G33" s="2">
        <v>402236.33333333331</v>
      </c>
    </row>
    <row r="34" spans="1:7" x14ac:dyDescent="0.3">
      <c r="A34" s="2">
        <v>7</v>
      </c>
      <c r="B34" s="2">
        <v>512748.7232804232</v>
      </c>
      <c r="C34" s="2">
        <v>1069.2767195767956</v>
      </c>
      <c r="D34" s="2">
        <v>3.0467106973871113E-2</v>
      </c>
      <c r="E34" s="20">
        <v>-21877.424867724825</v>
      </c>
      <c r="F34" s="2">
        <v>17.567567567567568</v>
      </c>
      <c r="G34" s="2">
        <v>405853</v>
      </c>
    </row>
    <row r="35" spans="1:7" x14ac:dyDescent="0.3">
      <c r="A35" s="2">
        <v>8</v>
      </c>
      <c r="B35" s="2">
        <v>431401.50105820101</v>
      </c>
      <c r="C35" s="2">
        <v>-16011.501058201015</v>
      </c>
      <c r="D35" s="2">
        <v>-0.45621877538448108</v>
      </c>
      <c r="E35" s="20">
        <v>-21470.988359788375</v>
      </c>
      <c r="F35" s="2">
        <v>20.27027027027027</v>
      </c>
      <c r="G35" s="2">
        <v>415390</v>
      </c>
    </row>
    <row r="36" spans="1:7" x14ac:dyDescent="0.3">
      <c r="A36" s="2">
        <v>9</v>
      </c>
      <c r="B36" s="2">
        <v>353571.82063492062</v>
      </c>
      <c r="C36" s="2">
        <v>-16412.487301587302</v>
      </c>
      <c r="D36" s="2">
        <v>-0.46764415344483573</v>
      </c>
      <c r="E36" s="20">
        <v>-16412.487301587302</v>
      </c>
      <c r="F36" s="2">
        <v>22.972972972972972</v>
      </c>
      <c r="G36" s="2">
        <v>422856.33333333331</v>
      </c>
    </row>
    <row r="37" spans="1:7" x14ac:dyDescent="0.3">
      <c r="A37" s="2">
        <v>10</v>
      </c>
      <c r="B37" s="2">
        <v>515031.28465608461</v>
      </c>
      <c r="C37" s="2">
        <v>-14578.951322751294</v>
      </c>
      <c r="D37" s="2">
        <v>-0.41540086058632508</v>
      </c>
      <c r="E37" s="20">
        <v>-16011.501058201015</v>
      </c>
      <c r="F37" s="2">
        <v>25.675675675675674</v>
      </c>
      <c r="G37" s="2">
        <v>423010.33333333331</v>
      </c>
    </row>
    <row r="38" spans="1:7" x14ac:dyDescent="0.3">
      <c r="A38" s="2">
        <v>11</v>
      </c>
      <c r="B38" s="2">
        <v>530334.32169312169</v>
      </c>
      <c r="C38" s="2">
        <v>-21470.988359788375</v>
      </c>
      <c r="D38" s="2">
        <v>-0.61177699581014033</v>
      </c>
      <c r="E38" s="20">
        <v>-15833.980423280387</v>
      </c>
      <c r="F38" s="2">
        <v>28.378378378378375</v>
      </c>
      <c r="G38" s="2">
        <v>433739.33333333331</v>
      </c>
    </row>
    <row r="39" spans="1:7" x14ac:dyDescent="0.3">
      <c r="A39" s="2">
        <v>12</v>
      </c>
      <c r="B39" s="2">
        <v>448987.09947089944</v>
      </c>
      <c r="C39" s="2">
        <v>-12322.766137566126</v>
      </c>
      <c r="D39" s="2">
        <v>-0.35111494270240645</v>
      </c>
      <c r="E39" s="20">
        <v>-14578.951322751294</v>
      </c>
      <c r="F39" s="2">
        <v>31.081081081081081</v>
      </c>
      <c r="G39" s="2">
        <v>436664.33333333331</v>
      </c>
    </row>
    <row r="40" spans="1:7" x14ac:dyDescent="0.3">
      <c r="A40" s="2">
        <v>13</v>
      </c>
      <c r="B40" s="2">
        <v>371157.41904761898</v>
      </c>
      <c r="C40" s="2">
        <v>-1487.4190476189833</v>
      </c>
      <c r="D40" s="2">
        <v>-4.2381316649928578E-2</v>
      </c>
      <c r="E40" s="20">
        <v>-12322.766137566126</v>
      </c>
      <c r="F40" s="2">
        <v>33.78378378378379</v>
      </c>
      <c r="G40" s="2">
        <v>444613.66666666669</v>
      </c>
    </row>
    <row r="41" spans="1:7" x14ac:dyDescent="0.3">
      <c r="A41" s="2">
        <v>14</v>
      </c>
      <c r="B41" s="2">
        <v>532616.88306878298</v>
      </c>
      <c r="C41" s="2">
        <v>27820.783597883652</v>
      </c>
      <c r="D41" s="2">
        <v>0.79270293129463765</v>
      </c>
      <c r="E41" s="20">
        <v>-10459.382010581903</v>
      </c>
      <c r="F41" s="2">
        <v>36.486486486486491</v>
      </c>
      <c r="G41" s="2">
        <v>454049.66666666669</v>
      </c>
    </row>
    <row r="42" spans="1:7" x14ac:dyDescent="0.3">
      <c r="A42" s="2">
        <v>15</v>
      </c>
      <c r="B42" s="2">
        <v>547919.92010582006</v>
      </c>
      <c r="C42" s="2">
        <v>25477.413227513316</v>
      </c>
      <c r="D42" s="2">
        <v>0.72593282918137891</v>
      </c>
      <c r="E42" s="20">
        <v>-7962.9026455026469</v>
      </c>
      <c r="F42" s="2">
        <v>39.189189189189193</v>
      </c>
      <c r="G42" s="2">
        <v>461585</v>
      </c>
    </row>
    <row r="43" spans="1:7" x14ac:dyDescent="0.3">
      <c r="A43" s="2">
        <v>16</v>
      </c>
      <c r="B43" s="2">
        <v>466572.69788359787</v>
      </c>
      <c r="C43" s="2">
        <v>-4987.6978835978662</v>
      </c>
      <c r="D43" s="2">
        <v>-0.14211543391038253</v>
      </c>
      <c r="E43" s="20">
        <v>-4987.6978835978662</v>
      </c>
      <c r="F43" s="2">
        <v>41.891891891891895</v>
      </c>
      <c r="G43" s="2">
        <v>483723</v>
      </c>
    </row>
    <row r="44" spans="1:7" x14ac:dyDescent="0.3">
      <c r="A44" s="2">
        <v>17</v>
      </c>
      <c r="B44" s="2">
        <v>388743.01746031741</v>
      </c>
      <c r="C44" s="2">
        <v>10710.649206349277</v>
      </c>
      <c r="D44" s="2">
        <v>0.30518058530125386</v>
      </c>
      <c r="E44" s="20">
        <v>-1487.4190476189833</v>
      </c>
      <c r="F44" s="2">
        <v>44.594594594594597</v>
      </c>
      <c r="G44" s="2">
        <v>486777.66666666669</v>
      </c>
    </row>
    <row r="45" spans="1:7" x14ac:dyDescent="0.3">
      <c r="A45" s="2">
        <v>18</v>
      </c>
      <c r="B45" s="2">
        <v>550202.48148148134</v>
      </c>
      <c r="C45" s="2">
        <v>44953.518518518656</v>
      </c>
      <c r="D45" s="2">
        <v>1.2808692385051397</v>
      </c>
      <c r="E45" s="20">
        <v>-903.88095238094684</v>
      </c>
      <c r="F45" s="2">
        <v>47.297297297297298</v>
      </c>
      <c r="G45" s="2">
        <v>487255</v>
      </c>
    </row>
    <row r="46" spans="1:7" x14ac:dyDescent="0.3">
      <c r="A46" s="2">
        <v>19</v>
      </c>
      <c r="B46" s="2">
        <v>565505.51851851854</v>
      </c>
      <c r="C46" s="2">
        <v>20347.814814814832</v>
      </c>
      <c r="D46" s="2">
        <v>0.57977419623691606</v>
      </c>
      <c r="E46" s="20">
        <v>1069.2767195767956</v>
      </c>
      <c r="F46" s="2">
        <v>50</v>
      </c>
      <c r="G46" s="2">
        <v>493932.66666666669</v>
      </c>
    </row>
    <row r="47" spans="1:7" x14ac:dyDescent="0.3">
      <c r="A47" s="2">
        <v>20</v>
      </c>
      <c r="B47" s="2">
        <v>484158.29629629629</v>
      </c>
      <c r="C47" s="2">
        <v>9774.3703703703941</v>
      </c>
      <c r="D47" s="2">
        <v>0.27850301257299864</v>
      </c>
      <c r="E47" s="20">
        <v>4340.8830687830923</v>
      </c>
      <c r="F47" s="2">
        <v>52.702702702702702</v>
      </c>
      <c r="G47" s="2">
        <v>500452.33333333331</v>
      </c>
    </row>
    <row r="48" spans="1:7" x14ac:dyDescent="0.3">
      <c r="A48" s="2">
        <v>21</v>
      </c>
      <c r="B48" s="2">
        <v>406328.61587301583</v>
      </c>
      <c r="C48" s="2">
        <v>16527.717460317479</v>
      </c>
      <c r="D48" s="2">
        <v>0.47092742849269981</v>
      </c>
      <c r="E48" s="20">
        <v>7051.99047619052</v>
      </c>
      <c r="F48" s="2">
        <v>55.405405405405403</v>
      </c>
      <c r="G48" s="2">
        <v>508863.33333333331</v>
      </c>
    </row>
    <row r="49" spans="1:7" x14ac:dyDescent="0.3">
      <c r="A49" s="2">
        <v>22</v>
      </c>
      <c r="B49" s="2">
        <v>567788.07989417983</v>
      </c>
      <c r="C49" s="2">
        <v>47942.253439153545</v>
      </c>
      <c r="D49" s="2">
        <v>1.3660278367205454</v>
      </c>
      <c r="E49" s="20">
        <v>7272.1052910052822</v>
      </c>
      <c r="F49" s="2">
        <v>58.108108108108112</v>
      </c>
      <c r="G49" s="2">
        <v>509016</v>
      </c>
    </row>
    <row r="50" spans="1:7" x14ac:dyDescent="0.3">
      <c r="A50" s="2">
        <v>23</v>
      </c>
      <c r="B50" s="2">
        <v>583091.11693121691</v>
      </c>
      <c r="C50" s="2">
        <v>4340.8830687830923</v>
      </c>
      <c r="D50" s="2">
        <v>0.12368561514181725</v>
      </c>
      <c r="E50" s="20">
        <v>7425.3899470899487</v>
      </c>
      <c r="F50" s="2">
        <v>60.810810810810814</v>
      </c>
      <c r="G50" s="2">
        <v>509317</v>
      </c>
    </row>
    <row r="51" spans="1:7" x14ac:dyDescent="0.3">
      <c r="A51" s="2">
        <v>24</v>
      </c>
      <c r="B51" s="2">
        <v>501743.89470899472</v>
      </c>
      <c r="C51" s="2">
        <v>7272.1052910052822</v>
      </c>
      <c r="D51" s="2">
        <v>0.20720549299343424</v>
      </c>
      <c r="E51" s="20">
        <v>9774.3703703703941</v>
      </c>
      <c r="F51" s="2">
        <v>63.513513513513516</v>
      </c>
      <c r="G51" s="2">
        <v>513818</v>
      </c>
    </row>
    <row r="52" spans="1:7" x14ac:dyDescent="0.3">
      <c r="A52" s="2">
        <v>25</v>
      </c>
      <c r="B52" s="2">
        <v>423914.21428571426</v>
      </c>
      <c r="C52" s="2">
        <v>-903.88095238094684</v>
      </c>
      <c r="D52" s="2">
        <v>-2.5754453607419982E-2</v>
      </c>
      <c r="E52" s="20">
        <v>10710.649206349277</v>
      </c>
      <c r="F52" s="2">
        <v>66.216216216216225</v>
      </c>
      <c r="G52" s="2">
        <v>515037.66666666669</v>
      </c>
    </row>
    <row r="53" spans="1:7" x14ac:dyDescent="0.3">
      <c r="A53" s="2">
        <v>26</v>
      </c>
      <c r="B53" s="2">
        <v>585373.67830687831</v>
      </c>
      <c r="C53" s="2">
        <v>33665.988359788316</v>
      </c>
      <c r="D53" s="2">
        <v>0.95925147341160655</v>
      </c>
      <c r="E53" s="20">
        <v>11871.313756613818</v>
      </c>
      <c r="F53" s="2">
        <v>68.918918918918919</v>
      </c>
      <c r="G53" s="2">
        <v>560437.66666666663</v>
      </c>
    </row>
    <row r="54" spans="1:7" x14ac:dyDescent="0.3">
      <c r="A54" s="2">
        <v>27</v>
      </c>
      <c r="B54" s="2">
        <v>600676.71534391528</v>
      </c>
      <c r="C54" s="2">
        <v>-10459.382010581903</v>
      </c>
      <c r="D54" s="2">
        <v>-0.29802118082502149</v>
      </c>
      <c r="E54" s="20">
        <v>16527.717460317479</v>
      </c>
      <c r="F54" s="2">
        <v>71.621621621621628</v>
      </c>
      <c r="G54" s="2">
        <v>573397.33333333337</v>
      </c>
    </row>
    <row r="55" spans="1:7" x14ac:dyDescent="0.3">
      <c r="A55" s="2">
        <v>28</v>
      </c>
      <c r="B55" s="2">
        <v>519329.49312169309</v>
      </c>
      <c r="C55" s="2">
        <v>-32551.826455026399</v>
      </c>
      <c r="D55" s="2">
        <v>-0.92750544423402526</v>
      </c>
      <c r="E55" s="20">
        <v>16604.111111111124</v>
      </c>
      <c r="F55" s="2">
        <v>74.324324324324323</v>
      </c>
      <c r="G55" s="2">
        <v>585853.33333333337</v>
      </c>
    </row>
    <row r="56" spans="1:7" x14ac:dyDescent="0.3">
      <c r="A56" s="2">
        <v>29</v>
      </c>
      <c r="B56" s="2">
        <v>441499.81269841269</v>
      </c>
      <c r="C56" s="2">
        <v>-39263.479365079373</v>
      </c>
      <c r="D56" s="2">
        <v>-1.11874185987675</v>
      </c>
      <c r="E56" s="20">
        <v>20347.814814814832</v>
      </c>
      <c r="F56" s="2">
        <v>77.027027027027032</v>
      </c>
      <c r="G56" s="2">
        <v>587432</v>
      </c>
    </row>
    <row r="57" spans="1:7" x14ac:dyDescent="0.3">
      <c r="A57" s="2">
        <v>30</v>
      </c>
      <c r="B57" s="2">
        <v>602959.27671957668</v>
      </c>
      <c r="C57" s="2">
        <v>7425.3899470899487</v>
      </c>
      <c r="D57" s="2">
        <v>0.21157306214450763</v>
      </c>
      <c r="E57" s="20">
        <v>25477.413227513316</v>
      </c>
      <c r="F57" s="2">
        <v>79.729729729729726</v>
      </c>
      <c r="G57" s="2">
        <v>590217.33333333337</v>
      </c>
    </row>
    <row r="58" spans="1:7" x14ac:dyDescent="0.3">
      <c r="A58" s="2">
        <v>31</v>
      </c>
      <c r="B58" s="2">
        <v>618262.31375661376</v>
      </c>
      <c r="C58" s="2">
        <v>-15833.980423280387</v>
      </c>
      <c r="D58" s="2">
        <v>-0.45116064583281845</v>
      </c>
      <c r="E58" s="20">
        <v>27820.783597883652</v>
      </c>
      <c r="F58" s="2">
        <v>82.432432432432435</v>
      </c>
      <c r="G58" s="2">
        <v>595156</v>
      </c>
    </row>
    <row r="59" spans="1:7" x14ac:dyDescent="0.3">
      <c r="A59" s="2">
        <v>32</v>
      </c>
      <c r="B59" s="2">
        <v>536915.09153439151</v>
      </c>
      <c r="C59" s="2">
        <v>-21877.424867724825</v>
      </c>
      <c r="D59" s="2">
        <v>-0.62335766930529268</v>
      </c>
      <c r="E59" s="20">
        <v>32518.876190476236</v>
      </c>
      <c r="F59" s="2">
        <v>85.13513513513513</v>
      </c>
      <c r="G59" s="2">
        <v>602428.33333333337</v>
      </c>
    </row>
    <row r="60" spans="1:7" x14ac:dyDescent="0.3">
      <c r="A60" s="2">
        <v>33</v>
      </c>
      <c r="B60" s="2">
        <v>459085.41111111105</v>
      </c>
      <c r="C60" s="2">
        <v>-25346.07777777774</v>
      </c>
      <c r="D60" s="2">
        <v>-0.72219066298314816</v>
      </c>
      <c r="E60" s="20">
        <v>33665.988359788316</v>
      </c>
      <c r="F60" s="2">
        <v>87.837837837837839</v>
      </c>
      <c r="G60" s="2">
        <v>610384.66666666663</v>
      </c>
    </row>
    <row r="61" spans="1:7" x14ac:dyDescent="0.3">
      <c r="A61" s="2">
        <v>34</v>
      </c>
      <c r="B61" s="2">
        <v>620544.87513227505</v>
      </c>
      <c r="C61" s="2">
        <v>-133289.87513227505</v>
      </c>
      <c r="D61" s="2">
        <v>-3.7978540164946408</v>
      </c>
      <c r="E61" s="20">
        <v>44953.518518518656</v>
      </c>
      <c r="F61" s="2">
        <v>90.540540540540547</v>
      </c>
      <c r="G61" s="2">
        <v>615730.33333333337</v>
      </c>
    </row>
    <row r="62" spans="1:7" x14ac:dyDescent="0.3">
      <c r="A62" s="2">
        <v>35</v>
      </c>
      <c r="B62" s="2">
        <v>635847.91216931213</v>
      </c>
      <c r="C62" s="2">
        <v>47078.421164021245</v>
      </c>
      <c r="D62" s="2">
        <v>1.3414144977671314</v>
      </c>
      <c r="E62" s="20">
        <v>47078.421164021245</v>
      </c>
      <c r="F62" s="2">
        <v>93.243243243243242</v>
      </c>
      <c r="G62" s="2">
        <v>619039.66666666663</v>
      </c>
    </row>
    <row r="63" spans="1:7" x14ac:dyDescent="0.3">
      <c r="A63" s="2">
        <v>36</v>
      </c>
      <c r="B63" s="2">
        <v>554500.68994708988</v>
      </c>
      <c r="C63" s="2">
        <v>78667.643386243493</v>
      </c>
      <c r="D63" s="2">
        <v>2.2414922746841754</v>
      </c>
      <c r="E63" s="20">
        <v>47942.253439153545</v>
      </c>
      <c r="F63" s="2">
        <v>95.945945945945951</v>
      </c>
      <c r="G63" s="2">
        <v>633168.33333333337</v>
      </c>
    </row>
    <row r="64" spans="1:7" ht="15" thickBot="1" x14ac:dyDescent="0.35">
      <c r="A64" s="3">
        <v>37</v>
      </c>
      <c r="B64" s="3">
        <v>476671.00952380948</v>
      </c>
      <c r="C64" s="3">
        <v>7051.99047619052</v>
      </c>
      <c r="D64" s="3">
        <v>0.20093371929190876</v>
      </c>
      <c r="E64" s="21">
        <v>78667.643386243493</v>
      </c>
      <c r="F64" s="3">
        <v>98.648648648648646</v>
      </c>
      <c r="G64" s="3">
        <v>682926.33333333337</v>
      </c>
    </row>
  </sheetData>
  <sortState xmlns:xlrd2="http://schemas.microsoft.com/office/spreadsheetml/2017/richdata2" ref="G28:G64">
    <sortCondition ref="G28"/>
  </sortState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81"/>
  <sheetViews>
    <sheetView workbookViewId="0">
      <selection activeCell="G82" sqref="G82"/>
    </sheetView>
  </sheetViews>
  <sheetFormatPr defaultRowHeight="14.4" x14ac:dyDescent="0.3"/>
  <cols>
    <col min="2" max="2" width="33" customWidth="1"/>
    <col min="7" max="7" width="12.6640625" customWidth="1"/>
    <col min="8" max="9" width="12" bestFit="1" customWidth="1"/>
    <col min="10" max="10" width="14.6640625" bestFit="1" customWidth="1"/>
    <col min="11" max="11" width="11.44140625" customWidth="1"/>
    <col min="12" max="12" width="8.88671875" customWidth="1"/>
  </cols>
  <sheetData>
    <row r="1" spans="1:28" x14ac:dyDescent="0.3">
      <c r="A1" t="s">
        <v>36</v>
      </c>
      <c r="B1" t="s">
        <v>39</v>
      </c>
      <c r="C1" t="s">
        <v>47</v>
      </c>
      <c r="D1" t="s">
        <v>48</v>
      </c>
      <c r="E1" t="s">
        <v>49</v>
      </c>
      <c r="H1" t="s">
        <v>40</v>
      </c>
      <c r="I1" t="s">
        <v>41</v>
      </c>
      <c r="J1" t="s">
        <v>42</v>
      </c>
      <c r="K1" t="s">
        <v>44</v>
      </c>
    </row>
    <row r="2" spans="1:28" x14ac:dyDescent="0.3">
      <c r="A2">
        <v>1</v>
      </c>
      <c r="B2">
        <v>350919.5</v>
      </c>
      <c r="C2">
        <v>-1</v>
      </c>
      <c r="D2">
        <v>-1</v>
      </c>
      <c r="E2">
        <v>-1</v>
      </c>
      <c r="G2" t="s">
        <v>45</v>
      </c>
      <c r="H2">
        <f>AVERAGE(B12:B20)</f>
        <v>550202.48148148146</v>
      </c>
      <c r="I2">
        <f>AVERAGE(B21:B29)</f>
        <v>565505.51851851854</v>
      </c>
      <c r="J2">
        <f>AVERAGE(B30:B38)</f>
        <v>484158.29629629623</v>
      </c>
      <c r="K2">
        <f>AVERAGE(B2:B11)</f>
        <v>397535.81666666671</v>
      </c>
    </row>
    <row r="3" spans="1:28" x14ac:dyDescent="0.3">
      <c r="A3">
        <v>1</v>
      </c>
      <c r="B3">
        <v>352590.33333333331</v>
      </c>
      <c r="C3">
        <v>-1</v>
      </c>
      <c r="D3">
        <v>-1</v>
      </c>
      <c r="E3">
        <v>-1</v>
      </c>
    </row>
    <row r="4" spans="1:28" x14ac:dyDescent="0.3">
      <c r="A4">
        <v>1</v>
      </c>
      <c r="B4">
        <v>337159.33333333331</v>
      </c>
      <c r="C4">
        <v>-1</v>
      </c>
      <c r="D4">
        <v>-1</v>
      </c>
      <c r="E4">
        <v>-1</v>
      </c>
      <c r="G4" t="s">
        <v>170</v>
      </c>
      <c r="H4">
        <f>K2</f>
        <v>397535.81666666671</v>
      </c>
    </row>
    <row r="5" spans="1:28" x14ac:dyDescent="0.3">
      <c r="A5">
        <v>1</v>
      </c>
      <c r="B5">
        <v>369670</v>
      </c>
      <c r="C5">
        <v>-1</v>
      </c>
      <c r="D5">
        <v>-1</v>
      </c>
      <c r="E5">
        <v>-1</v>
      </c>
      <c r="G5" t="s">
        <v>171</v>
      </c>
      <c r="H5">
        <f>H2-K2</f>
        <v>152666.66481481475</v>
      </c>
    </row>
    <row r="6" spans="1:28" x14ac:dyDescent="0.3">
      <c r="A6">
        <v>1</v>
      </c>
      <c r="B6">
        <v>399453.66666666669</v>
      </c>
      <c r="C6">
        <v>-1</v>
      </c>
      <c r="D6">
        <v>-1</v>
      </c>
      <c r="E6">
        <v>-1</v>
      </c>
      <c r="G6" t="s">
        <v>172</v>
      </c>
      <c r="H6">
        <f>I2-K2</f>
        <v>167969.70185185183</v>
      </c>
    </row>
    <row r="7" spans="1:28" x14ac:dyDescent="0.3">
      <c r="A7">
        <v>1</v>
      </c>
      <c r="B7">
        <v>422856.33333333331</v>
      </c>
      <c r="C7">
        <v>-1</v>
      </c>
      <c r="D7">
        <v>-1</v>
      </c>
      <c r="E7">
        <v>-1</v>
      </c>
      <c r="G7" t="s">
        <v>173</v>
      </c>
      <c r="H7">
        <f>J2-K2</f>
        <v>86622.479629629524</v>
      </c>
    </row>
    <row r="8" spans="1:28" x14ac:dyDescent="0.3">
      <c r="A8">
        <v>1</v>
      </c>
      <c r="B8">
        <v>423010.33333333331</v>
      </c>
      <c r="C8">
        <v>-1</v>
      </c>
      <c r="D8">
        <v>-1</v>
      </c>
      <c r="E8">
        <v>-1</v>
      </c>
    </row>
    <row r="9" spans="1:28" x14ac:dyDescent="0.3">
      <c r="A9">
        <v>1</v>
      </c>
      <c r="B9">
        <v>402236.33333333331</v>
      </c>
      <c r="C9">
        <v>-1</v>
      </c>
      <c r="D9">
        <v>-1</v>
      </c>
      <c r="E9">
        <v>-1</v>
      </c>
      <c r="G9" t="s">
        <v>76</v>
      </c>
    </row>
    <row r="10" spans="1:28" x14ac:dyDescent="0.3">
      <c r="A10">
        <v>1</v>
      </c>
      <c r="B10">
        <v>433739.33333333331</v>
      </c>
      <c r="C10">
        <v>-1</v>
      </c>
      <c r="D10">
        <v>-1</v>
      </c>
      <c r="E10">
        <v>-1</v>
      </c>
      <c r="G10" t="s">
        <v>77</v>
      </c>
      <c r="H10" t="s">
        <v>78</v>
      </c>
    </row>
    <row r="11" spans="1:28" x14ac:dyDescent="0.3">
      <c r="A11">
        <v>1</v>
      </c>
      <c r="B11">
        <v>483723</v>
      </c>
      <c r="C11">
        <v>-1</v>
      </c>
      <c r="D11">
        <v>-1</v>
      </c>
      <c r="E11">
        <v>-1</v>
      </c>
      <c r="G11" t="s">
        <v>79</v>
      </c>
      <c r="H11" t="s">
        <v>80</v>
      </c>
    </row>
    <row r="12" spans="1:28" x14ac:dyDescent="0.3">
      <c r="A12">
        <v>2</v>
      </c>
      <c r="B12">
        <v>454049.66666666669</v>
      </c>
      <c r="C12">
        <v>1</v>
      </c>
      <c r="D12">
        <v>0</v>
      </c>
      <c r="E12">
        <v>0</v>
      </c>
      <c r="G12" t="s">
        <v>6</v>
      </c>
    </row>
    <row r="13" spans="1:28" x14ac:dyDescent="0.3">
      <c r="A13">
        <v>2</v>
      </c>
      <c r="B13">
        <v>509317</v>
      </c>
      <c r="C13">
        <v>1</v>
      </c>
      <c r="D13">
        <v>0</v>
      </c>
      <c r="E13">
        <v>0</v>
      </c>
    </row>
    <row r="14" spans="1:28" ht="15" thickBot="1" x14ac:dyDescent="0.35">
      <c r="A14">
        <v>2</v>
      </c>
      <c r="B14">
        <v>500452.33333333331</v>
      </c>
      <c r="C14">
        <v>1</v>
      </c>
      <c r="D14">
        <v>0</v>
      </c>
      <c r="E14">
        <v>0</v>
      </c>
      <c r="G14" t="s">
        <v>13</v>
      </c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</row>
    <row r="15" spans="1:28" x14ac:dyDescent="0.3">
      <c r="A15">
        <v>2</v>
      </c>
      <c r="B15">
        <v>560437.66666666663</v>
      </c>
      <c r="C15">
        <v>1</v>
      </c>
      <c r="D15">
        <v>0</v>
      </c>
      <c r="E15">
        <v>0</v>
      </c>
      <c r="G15" s="4"/>
      <c r="H15" s="4" t="s">
        <v>18</v>
      </c>
      <c r="I15" s="4" t="s">
        <v>19</v>
      </c>
      <c r="J15" s="4" t="s">
        <v>20</v>
      </c>
      <c r="K15" s="4" t="s">
        <v>21</v>
      </c>
      <c r="L15" s="4" t="s">
        <v>22</v>
      </c>
      <c r="N15" s="16"/>
      <c r="O15" s="16"/>
      <c r="P15" s="16"/>
      <c r="Q15" s="16"/>
      <c r="R15" s="16"/>
      <c r="S15" s="16"/>
      <c r="T15" s="16"/>
      <c r="U15" s="16"/>
      <c r="V15" s="16"/>
      <c r="W15" s="8"/>
      <c r="X15" s="8"/>
      <c r="Y15" s="8"/>
      <c r="Z15" s="8"/>
      <c r="AA15" s="8"/>
      <c r="AB15" s="8"/>
    </row>
    <row r="16" spans="1:28" x14ac:dyDescent="0.3">
      <c r="A16">
        <v>2</v>
      </c>
      <c r="B16">
        <v>595156</v>
      </c>
      <c r="C16">
        <v>1</v>
      </c>
      <c r="D16">
        <v>0</v>
      </c>
      <c r="E16">
        <v>0</v>
      </c>
      <c r="G16" s="2" t="s">
        <v>14</v>
      </c>
      <c r="H16" s="2">
        <v>3</v>
      </c>
      <c r="I16" s="2">
        <v>168121056588.82986</v>
      </c>
      <c r="J16" s="2">
        <v>56040352196.276619</v>
      </c>
      <c r="K16" s="2">
        <v>14.733186664867844</v>
      </c>
      <c r="L16" s="2">
        <v>2.9417299712933132E-6</v>
      </c>
      <c r="N16" s="2"/>
      <c r="O16" s="2"/>
      <c r="P16" s="2"/>
      <c r="Q16" s="2"/>
      <c r="R16" s="2"/>
      <c r="S16" s="2"/>
      <c r="T16" s="2"/>
      <c r="U16" s="2"/>
      <c r="V16" s="2"/>
      <c r="W16" s="8"/>
      <c r="X16" s="8"/>
      <c r="Y16" s="8"/>
      <c r="Z16" s="8"/>
      <c r="AA16" s="8"/>
      <c r="AB16" s="8"/>
    </row>
    <row r="17" spans="1:28" x14ac:dyDescent="0.3">
      <c r="A17">
        <v>2</v>
      </c>
      <c r="B17">
        <v>615730.33333333337</v>
      </c>
      <c r="C17">
        <v>1</v>
      </c>
      <c r="D17">
        <v>0</v>
      </c>
      <c r="E17">
        <v>0</v>
      </c>
      <c r="G17" s="2" t="s">
        <v>15</v>
      </c>
      <c r="H17" s="2">
        <v>33</v>
      </c>
      <c r="I17" s="2">
        <v>125521495420.06204</v>
      </c>
      <c r="J17" s="14">
        <v>3803681679.3958197</v>
      </c>
      <c r="K17" s="2"/>
      <c r="L17" s="2"/>
      <c r="N17" s="2"/>
      <c r="O17" s="2"/>
      <c r="P17" s="2"/>
      <c r="Q17" s="2"/>
      <c r="R17" s="2"/>
      <c r="S17" s="2"/>
      <c r="T17" s="2"/>
      <c r="U17" s="2"/>
      <c r="V17" s="2"/>
      <c r="W17" s="8"/>
      <c r="X17" s="8"/>
      <c r="Y17" s="8"/>
      <c r="Z17" s="8"/>
      <c r="AA17" s="8"/>
      <c r="AB17" s="8"/>
    </row>
    <row r="18" spans="1:28" ht="15" thickBot="1" x14ac:dyDescent="0.35">
      <c r="A18">
        <v>2</v>
      </c>
      <c r="B18">
        <v>619039.66666666663</v>
      </c>
      <c r="C18">
        <v>1</v>
      </c>
      <c r="D18">
        <v>0</v>
      </c>
      <c r="E18">
        <v>0</v>
      </c>
      <c r="G18" s="3" t="s">
        <v>16</v>
      </c>
      <c r="H18" s="3">
        <v>36</v>
      </c>
      <c r="I18" s="3">
        <v>293642552008.89191</v>
      </c>
      <c r="J18" s="3"/>
      <c r="K18" s="3"/>
      <c r="L18" s="3"/>
      <c r="N18" s="2"/>
      <c r="O18" s="2"/>
      <c r="P18" s="2"/>
      <c r="Q18" s="2"/>
      <c r="R18" s="2"/>
      <c r="S18" s="2"/>
      <c r="T18" s="2"/>
      <c r="U18" s="2"/>
      <c r="V18" s="2"/>
      <c r="W18" s="8"/>
      <c r="X18" s="8"/>
      <c r="Y18" s="8"/>
      <c r="Z18" s="8"/>
      <c r="AA18" s="8"/>
      <c r="AB18" s="8"/>
    </row>
    <row r="19" spans="1:28" x14ac:dyDescent="0.3">
      <c r="A19">
        <v>2</v>
      </c>
      <c r="B19">
        <v>610384.66666666663</v>
      </c>
      <c r="C19">
        <v>1</v>
      </c>
      <c r="D19">
        <v>0</v>
      </c>
      <c r="E19">
        <v>0</v>
      </c>
      <c r="N19" s="2"/>
      <c r="O19" s="2"/>
      <c r="P19" s="2"/>
      <c r="Q19" s="2"/>
      <c r="R19" s="2"/>
      <c r="S19" s="2"/>
      <c r="T19" s="2"/>
      <c r="U19" s="2"/>
      <c r="V19" s="2"/>
      <c r="W19" s="8"/>
      <c r="X19" s="8"/>
      <c r="Y19" s="8"/>
      <c r="Z19" s="8"/>
      <c r="AA19" s="8"/>
      <c r="AB19" s="8"/>
    </row>
    <row r="20" spans="1:28" x14ac:dyDescent="0.3">
      <c r="A20">
        <v>2</v>
      </c>
      <c r="B20">
        <v>487255</v>
      </c>
      <c r="C20">
        <v>1</v>
      </c>
      <c r="D20">
        <v>0</v>
      </c>
      <c r="E20">
        <v>0</v>
      </c>
      <c r="G20" t="s">
        <v>67</v>
      </c>
      <c r="H20" t="s">
        <v>68</v>
      </c>
    </row>
    <row r="21" spans="1:28" x14ac:dyDescent="0.3">
      <c r="A21">
        <v>3</v>
      </c>
      <c r="B21">
        <v>444613.66666666669</v>
      </c>
      <c r="C21">
        <v>0</v>
      </c>
      <c r="D21">
        <v>1</v>
      </c>
      <c r="E21">
        <v>0</v>
      </c>
      <c r="G21" t="s">
        <v>69</v>
      </c>
      <c r="H21">
        <f>-1*K2+1*H2</f>
        <v>152666.66481481475</v>
      </c>
    </row>
    <row r="22" spans="1:28" x14ac:dyDescent="0.3">
      <c r="A22">
        <v>3</v>
      </c>
      <c r="B22">
        <v>513818</v>
      </c>
      <c r="C22">
        <v>0</v>
      </c>
      <c r="D22">
        <v>1</v>
      </c>
      <c r="E22">
        <v>0</v>
      </c>
      <c r="G22" t="s">
        <v>70</v>
      </c>
      <c r="H22">
        <f>SQRT(J17)</f>
        <v>61673.995163243802</v>
      </c>
    </row>
    <row r="23" spans="1:28" x14ac:dyDescent="0.3">
      <c r="A23">
        <v>3</v>
      </c>
      <c r="B23">
        <v>508863.33333333331</v>
      </c>
      <c r="C23">
        <v>0</v>
      </c>
      <c r="D23">
        <v>1</v>
      </c>
      <c r="E23">
        <v>0</v>
      </c>
      <c r="G23" t="s">
        <v>71</v>
      </c>
      <c r="H23">
        <f>H22*SQRT((1/10)+(1/9))</f>
        <v>28337.245202210972</v>
      </c>
    </row>
    <row r="24" spans="1:28" x14ac:dyDescent="0.3">
      <c r="A24">
        <v>3</v>
      </c>
      <c r="B24">
        <v>573397.33333333337</v>
      </c>
      <c r="C24">
        <v>0</v>
      </c>
      <c r="D24">
        <v>1</v>
      </c>
      <c r="E24">
        <v>0</v>
      </c>
      <c r="G24" t="s">
        <v>72</v>
      </c>
      <c r="H24">
        <f>H21/H23</f>
        <v>5.3874913995840057</v>
      </c>
    </row>
    <row r="25" spans="1:28" x14ac:dyDescent="0.3">
      <c r="A25">
        <v>3</v>
      </c>
      <c r="B25">
        <v>585853.33333333337</v>
      </c>
      <c r="C25">
        <v>0</v>
      </c>
      <c r="D25">
        <v>1</v>
      </c>
      <c r="E25">
        <v>0</v>
      </c>
      <c r="G25" t="s">
        <v>73</v>
      </c>
      <c r="H25" s="6">
        <f>TDIST(H24,35,1)</f>
        <v>2.4798544776331598E-6</v>
      </c>
    </row>
    <row r="26" spans="1:28" x14ac:dyDescent="0.3">
      <c r="A26">
        <v>3</v>
      </c>
      <c r="B26">
        <v>587432</v>
      </c>
      <c r="C26">
        <v>0</v>
      </c>
      <c r="D26">
        <v>1</v>
      </c>
      <c r="E26">
        <v>0</v>
      </c>
      <c r="G26" t="s">
        <v>74</v>
      </c>
      <c r="H26">
        <f>H21-(TINV(0.05,35)*H23)</f>
        <v>95138.998665032239</v>
      </c>
      <c r="I26">
        <f>H21+(TINV(0.05,35)*H23)</f>
        <v>210194.33096459726</v>
      </c>
    </row>
    <row r="27" spans="1:28" x14ac:dyDescent="0.3">
      <c r="A27">
        <v>3</v>
      </c>
      <c r="B27">
        <v>590217.33333333337</v>
      </c>
      <c r="C27">
        <v>0</v>
      </c>
      <c r="D27">
        <v>1</v>
      </c>
      <c r="E27">
        <v>0</v>
      </c>
    </row>
    <row r="28" spans="1:28" x14ac:dyDescent="0.3">
      <c r="A28">
        <v>3</v>
      </c>
      <c r="B28">
        <v>602428.33333333337</v>
      </c>
      <c r="C28">
        <v>0</v>
      </c>
      <c r="D28">
        <v>1</v>
      </c>
      <c r="E28">
        <v>0</v>
      </c>
      <c r="G28" t="s">
        <v>75</v>
      </c>
      <c r="H28" s="15" t="s">
        <v>89</v>
      </c>
    </row>
    <row r="29" spans="1:28" x14ac:dyDescent="0.3">
      <c r="A29">
        <v>3</v>
      </c>
      <c r="B29">
        <v>682926.33333333337</v>
      </c>
      <c r="C29">
        <v>0</v>
      </c>
      <c r="D29">
        <v>1</v>
      </c>
      <c r="E29">
        <v>0</v>
      </c>
    </row>
    <row r="30" spans="1:28" x14ac:dyDescent="0.3">
      <c r="A30">
        <v>4</v>
      </c>
      <c r="B30">
        <v>405853</v>
      </c>
      <c r="C30">
        <v>0</v>
      </c>
      <c r="D30">
        <v>0</v>
      </c>
      <c r="E30">
        <v>1</v>
      </c>
      <c r="G30" t="s">
        <v>81</v>
      </c>
    </row>
    <row r="31" spans="1:28" x14ac:dyDescent="0.3">
      <c r="A31">
        <v>4</v>
      </c>
      <c r="B31">
        <v>415390</v>
      </c>
      <c r="C31">
        <v>0</v>
      </c>
      <c r="D31">
        <v>0</v>
      </c>
      <c r="E31">
        <v>1</v>
      </c>
      <c r="G31" t="s">
        <v>77</v>
      </c>
      <c r="H31" t="s">
        <v>82</v>
      </c>
    </row>
    <row r="32" spans="1:28" x14ac:dyDescent="0.3">
      <c r="A32">
        <v>4</v>
      </c>
      <c r="B32">
        <v>436664.33333333331</v>
      </c>
      <c r="C32">
        <v>0</v>
      </c>
      <c r="D32">
        <v>0</v>
      </c>
      <c r="E32">
        <v>1</v>
      </c>
      <c r="G32" t="s">
        <v>79</v>
      </c>
      <c r="H32" t="s">
        <v>87</v>
      </c>
    </row>
    <row r="33" spans="1:12" x14ac:dyDescent="0.3">
      <c r="A33">
        <v>4</v>
      </c>
      <c r="B33">
        <v>461585</v>
      </c>
      <c r="C33">
        <v>0</v>
      </c>
      <c r="D33">
        <v>0</v>
      </c>
      <c r="E33">
        <v>1</v>
      </c>
      <c r="G33" t="s">
        <v>6</v>
      </c>
    </row>
    <row r="34" spans="1:12" x14ac:dyDescent="0.3">
      <c r="A34">
        <v>4</v>
      </c>
      <c r="B34">
        <v>493932.66666666669</v>
      </c>
      <c r="C34">
        <v>0</v>
      </c>
      <c r="D34">
        <v>0</v>
      </c>
      <c r="E34">
        <v>1</v>
      </c>
    </row>
    <row r="35" spans="1:12" ht="15" thickBot="1" x14ac:dyDescent="0.35">
      <c r="A35">
        <v>4</v>
      </c>
      <c r="B35">
        <v>509016</v>
      </c>
      <c r="C35">
        <v>0</v>
      </c>
      <c r="D35">
        <v>0</v>
      </c>
      <c r="E35">
        <v>1</v>
      </c>
      <c r="G35" t="s">
        <v>13</v>
      </c>
    </row>
    <row r="36" spans="1:12" x14ac:dyDescent="0.3">
      <c r="A36">
        <v>4</v>
      </c>
      <c r="B36">
        <v>486777.66666666669</v>
      </c>
      <c r="C36">
        <v>0</v>
      </c>
      <c r="D36">
        <v>0</v>
      </c>
      <c r="E36">
        <v>1</v>
      </c>
      <c r="G36" s="4"/>
      <c r="H36" s="4" t="s">
        <v>18</v>
      </c>
      <c r="I36" s="4" t="s">
        <v>19</v>
      </c>
      <c r="J36" s="4" t="s">
        <v>20</v>
      </c>
      <c r="K36" s="4" t="s">
        <v>21</v>
      </c>
      <c r="L36" s="4" t="s">
        <v>22</v>
      </c>
    </row>
    <row r="37" spans="1:12" x14ac:dyDescent="0.3">
      <c r="A37">
        <v>4</v>
      </c>
      <c r="B37">
        <v>515037.66666666669</v>
      </c>
      <c r="C37">
        <v>0</v>
      </c>
      <c r="D37">
        <v>0</v>
      </c>
      <c r="E37">
        <v>1</v>
      </c>
      <c r="G37" s="2" t="s">
        <v>14</v>
      </c>
      <c r="H37" s="2">
        <v>3</v>
      </c>
      <c r="I37" s="2">
        <v>168121056588.82986</v>
      </c>
      <c r="J37" s="2">
        <v>56040352196.276619</v>
      </c>
      <c r="K37" s="2">
        <v>14.733186664867844</v>
      </c>
      <c r="L37" s="2">
        <v>2.9417299712933132E-6</v>
      </c>
    </row>
    <row r="38" spans="1:12" x14ac:dyDescent="0.3">
      <c r="A38">
        <v>4</v>
      </c>
      <c r="B38">
        <v>633168.33333333337</v>
      </c>
      <c r="C38">
        <v>0</v>
      </c>
      <c r="D38">
        <v>0</v>
      </c>
      <c r="E38">
        <v>1</v>
      </c>
      <c r="G38" s="2" t="s">
        <v>15</v>
      </c>
      <c r="H38" s="2">
        <v>33</v>
      </c>
      <c r="I38" s="2">
        <v>125521495420.06204</v>
      </c>
      <c r="J38" s="14">
        <v>3803681679.3958197</v>
      </c>
      <c r="K38" s="2"/>
      <c r="L38" s="2"/>
    </row>
    <row r="39" spans="1:12" ht="15" thickBot="1" x14ac:dyDescent="0.35">
      <c r="G39" s="3" t="s">
        <v>16</v>
      </c>
      <c r="H39" s="3">
        <v>36</v>
      </c>
      <c r="I39" s="3">
        <v>293642552008.89191</v>
      </c>
      <c r="J39" s="3"/>
      <c r="K39" s="3"/>
      <c r="L39" s="3"/>
    </row>
    <row r="41" spans="1:12" x14ac:dyDescent="0.3">
      <c r="G41" t="s">
        <v>67</v>
      </c>
      <c r="H41" t="s">
        <v>84</v>
      </c>
    </row>
    <row r="42" spans="1:12" x14ac:dyDescent="0.3">
      <c r="G42" t="s">
        <v>69</v>
      </c>
      <c r="H42">
        <f>-1*K2+1*I2</f>
        <v>167969.70185185183</v>
      </c>
      <c r="I42" t="s">
        <v>85</v>
      </c>
    </row>
    <row r="43" spans="1:12" x14ac:dyDescent="0.3">
      <c r="G43" t="s">
        <v>70</v>
      </c>
      <c r="H43">
        <f>SQRT(J38)</f>
        <v>61673.995163243802</v>
      </c>
    </row>
    <row r="44" spans="1:12" x14ac:dyDescent="0.3">
      <c r="G44" t="s">
        <v>71</v>
      </c>
      <c r="H44">
        <f>H43*SQRT((1/10)+(1/9))</f>
        <v>28337.245202210972</v>
      </c>
    </row>
    <row r="45" spans="1:12" x14ac:dyDescent="0.3">
      <c r="G45" t="s">
        <v>72</v>
      </c>
      <c r="H45">
        <f>H42/H44</f>
        <v>5.9275240290028703</v>
      </c>
    </row>
    <row r="46" spans="1:12" x14ac:dyDescent="0.3">
      <c r="G46" t="s">
        <v>73</v>
      </c>
      <c r="H46" s="6">
        <f>TDIST(H45,35,1)</f>
        <v>4.809654043648028E-7</v>
      </c>
    </row>
    <row r="47" spans="1:12" x14ac:dyDescent="0.3">
      <c r="G47" t="s">
        <v>74</v>
      </c>
      <c r="H47">
        <f>H42-(TINV(0.05,35)*H44)</f>
        <v>110442.03570206932</v>
      </c>
      <c r="I47">
        <f>H42+(TINV(0.05,35)*H44)</f>
        <v>225497.36800163434</v>
      </c>
    </row>
    <row r="49" spans="7:12" x14ac:dyDescent="0.3">
      <c r="G49" t="s">
        <v>75</v>
      </c>
      <c r="H49" s="15" t="s">
        <v>88</v>
      </c>
    </row>
    <row r="51" spans="7:12" x14ac:dyDescent="0.3">
      <c r="G51" t="s">
        <v>86</v>
      </c>
    </row>
    <row r="52" spans="7:12" x14ac:dyDescent="0.3">
      <c r="G52" t="s">
        <v>77</v>
      </c>
      <c r="H52" t="s">
        <v>90</v>
      </c>
    </row>
    <row r="53" spans="7:12" x14ac:dyDescent="0.3">
      <c r="G53" t="s">
        <v>79</v>
      </c>
      <c r="H53" t="s">
        <v>83</v>
      </c>
    </row>
    <row r="54" spans="7:12" x14ac:dyDescent="0.3">
      <c r="G54" t="s">
        <v>6</v>
      </c>
    </row>
    <row r="56" spans="7:12" ht="15" thickBot="1" x14ac:dyDescent="0.35">
      <c r="G56" t="s">
        <v>13</v>
      </c>
    </row>
    <row r="57" spans="7:12" x14ac:dyDescent="0.3">
      <c r="G57" s="4"/>
      <c r="H57" s="4" t="s">
        <v>18</v>
      </c>
      <c r="I57" s="4" t="s">
        <v>19</v>
      </c>
      <c r="J57" s="4" t="s">
        <v>20</v>
      </c>
      <c r="K57" s="4" t="s">
        <v>21</v>
      </c>
      <c r="L57" s="4" t="s">
        <v>22</v>
      </c>
    </row>
    <row r="58" spans="7:12" x14ac:dyDescent="0.3">
      <c r="G58" s="2" t="s">
        <v>14</v>
      </c>
      <c r="H58" s="2">
        <v>3</v>
      </c>
      <c r="I58" s="2">
        <v>168121056588.82986</v>
      </c>
      <c r="J58" s="17">
        <v>56040352196.276619</v>
      </c>
      <c r="K58" s="2">
        <v>14.733186664867844</v>
      </c>
      <c r="L58" s="2">
        <v>2.9417299712933132E-6</v>
      </c>
    </row>
    <row r="59" spans="7:12" x14ac:dyDescent="0.3">
      <c r="G59" s="2" t="s">
        <v>15</v>
      </c>
      <c r="H59" s="2">
        <v>33</v>
      </c>
      <c r="I59" s="2">
        <v>125521495420.06204</v>
      </c>
      <c r="J59" s="14">
        <v>3803681679.3958197</v>
      </c>
      <c r="K59" s="2"/>
      <c r="L59" s="2"/>
    </row>
    <row r="60" spans="7:12" ht="15" thickBot="1" x14ac:dyDescent="0.35">
      <c r="G60" s="3" t="s">
        <v>16</v>
      </c>
      <c r="H60" s="3">
        <v>36</v>
      </c>
      <c r="I60" s="3">
        <v>293642552008.89191</v>
      </c>
      <c r="J60" s="3"/>
      <c r="K60" s="3"/>
      <c r="L60" s="3"/>
    </row>
    <row r="62" spans="7:12" x14ac:dyDescent="0.3">
      <c r="G62" t="s">
        <v>67</v>
      </c>
      <c r="H62" t="s">
        <v>91</v>
      </c>
    </row>
    <row r="63" spans="7:12" x14ac:dyDescent="0.3">
      <c r="G63" t="s">
        <v>69</v>
      </c>
      <c r="H63">
        <f>-1*K2+1*J2</f>
        <v>86622.479629629524</v>
      </c>
      <c r="I63" t="s">
        <v>92</v>
      </c>
    </row>
    <row r="64" spans="7:12" x14ac:dyDescent="0.3">
      <c r="G64" t="s">
        <v>70</v>
      </c>
      <c r="H64">
        <f>SQRT(J59)</f>
        <v>61673.995163243802</v>
      </c>
    </row>
    <row r="65" spans="7:14" x14ac:dyDescent="0.3">
      <c r="G65" t="s">
        <v>71</v>
      </c>
      <c r="H65">
        <f>H64*SQRT((1/10)+(1/9))</f>
        <v>28337.245202210972</v>
      </c>
    </row>
    <row r="66" spans="7:14" x14ac:dyDescent="0.3">
      <c r="G66" t="s">
        <v>72</v>
      </c>
      <c r="H66">
        <f>H63/H65</f>
        <v>3.0568419411097496</v>
      </c>
    </row>
    <row r="67" spans="7:14" x14ac:dyDescent="0.3">
      <c r="G67" t="s">
        <v>73</v>
      </c>
      <c r="H67" s="6">
        <f>TDIST(H66,35,1)</f>
        <v>2.1328295083848738E-3</v>
      </c>
    </row>
    <row r="68" spans="7:14" x14ac:dyDescent="0.3">
      <c r="G68" t="s">
        <v>74</v>
      </c>
      <c r="H68">
        <f>H63-(TINV(0.05,35)*H65)</f>
        <v>29094.813479847013</v>
      </c>
      <c r="I68">
        <f>H63+(TINV(0.05,35)*H65)</f>
        <v>144150.14577941204</v>
      </c>
    </row>
    <row r="70" spans="7:14" x14ac:dyDescent="0.3">
      <c r="G70" t="s">
        <v>75</v>
      </c>
      <c r="H70" s="15" t="s">
        <v>93</v>
      </c>
    </row>
    <row r="72" spans="7:14" x14ac:dyDescent="0.3">
      <c r="G72" s="18"/>
      <c r="H72" s="18" t="s">
        <v>94</v>
      </c>
      <c r="I72" s="18" t="s">
        <v>95</v>
      </c>
      <c r="J72" s="18" t="s">
        <v>5</v>
      </c>
      <c r="K72" s="18" t="s">
        <v>46</v>
      </c>
      <c r="L72" s="18" t="s">
        <v>96</v>
      </c>
      <c r="M72" s="18" t="s">
        <v>97</v>
      </c>
      <c r="N72" s="18"/>
    </row>
    <row r="73" spans="7:14" x14ac:dyDescent="0.3">
      <c r="G73" s="18" t="s">
        <v>17</v>
      </c>
      <c r="H73" s="18">
        <v>397535.81666666671</v>
      </c>
      <c r="I73" s="18">
        <f>SQRT(J58/34)</f>
        <v>40598.591759218267</v>
      </c>
      <c r="J73" s="18">
        <f>H73/I73</f>
        <v>9.7918622159204016</v>
      </c>
      <c r="K73" s="19">
        <f>TDIST(J73,33,2)</f>
        <v>2.7342155469508707E-11</v>
      </c>
      <c r="L73" s="18">
        <f>H73-(TINV(0.05,33)*I73)</f>
        <v>314937.36067763646</v>
      </c>
      <c r="M73" s="18">
        <f>H73+(TINV(0.05,33)*I73)</f>
        <v>480134.27265569696</v>
      </c>
      <c r="N73" s="18"/>
    </row>
    <row r="74" spans="7:14" x14ac:dyDescent="0.3">
      <c r="G74" s="18" t="s">
        <v>47</v>
      </c>
      <c r="H74" s="18">
        <v>152666.66481481475</v>
      </c>
      <c r="I74" s="18">
        <v>28337.245202210972</v>
      </c>
      <c r="J74" s="18">
        <f t="shared" ref="J74:J76" si="0">H74/I74</f>
        <v>5.3874913995840057</v>
      </c>
      <c r="K74" s="19">
        <f t="shared" ref="K74:K76" si="1">TDIST(J74,33,2)</f>
        <v>5.8782360787941371E-6</v>
      </c>
      <c r="L74" s="18">
        <f t="shared" ref="L74:L76" si="2">H74-(TINV(0.05,33)*I74)</f>
        <v>95014.105963343623</v>
      </c>
      <c r="M74" s="18">
        <f t="shared" ref="M74:M76" si="3">H74+(TINV(0.05,33)*I74)</f>
        <v>210319.22366628586</v>
      </c>
      <c r="N74" s="18"/>
    </row>
    <row r="75" spans="7:14" x14ac:dyDescent="0.3">
      <c r="G75" s="18" t="s">
        <v>48</v>
      </c>
      <c r="H75" s="18">
        <v>167969.70185185183</v>
      </c>
      <c r="I75" s="18">
        <v>28337.245202210972</v>
      </c>
      <c r="J75" s="18">
        <f t="shared" si="0"/>
        <v>5.9275240290028703</v>
      </c>
      <c r="K75" s="19">
        <f t="shared" si="1"/>
        <v>1.1940528330410612E-6</v>
      </c>
      <c r="L75" s="18">
        <f t="shared" si="2"/>
        <v>110317.1430003807</v>
      </c>
      <c r="M75" s="18">
        <f t="shared" si="3"/>
        <v>225622.26070332294</v>
      </c>
      <c r="N75" s="18"/>
    </row>
    <row r="76" spans="7:14" x14ac:dyDescent="0.3">
      <c r="G76" s="18" t="s">
        <v>49</v>
      </c>
      <c r="H76" s="18">
        <v>86622.479629629524</v>
      </c>
      <c r="I76" s="18">
        <v>28337.245202210972</v>
      </c>
      <c r="J76" s="18">
        <f t="shared" si="0"/>
        <v>3.0568419411097496</v>
      </c>
      <c r="K76" s="19">
        <f t="shared" si="1"/>
        <v>4.4103520556021221E-3</v>
      </c>
      <c r="L76" s="18">
        <f t="shared" si="2"/>
        <v>28969.920778158397</v>
      </c>
      <c r="M76" s="18">
        <f t="shared" si="3"/>
        <v>144275.03848110064</v>
      </c>
      <c r="N76" s="18"/>
    </row>
    <row r="78" spans="7:14" x14ac:dyDescent="0.3">
      <c r="I78" t="s">
        <v>98</v>
      </c>
      <c r="J78" s="18" t="s">
        <v>96</v>
      </c>
      <c r="K78" s="18" t="s">
        <v>97</v>
      </c>
    </row>
    <row r="79" spans="7:14" x14ac:dyDescent="0.3">
      <c r="G79" t="s">
        <v>171</v>
      </c>
      <c r="H79">
        <v>152666.66481481475</v>
      </c>
      <c r="I79">
        <v>5.3874913995840057</v>
      </c>
      <c r="J79">
        <f>H79-(TINV(0.05,33)*I74)</f>
        <v>95014.105963343623</v>
      </c>
      <c r="K79">
        <f>H79+(TINV(0.05,33)*I74)</f>
        <v>210319.22366628586</v>
      </c>
    </row>
    <row r="80" spans="7:14" x14ac:dyDescent="0.3">
      <c r="G80" t="s">
        <v>172</v>
      </c>
      <c r="H80">
        <v>167969.70185185183</v>
      </c>
      <c r="I80">
        <v>5.9275240290028703</v>
      </c>
      <c r="J80">
        <f t="shared" ref="J80:J81" si="4">H80-(TINV(0.05,33)*I75)</f>
        <v>110317.1430003807</v>
      </c>
      <c r="K80">
        <f t="shared" ref="K80:K81" si="5">H80+(TINV(0.05,33)*I75)</f>
        <v>225622.26070332294</v>
      </c>
    </row>
    <row r="81" spans="7:11" x14ac:dyDescent="0.3">
      <c r="G81" t="s">
        <v>173</v>
      </c>
      <c r="H81">
        <v>86622.479629629524</v>
      </c>
      <c r="I81">
        <v>3.0568419411097496</v>
      </c>
      <c r="J81">
        <f t="shared" si="4"/>
        <v>28969.920778158397</v>
      </c>
      <c r="K81">
        <f t="shared" si="5"/>
        <v>144275.03848110064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9026C-6FB0-42C5-BC69-702462A3DA69}">
  <dimension ref="A1:E46"/>
  <sheetViews>
    <sheetView workbookViewId="0"/>
  </sheetViews>
  <sheetFormatPr defaultRowHeight="14.4" x14ac:dyDescent="0.3"/>
  <cols>
    <col min="1" max="1" width="9" bestFit="1" customWidth="1"/>
    <col min="2" max="2" width="35.109375" customWidth="1"/>
    <col min="3" max="3" width="43.44140625" customWidth="1"/>
    <col min="4" max="5" width="57.109375" customWidth="1"/>
  </cols>
  <sheetData>
    <row r="1" spans="1:5" x14ac:dyDescent="0.3">
      <c r="A1" t="s">
        <v>136</v>
      </c>
      <c r="B1" t="s">
        <v>135</v>
      </c>
      <c r="C1" t="s">
        <v>142</v>
      </c>
      <c r="D1" t="s">
        <v>143</v>
      </c>
      <c r="E1" t="s">
        <v>144</v>
      </c>
    </row>
    <row r="2" spans="1:5" x14ac:dyDescent="0.3">
      <c r="A2" s="26">
        <v>0</v>
      </c>
      <c r="B2" s="26">
        <v>350919.5</v>
      </c>
    </row>
    <row r="3" spans="1:5" x14ac:dyDescent="0.3">
      <c r="A3" s="26">
        <v>1</v>
      </c>
      <c r="B3" s="26">
        <v>454049.66666666669</v>
      </c>
    </row>
    <row r="4" spans="1:5" x14ac:dyDescent="0.3">
      <c r="A4" s="26">
        <v>2</v>
      </c>
      <c r="B4" s="26">
        <v>444613.66666666669</v>
      </c>
    </row>
    <row r="5" spans="1:5" x14ac:dyDescent="0.3">
      <c r="A5" s="26">
        <v>3</v>
      </c>
      <c r="B5" s="26">
        <v>405853</v>
      </c>
    </row>
    <row r="6" spans="1:5" x14ac:dyDescent="0.3">
      <c r="A6" s="26">
        <v>4</v>
      </c>
      <c r="B6" s="26">
        <v>352590.33333333331</v>
      </c>
    </row>
    <row r="7" spans="1:5" x14ac:dyDescent="0.3">
      <c r="A7" s="26">
        <v>5</v>
      </c>
      <c r="B7" s="26">
        <v>509317</v>
      </c>
    </row>
    <row r="8" spans="1:5" x14ac:dyDescent="0.3">
      <c r="A8" s="26">
        <v>6</v>
      </c>
      <c r="B8" s="26">
        <v>513818</v>
      </c>
    </row>
    <row r="9" spans="1:5" x14ac:dyDescent="0.3">
      <c r="A9" s="26">
        <v>7</v>
      </c>
      <c r="B9" s="26">
        <v>415390</v>
      </c>
    </row>
    <row r="10" spans="1:5" x14ac:dyDescent="0.3">
      <c r="A10" s="26">
        <v>8</v>
      </c>
      <c r="B10" s="26">
        <v>337159.33333333331</v>
      </c>
    </row>
    <row r="11" spans="1:5" x14ac:dyDescent="0.3">
      <c r="A11" s="26">
        <v>9</v>
      </c>
      <c r="B11" s="26">
        <v>500452.33333333331</v>
      </c>
    </row>
    <row r="12" spans="1:5" x14ac:dyDescent="0.3">
      <c r="A12" s="26">
        <v>10</v>
      </c>
      <c r="B12" s="26">
        <v>508863.33333333331</v>
      </c>
    </row>
    <row r="13" spans="1:5" x14ac:dyDescent="0.3">
      <c r="A13" s="26">
        <v>11</v>
      </c>
      <c r="B13" s="26">
        <v>436664.33333333331</v>
      </c>
    </row>
    <row r="14" spans="1:5" x14ac:dyDescent="0.3">
      <c r="A14" s="26">
        <v>12</v>
      </c>
      <c r="B14" s="26">
        <v>369670</v>
      </c>
    </row>
    <row r="15" spans="1:5" x14ac:dyDescent="0.3">
      <c r="A15" s="26">
        <v>13</v>
      </c>
      <c r="B15" s="26">
        <v>560437.66666666663</v>
      </c>
    </row>
    <row r="16" spans="1:5" x14ac:dyDescent="0.3">
      <c r="A16" s="26">
        <v>14</v>
      </c>
      <c r="B16" s="26">
        <v>573397.33333333337</v>
      </c>
    </row>
    <row r="17" spans="1:2" x14ac:dyDescent="0.3">
      <c r="A17" s="26">
        <v>15</v>
      </c>
      <c r="B17" s="26">
        <v>461585</v>
      </c>
    </row>
    <row r="18" spans="1:2" x14ac:dyDescent="0.3">
      <c r="A18" s="26">
        <v>16</v>
      </c>
      <c r="B18" s="26">
        <v>399453.66666666669</v>
      </c>
    </row>
    <row r="19" spans="1:2" x14ac:dyDescent="0.3">
      <c r="A19" s="26">
        <v>17</v>
      </c>
      <c r="B19" s="26">
        <v>595156</v>
      </c>
    </row>
    <row r="20" spans="1:2" x14ac:dyDescent="0.3">
      <c r="A20" s="26">
        <v>18</v>
      </c>
      <c r="B20" s="26">
        <v>585853.33333333337</v>
      </c>
    </row>
    <row r="21" spans="1:2" x14ac:dyDescent="0.3">
      <c r="A21" s="26">
        <v>19</v>
      </c>
      <c r="B21" s="26">
        <v>493932.66666666669</v>
      </c>
    </row>
    <row r="22" spans="1:2" x14ac:dyDescent="0.3">
      <c r="A22" s="26">
        <v>20</v>
      </c>
      <c r="B22" s="26">
        <v>422856.33333333331</v>
      </c>
    </row>
    <row r="23" spans="1:2" x14ac:dyDescent="0.3">
      <c r="A23" s="26">
        <v>21</v>
      </c>
      <c r="B23" s="26">
        <v>615730.33333333337</v>
      </c>
    </row>
    <row r="24" spans="1:2" x14ac:dyDescent="0.3">
      <c r="A24" s="26">
        <v>22</v>
      </c>
      <c r="B24" s="26">
        <v>587432</v>
      </c>
    </row>
    <row r="25" spans="1:2" x14ac:dyDescent="0.3">
      <c r="A25" s="26">
        <v>23</v>
      </c>
      <c r="B25" s="26">
        <v>509016</v>
      </c>
    </row>
    <row r="26" spans="1:2" x14ac:dyDescent="0.3">
      <c r="A26" s="26">
        <v>24</v>
      </c>
      <c r="B26" s="26">
        <v>423010.33333333331</v>
      </c>
    </row>
    <row r="27" spans="1:2" x14ac:dyDescent="0.3">
      <c r="A27" s="26">
        <v>25</v>
      </c>
      <c r="B27" s="26">
        <v>619039.66666666663</v>
      </c>
    </row>
    <row r="28" spans="1:2" x14ac:dyDescent="0.3">
      <c r="A28" s="26">
        <v>26</v>
      </c>
      <c r="B28" s="26">
        <v>590217.33333333337</v>
      </c>
    </row>
    <row r="29" spans="1:2" x14ac:dyDescent="0.3">
      <c r="A29" s="26">
        <v>27</v>
      </c>
      <c r="B29" s="26">
        <v>486777.66666666669</v>
      </c>
    </row>
    <row r="30" spans="1:2" x14ac:dyDescent="0.3">
      <c r="A30" s="26">
        <v>28</v>
      </c>
      <c r="B30" s="26">
        <v>402236.33333333331</v>
      </c>
    </row>
    <row r="31" spans="1:2" x14ac:dyDescent="0.3">
      <c r="A31" s="26">
        <v>29</v>
      </c>
      <c r="B31" s="26">
        <v>610384.66666666663</v>
      </c>
    </row>
    <row r="32" spans="1:2" x14ac:dyDescent="0.3">
      <c r="A32" s="26">
        <v>30</v>
      </c>
      <c r="B32" s="26">
        <v>602428.33333333337</v>
      </c>
    </row>
    <row r="33" spans="1:5" x14ac:dyDescent="0.3">
      <c r="A33" s="26">
        <v>31</v>
      </c>
      <c r="B33" s="26">
        <v>515037.66666666669</v>
      </c>
    </row>
    <row r="34" spans="1:5" x14ac:dyDescent="0.3">
      <c r="A34" s="26">
        <v>32</v>
      </c>
      <c r="B34" s="26">
        <v>433739.33333333331</v>
      </c>
    </row>
    <row r="35" spans="1:5" x14ac:dyDescent="0.3">
      <c r="A35" s="26">
        <v>33</v>
      </c>
      <c r="B35" s="26">
        <v>487255</v>
      </c>
    </row>
    <row r="36" spans="1:5" x14ac:dyDescent="0.3">
      <c r="A36" s="26">
        <v>34</v>
      </c>
      <c r="B36" s="26">
        <v>682926.33333333337</v>
      </c>
    </row>
    <row r="37" spans="1:5" x14ac:dyDescent="0.3">
      <c r="A37" s="26">
        <v>35</v>
      </c>
      <c r="B37" s="26">
        <v>633168.33333333337</v>
      </c>
    </row>
    <row r="38" spans="1:5" x14ac:dyDescent="0.3">
      <c r="A38" s="26">
        <v>36</v>
      </c>
      <c r="B38" s="26">
        <v>483723</v>
      </c>
      <c r="C38" s="26">
        <v>483723</v>
      </c>
      <c r="D38" s="27">
        <v>483723</v>
      </c>
      <c r="E38" s="27">
        <v>483723</v>
      </c>
    </row>
    <row r="39" spans="1:5" x14ac:dyDescent="0.3">
      <c r="A39" s="26">
        <v>37</v>
      </c>
      <c r="C39" s="26">
        <f t="shared" ref="C39:C46" si="0">_xlfn.FORECAST.ETS(A39,$B$2:$B$38,$A$2:$A$38,1,1)</f>
        <v>657842.92117560992</v>
      </c>
      <c r="D39" s="27">
        <f t="shared" ref="D39:D46" si="1">C39-_xlfn.FORECAST.ETS.CONFINT(A39,$B$2:$B$38,$A$2:$A$38,0.95,1,1)</f>
        <v>575127.10758472548</v>
      </c>
      <c r="E39" s="27">
        <f t="shared" ref="E39:E46" si="2">C39+_xlfn.FORECAST.ETS.CONFINT(A39,$B$2:$B$38,$A$2:$A$38,0.95,1,1)</f>
        <v>740558.73476649437</v>
      </c>
    </row>
    <row r="40" spans="1:5" x14ac:dyDescent="0.3">
      <c r="A40" s="26">
        <v>38</v>
      </c>
      <c r="C40" s="26">
        <f t="shared" si="0"/>
        <v>660757.42001811974</v>
      </c>
      <c r="D40" s="27">
        <f t="shared" si="1"/>
        <v>557263.30943348154</v>
      </c>
      <c r="E40" s="27">
        <f t="shared" si="2"/>
        <v>764251.53060275794</v>
      </c>
    </row>
    <row r="41" spans="1:5" x14ac:dyDescent="0.3">
      <c r="A41" s="26">
        <v>39</v>
      </c>
      <c r="C41" s="26">
        <f t="shared" si="0"/>
        <v>587186.11156302877</v>
      </c>
      <c r="D41" s="27">
        <f t="shared" si="1"/>
        <v>466395.1636337043</v>
      </c>
      <c r="E41" s="27">
        <f t="shared" si="2"/>
        <v>707977.05949235323</v>
      </c>
    </row>
    <row r="42" spans="1:5" x14ac:dyDescent="0.3">
      <c r="A42" s="26">
        <v>40</v>
      </c>
      <c r="C42" s="26">
        <f t="shared" si="0"/>
        <v>516979.90492395265</v>
      </c>
      <c r="D42" s="27">
        <f t="shared" si="1"/>
        <v>381038.05695324135</v>
      </c>
      <c r="E42" s="27">
        <f t="shared" si="2"/>
        <v>652921.75289466395</v>
      </c>
    </row>
    <row r="43" spans="1:5" x14ac:dyDescent="0.3">
      <c r="A43" s="26">
        <v>41</v>
      </c>
      <c r="C43" s="26">
        <f t="shared" si="0"/>
        <v>675420.54992411693</v>
      </c>
      <c r="D43" s="27">
        <f t="shared" si="1"/>
        <v>525785.72271704744</v>
      </c>
      <c r="E43" s="27">
        <f t="shared" si="2"/>
        <v>825055.37713118643</v>
      </c>
    </row>
    <row r="44" spans="1:5" x14ac:dyDescent="0.3">
      <c r="A44" s="26">
        <v>42</v>
      </c>
      <c r="C44" s="26">
        <f t="shared" si="0"/>
        <v>678335.04876662651</v>
      </c>
      <c r="D44" s="27">
        <f t="shared" si="1"/>
        <v>516159.2891818874</v>
      </c>
      <c r="E44" s="27">
        <f t="shared" si="2"/>
        <v>840510.80835136562</v>
      </c>
    </row>
    <row r="45" spans="1:5" x14ac:dyDescent="0.3">
      <c r="A45" s="26">
        <v>43</v>
      </c>
      <c r="C45" s="26">
        <f t="shared" si="0"/>
        <v>604763.74031153577</v>
      </c>
      <c r="D45" s="27">
        <f t="shared" si="1"/>
        <v>430919.77497483714</v>
      </c>
      <c r="E45" s="27">
        <f t="shared" si="2"/>
        <v>778607.70564823435</v>
      </c>
    </row>
    <row r="46" spans="1:5" x14ac:dyDescent="0.3">
      <c r="A46" s="26">
        <v>44</v>
      </c>
      <c r="C46" s="26">
        <f t="shared" si="0"/>
        <v>534557.53367245966</v>
      </c>
      <c r="D46" s="27">
        <f t="shared" si="1"/>
        <v>349752.67156542052</v>
      </c>
      <c r="E46" s="27">
        <f t="shared" si="2"/>
        <v>719362.39577949885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Quarterly</vt:lpstr>
      <vt:lpstr>Data analysis toolpak Quarterly</vt:lpstr>
      <vt:lpstr>Contrast</vt:lpstr>
      <vt:lpstr>Forecasting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Corporate Edition</dc:creator>
  <cp:lastModifiedBy>vaidy</cp:lastModifiedBy>
  <dcterms:created xsi:type="dcterms:W3CDTF">2021-04-24T19:12:22Z</dcterms:created>
  <dcterms:modified xsi:type="dcterms:W3CDTF">2021-04-26T06:08:49Z</dcterms:modified>
</cp:coreProperties>
</file>